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10" windowWidth="24915" windowHeight="12015" firstSheet="22" activeTab="32"/>
  </bookViews>
  <sheets>
    <sheet name="MŠ Smet1" sheetId="1" r:id="rId1"/>
    <sheet name="MŠ Smet" sheetId="2" r:id="rId2"/>
    <sheet name="MŠ Šárka1" sheetId="3" r:id="rId3"/>
    <sheet name="MŠ Šárka" sheetId="4" r:id="rId4"/>
    <sheet name="MŠ Rum1" sheetId="5" r:id="rId5"/>
    <sheet name="MŠ Rum" sheetId="6" r:id="rId6"/>
    <sheet name="MŠ Mor1" sheetId="7" r:id="rId7"/>
    <sheet name="MŠ Mor" sheetId="8" r:id="rId8"/>
    <sheet name="MŠ Part1" sheetId="9" r:id="rId9"/>
    <sheet name="MŠ Part" sheetId="10" r:id="rId10"/>
    <sheet name="ZŠ Mel1" sheetId="11" r:id="rId11"/>
    <sheet name="ZŠ Mel" sheetId="12" r:id="rId12"/>
    <sheet name="ZŠ Val1" sheetId="13" r:id="rId13"/>
    <sheet name="ZŠ Val" sheetId="14" r:id="rId14"/>
    <sheet name="ZŠ Pal1" sheetId="15" r:id="rId15"/>
    <sheet name="ZŠ Pal" sheetId="16" r:id="rId16"/>
    <sheet name="ZŠ Kol1" sheetId="17" r:id="rId17"/>
    <sheet name="ZŠ Kol" sheetId="18" r:id="rId18"/>
    <sheet name="ZŠ JŽ1" sheetId="19" r:id="rId19"/>
    <sheet name="ZŠ JŽ" sheetId="20" r:id="rId20"/>
    <sheet name="ZŠ Maj1" sheetId="21" r:id="rId21"/>
    <sheet name="ZŠ Maj" sheetId="22" r:id="rId22"/>
    <sheet name="ZŠ Hor1" sheetId="23" r:id="rId23"/>
    <sheet name="ZŠ Hor" sheetId="24" r:id="rId24"/>
    <sheet name="RG1" sheetId="25" r:id="rId25"/>
    <sheet name="RG" sheetId="26" r:id="rId26"/>
    <sheet name="ZUŠ1" sheetId="27" r:id="rId27"/>
    <sheet name="ZUŠ" sheetId="28" r:id="rId28"/>
    <sheet name="DDM1" sheetId="29" r:id="rId29"/>
    <sheet name="DDM" sheetId="30" r:id="rId30"/>
    <sheet name="knihovna1" sheetId="31" r:id="rId31"/>
    <sheet name="knihovna" sheetId="32" r:id="rId32"/>
    <sheet name="divadlo1" sheetId="33" r:id="rId33"/>
    <sheet name="divadlo" sheetId="34" r:id="rId34"/>
    <sheet name="kino1" sheetId="35" r:id="rId35"/>
    <sheet name="kino" sheetId="36" r:id="rId36"/>
    <sheet name="jesle1" sheetId="37" r:id="rId37"/>
    <sheet name="jesle" sheetId="38" r:id="rId38"/>
  </sheets>
  <calcPr calcId="145621"/>
</workbook>
</file>

<file path=xl/calcChain.xml><?xml version="1.0" encoding="utf-8"?>
<calcChain xmlns="http://schemas.openxmlformats.org/spreadsheetml/2006/main">
  <c r="W36" i="23" l="1"/>
  <c r="R36" i="23"/>
  <c r="M36" i="23"/>
  <c r="H36" i="23"/>
  <c r="W35" i="23"/>
  <c r="R35" i="23"/>
  <c r="M35" i="23"/>
  <c r="H35" i="23"/>
  <c r="W34" i="23"/>
  <c r="R34" i="23"/>
  <c r="M34" i="23"/>
  <c r="H34" i="23"/>
  <c r="W32" i="23"/>
  <c r="R32" i="23"/>
  <c r="M32" i="23"/>
  <c r="I32" i="23"/>
  <c r="H32" i="23"/>
  <c r="G32" i="23"/>
  <c r="F32" i="23"/>
  <c r="E32" i="23"/>
  <c r="W31" i="23"/>
  <c r="R31" i="23"/>
  <c r="M31" i="23"/>
  <c r="I31" i="23"/>
  <c r="H31" i="23"/>
  <c r="G31" i="23"/>
  <c r="F31" i="23"/>
  <c r="E31" i="23"/>
  <c r="W30" i="23"/>
  <c r="R30" i="23"/>
  <c r="M30" i="23"/>
  <c r="I30" i="23"/>
  <c r="H30" i="23"/>
  <c r="G30" i="23"/>
  <c r="F30" i="23"/>
  <c r="E30" i="23"/>
  <c r="W29" i="23"/>
  <c r="R29" i="23"/>
  <c r="M29" i="23"/>
  <c r="I29" i="23"/>
  <c r="H29" i="23"/>
  <c r="G29" i="23"/>
  <c r="F29" i="23"/>
  <c r="E29" i="23"/>
  <c r="W28" i="23"/>
  <c r="R28" i="23"/>
  <c r="M28" i="23"/>
  <c r="I28" i="23"/>
  <c r="H28" i="23"/>
  <c r="G28" i="23"/>
  <c r="F28" i="23"/>
  <c r="E28" i="23"/>
  <c r="W27" i="23"/>
  <c r="R27" i="23"/>
  <c r="M27" i="23"/>
  <c r="I27" i="23"/>
  <c r="H27" i="23"/>
  <c r="G27" i="23"/>
  <c r="F27" i="23"/>
  <c r="E27" i="23"/>
  <c r="W26" i="23"/>
  <c r="R26" i="23"/>
  <c r="M26" i="23"/>
  <c r="I26" i="23"/>
  <c r="H26" i="23"/>
  <c r="G26" i="23"/>
  <c r="F26" i="23"/>
  <c r="E26" i="23"/>
  <c r="W25" i="23"/>
  <c r="R25" i="23"/>
  <c r="M25" i="23"/>
  <c r="I25" i="23"/>
  <c r="G25" i="23"/>
  <c r="H25" i="23" s="1"/>
  <c r="F25" i="23"/>
  <c r="E25" i="23"/>
  <c r="W24" i="23"/>
  <c r="R24" i="23"/>
  <c r="M24" i="23"/>
  <c r="I24" i="23"/>
  <c r="G24" i="23"/>
  <c r="H24" i="23" s="1"/>
  <c r="F24" i="23"/>
  <c r="E24" i="23"/>
  <c r="W23" i="23"/>
  <c r="R23" i="23"/>
  <c r="M23" i="23"/>
  <c r="I23" i="23"/>
  <c r="G23" i="23"/>
  <c r="H23" i="23" s="1"/>
  <c r="F23" i="23"/>
  <c r="E23" i="23"/>
  <c r="W22" i="23"/>
  <c r="R22" i="23"/>
  <c r="M22" i="23"/>
  <c r="I22" i="23"/>
  <c r="G22" i="23"/>
  <c r="H22" i="23" s="1"/>
  <c r="F22" i="23"/>
  <c r="E22" i="23"/>
  <c r="W21" i="23"/>
  <c r="Q21" i="23"/>
  <c r="R21" i="23" s="1"/>
  <c r="P21" i="23"/>
  <c r="F21" i="23" s="1"/>
  <c r="O21" i="23"/>
  <c r="M21" i="23"/>
  <c r="I21" i="23"/>
  <c r="G21" i="23"/>
  <c r="E21" i="23"/>
  <c r="W20" i="23"/>
  <c r="Q20" i="23"/>
  <c r="R20" i="23" s="1"/>
  <c r="P20" i="23"/>
  <c r="O20" i="23"/>
  <c r="E20" i="23" s="1"/>
  <c r="E11" i="23" s="1"/>
  <c r="M20" i="23"/>
  <c r="I20" i="23"/>
  <c r="G20" i="23"/>
  <c r="H20" i="23" s="1"/>
  <c r="F20" i="23"/>
  <c r="W19" i="23"/>
  <c r="R19" i="23"/>
  <c r="Q19" i="23"/>
  <c r="P19" i="23"/>
  <c r="O19" i="23"/>
  <c r="M19" i="23"/>
  <c r="I19" i="23"/>
  <c r="G19" i="23"/>
  <c r="H19" i="23" s="1"/>
  <c r="F19" i="23"/>
  <c r="E19" i="23"/>
  <c r="W18" i="23"/>
  <c r="Q18" i="23"/>
  <c r="G18" i="23" s="1"/>
  <c r="H18" i="23" s="1"/>
  <c r="P18" i="23"/>
  <c r="O18" i="23"/>
  <c r="M18" i="23"/>
  <c r="I18" i="23"/>
  <c r="F18" i="23"/>
  <c r="E18" i="23"/>
  <c r="W17" i="23"/>
  <c r="R17" i="23"/>
  <c r="M17" i="23"/>
  <c r="I17" i="23"/>
  <c r="G17" i="23"/>
  <c r="H17" i="23" s="1"/>
  <c r="F17" i="23"/>
  <c r="E17" i="23"/>
  <c r="W16" i="23"/>
  <c r="R16" i="23"/>
  <c r="M16" i="23"/>
  <c r="I16" i="23"/>
  <c r="G16" i="23"/>
  <c r="H16" i="23" s="1"/>
  <c r="F16" i="23"/>
  <c r="E16" i="23"/>
  <c r="W15" i="23"/>
  <c r="R15" i="23"/>
  <c r="K15" i="23"/>
  <c r="M15" i="23" s="1"/>
  <c r="I15" i="23"/>
  <c r="G15" i="23"/>
  <c r="H15" i="23" s="1"/>
  <c r="F15" i="23"/>
  <c r="E15" i="23"/>
  <c r="W14" i="23"/>
  <c r="R14" i="23"/>
  <c r="M14" i="23"/>
  <c r="I14" i="23"/>
  <c r="G14" i="23"/>
  <c r="H14" i="23" s="1"/>
  <c r="F14" i="23"/>
  <c r="E14" i="23"/>
  <c r="W13" i="23"/>
  <c r="R13" i="23"/>
  <c r="M13" i="23"/>
  <c r="I13" i="23"/>
  <c r="G13" i="23"/>
  <c r="H13" i="23" s="1"/>
  <c r="F13" i="23"/>
  <c r="E13" i="23"/>
  <c r="W12" i="23"/>
  <c r="Q12" i="23"/>
  <c r="R12" i="23" s="1"/>
  <c r="P12" i="23"/>
  <c r="O12" i="23"/>
  <c r="K12" i="23"/>
  <c r="M12" i="23" s="1"/>
  <c r="I12" i="23"/>
  <c r="F12" i="23"/>
  <c r="E12" i="23"/>
  <c r="X11" i="23"/>
  <c r="V11" i="23"/>
  <c r="W11" i="23" s="1"/>
  <c r="U11" i="23"/>
  <c r="T11" i="23"/>
  <c r="S11" i="23"/>
  <c r="R11" i="23"/>
  <c r="Q11" i="23"/>
  <c r="P11" i="23"/>
  <c r="O11" i="23"/>
  <c r="N11" i="23"/>
  <c r="L11" i="23"/>
  <c r="M11" i="23" s="1"/>
  <c r="K11" i="23"/>
  <c r="J11" i="23"/>
  <c r="I11" i="23"/>
  <c r="W10" i="23"/>
  <c r="R10" i="23"/>
  <c r="M10" i="23"/>
  <c r="I10" i="23"/>
  <c r="G10" i="23"/>
  <c r="H10" i="23" s="1"/>
  <c r="F10" i="23"/>
  <c r="E10" i="23"/>
  <c r="W9" i="23"/>
  <c r="Q9" i="23"/>
  <c r="R9" i="23" s="1"/>
  <c r="P9" i="23"/>
  <c r="O9" i="23"/>
  <c r="E9" i="23" s="1"/>
  <c r="E6" i="23" s="1"/>
  <c r="E33" i="23" s="1"/>
  <c r="K9" i="23"/>
  <c r="M9" i="23" s="1"/>
  <c r="I9" i="23"/>
  <c r="G9" i="23"/>
  <c r="H9" i="23" s="1"/>
  <c r="F9" i="23"/>
  <c r="W8" i="23"/>
  <c r="R8" i="23"/>
  <c r="M8" i="23"/>
  <c r="I8" i="23"/>
  <c r="G8" i="23"/>
  <c r="H8" i="23" s="1"/>
  <c r="F8" i="23"/>
  <c r="E8" i="23"/>
  <c r="W7" i="23"/>
  <c r="R7" i="23"/>
  <c r="M7" i="23"/>
  <c r="I7" i="23"/>
  <c r="G7" i="23"/>
  <c r="H7" i="23" s="1"/>
  <c r="F7" i="23"/>
  <c r="E7" i="23"/>
  <c r="X6" i="23"/>
  <c r="X33" i="23" s="1"/>
  <c r="V6" i="23"/>
  <c r="V33" i="23" s="1"/>
  <c r="W33" i="23" s="1"/>
  <c r="U6" i="23"/>
  <c r="U33" i="23" s="1"/>
  <c r="T6" i="23"/>
  <c r="T33" i="23" s="1"/>
  <c r="S6" i="23"/>
  <c r="S33" i="23" s="1"/>
  <c r="R6" i="23"/>
  <c r="Q6" i="23"/>
  <c r="Q33" i="23" s="1"/>
  <c r="P6" i="23"/>
  <c r="P33" i="23" s="1"/>
  <c r="O6" i="23"/>
  <c r="O33" i="23" s="1"/>
  <c r="N6" i="23"/>
  <c r="N33" i="23" s="1"/>
  <c r="L6" i="23"/>
  <c r="L33" i="23" s="1"/>
  <c r="K6" i="23"/>
  <c r="K33" i="23" s="1"/>
  <c r="J6" i="23"/>
  <c r="J33" i="23" s="1"/>
  <c r="I6" i="23"/>
  <c r="I33" i="23" s="1"/>
  <c r="G6" i="23"/>
  <c r="F6" i="23"/>
  <c r="M33" i="23" l="1"/>
  <c r="R33" i="23"/>
  <c r="H21" i="23"/>
  <c r="F11" i="23"/>
  <c r="F33" i="23" s="1"/>
  <c r="W6" i="23"/>
  <c r="G12" i="23"/>
  <c r="R18" i="23"/>
  <c r="H6" i="23"/>
  <c r="M6" i="23"/>
  <c r="H12" i="23" l="1"/>
  <c r="G11" i="23"/>
  <c r="H11" i="23" l="1"/>
  <c r="G33" i="23"/>
  <c r="H33" i="23" s="1"/>
  <c r="E80" i="12" l="1"/>
  <c r="D80" i="12"/>
  <c r="E66" i="12"/>
  <c r="E61" i="12"/>
  <c r="E60" i="12"/>
  <c r="D57" i="12"/>
  <c r="D66" i="12" s="1"/>
  <c r="B38" i="12"/>
  <c r="A38" i="12"/>
  <c r="B31" i="12"/>
  <c r="B24" i="12"/>
  <c r="F18" i="12"/>
  <c r="D18" i="12"/>
  <c r="C18" i="12"/>
  <c r="B18" i="12"/>
  <c r="E17" i="12"/>
  <c r="E16" i="12"/>
  <c r="E15" i="12"/>
  <c r="E14" i="12"/>
  <c r="E13" i="12"/>
  <c r="E18" i="12" s="1"/>
  <c r="R36" i="7" l="1"/>
  <c r="H36" i="7"/>
  <c r="R35" i="7"/>
  <c r="H35" i="7"/>
  <c r="R34" i="7"/>
  <c r="H34" i="7"/>
  <c r="I32" i="7"/>
  <c r="G32" i="7"/>
  <c r="F32" i="7"/>
  <c r="E32" i="7"/>
  <c r="I31" i="7"/>
  <c r="G31" i="7"/>
  <c r="F31" i="7"/>
  <c r="E31" i="7"/>
  <c r="I30" i="7"/>
  <c r="G30" i="7"/>
  <c r="F30" i="7"/>
  <c r="E30" i="7"/>
  <c r="M29" i="7"/>
  <c r="I29" i="7"/>
  <c r="G29" i="7"/>
  <c r="H29" i="7" s="1"/>
  <c r="F29" i="7"/>
  <c r="E29" i="7"/>
  <c r="W28" i="7"/>
  <c r="M28" i="7"/>
  <c r="I28" i="7"/>
  <c r="G28" i="7"/>
  <c r="H28" i="7" s="1"/>
  <c r="F28" i="7"/>
  <c r="E28" i="7"/>
  <c r="I27" i="7"/>
  <c r="G27" i="7"/>
  <c r="F27" i="7"/>
  <c r="E27" i="7"/>
  <c r="M26" i="7"/>
  <c r="I26" i="7"/>
  <c r="H26" i="7"/>
  <c r="G26" i="7"/>
  <c r="F26" i="7"/>
  <c r="E26" i="7"/>
  <c r="I25" i="7"/>
  <c r="G25" i="7"/>
  <c r="F25" i="7"/>
  <c r="E25" i="7"/>
  <c r="I24" i="7"/>
  <c r="G24" i="7"/>
  <c r="F24" i="7"/>
  <c r="E24" i="7"/>
  <c r="I23" i="7"/>
  <c r="G23" i="7"/>
  <c r="F23" i="7"/>
  <c r="E23" i="7"/>
  <c r="I22" i="7"/>
  <c r="G22" i="7"/>
  <c r="F22" i="7"/>
  <c r="E22" i="7"/>
  <c r="R21" i="7"/>
  <c r="M21" i="7"/>
  <c r="I21" i="7"/>
  <c r="G21" i="7"/>
  <c r="H21" i="7" s="1"/>
  <c r="F21" i="7"/>
  <c r="E21" i="7"/>
  <c r="R20" i="7"/>
  <c r="I20" i="7"/>
  <c r="G20" i="7"/>
  <c r="F20" i="7"/>
  <c r="H20" i="7" s="1"/>
  <c r="E20" i="7"/>
  <c r="R19" i="7"/>
  <c r="I19" i="7"/>
  <c r="G19" i="7"/>
  <c r="H19" i="7" s="1"/>
  <c r="F19" i="7"/>
  <c r="E19" i="7"/>
  <c r="R18" i="7"/>
  <c r="M18" i="7"/>
  <c r="I18" i="7"/>
  <c r="G18" i="7"/>
  <c r="H18" i="7" s="1"/>
  <c r="F18" i="7"/>
  <c r="E18" i="7"/>
  <c r="M17" i="7"/>
  <c r="I17" i="7"/>
  <c r="H17" i="7"/>
  <c r="G17" i="7"/>
  <c r="F17" i="7"/>
  <c r="E17" i="7"/>
  <c r="M16" i="7"/>
  <c r="I16" i="7"/>
  <c r="G16" i="7"/>
  <c r="H16" i="7" s="1"/>
  <c r="F16" i="7"/>
  <c r="E16" i="7"/>
  <c r="M15" i="7"/>
  <c r="I15" i="7"/>
  <c r="H15" i="7"/>
  <c r="G15" i="7"/>
  <c r="F15" i="7"/>
  <c r="E15" i="7"/>
  <c r="I14" i="7"/>
  <c r="G14" i="7"/>
  <c r="F14" i="7"/>
  <c r="E14" i="7"/>
  <c r="M13" i="7"/>
  <c r="I13" i="7"/>
  <c r="G13" i="7"/>
  <c r="H13" i="7" s="1"/>
  <c r="F13" i="7"/>
  <c r="F11" i="7" s="1"/>
  <c r="E13" i="7"/>
  <c r="M12" i="7"/>
  <c r="I12" i="7"/>
  <c r="H12" i="7"/>
  <c r="G12" i="7"/>
  <c r="F12" i="7"/>
  <c r="E12" i="7"/>
  <c r="X11" i="7"/>
  <c r="V11" i="7"/>
  <c r="W11" i="7" s="1"/>
  <c r="U11" i="7"/>
  <c r="T11" i="7"/>
  <c r="S11" i="7"/>
  <c r="Q11" i="7"/>
  <c r="R11" i="7" s="1"/>
  <c r="P11" i="7"/>
  <c r="O11" i="7"/>
  <c r="N11" i="7"/>
  <c r="L11" i="7"/>
  <c r="M11" i="7" s="1"/>
  <c r="K11" i="7"/>
  <c r="J11" i="7"/>
  <c r="I11" i="7"/>
  <c r="E11" i="7"/>
  <c r="I10" i="7"/>
  <c r="G10" i="7"/>
  <c r="F10" i="7"/>
  <c r="E10" i="7"/>
  <c r="R9" i="7"/>
  <c r="M9" i="7"/>
  <c r="I9" i="7"/>
  <c r="G9" i="7"/>
  <c r="H9" i="7" s="1"/>
  <c r="F9" i="7"/>
  <c r="E9" i="7"/>
  <c r="M8" i="7"/>
  <c r="I8" i="7"/>
  <c r="I6" i="7" s="1"/>
  <c r="I33" i="7" s="1"/>
  <c r="G8" i="7"/>
  <c r="H8" i="7" s="1"/>
  <c r="F8" i="7"/>
  <c r="F6" i="7" s="1"/>
  <c r="E8" i="7"/>
  <c r="E6" i="7" s="1"/>
  <c r="E33" i="7" s="1"/>
  <c r="W7" i="7"/>
  <c r="M7" i="7"/>
  <c r="I7" i="7"/>
  <c r="H7" i="7"/>
  <c r="G7" i="7"/>
  <c r="F7" i="7"/>
  <c r="E7" i="7"/>
  <c r="X6" i="7"/>
  <c r="X33" i="7" s="1"/>
  <c r="V6" i="7"/>
  <c r="V33" i="7" s="1"/>
  <c r="W33" i="7" s="1"/>
  <c r="U6" i="7"/>
  <c r="U33" i="7" s="1"/>
  <c r="T6" i="7"/>
  <c r="T33" i="7" s="1"/>
  <c r="S6" i="7"/>
  <c r="S33" i="7" s="1"/>
  <c r="Q6" i="7"/>
  <c r="Q33" i="7" s="1"/>
  <c r="P6" i="7"/>
  <c r="P33" i="7" s="1"/>
  <c r="O6" i="7"/>
  <c r="O33" i="7" s="1"/>
  <c r="N6" i="7"/>
  <c r="N33" i="7" s="1"/>
  <c r="L6" i="7"/>
  <c r="L33" i="7" s="1"/>
  <c r="K6" i="7"/>
  <c r="K33" i="7" s="1"/>
  <c r="J6" i="7"/>
  <c r="J33" i="7" s="1"/>
  <c r="F33" i="7" l="1"/>
  <c r="G6" i="7"/>
  <c r="W6" i="7"/>
  <c r="G11" i="7"/>
  <c r="H11" i="7" s="1"/>
  <c r="M6" i="7"/>
  <c r="R6" i="7"/>
  <c r="G33" i="7" l="1"/>
  <c r="H6" i="7"/>
  <c r="E60" i="28" l="1"/>
  <c r="D60" i="28"/>
  <c r="E52" i="28"/>
  <c r="D52" i="28"/>
  <c r="B38" i="28"/>
  <c r="A38" i="28"/>
  <c r="B31" i="28"/>
  <c r="B24" i="28"/>
  <c r="F18" i="28"/>
  <c r="D18" i="28"/>
  <c r="C18" i="28"/>
  <c r="B18" i="28"/>
  <c r="E17" i="28"/>
  <c r="E16" i="28"/>
  <c r="E15" i="28"/>
  <c r="E14" i="28"/>
  <c r="E13" i="28"/>
  <c r="E18" i="28" s="1"/>
  <c r="E74" i="14" l="1"/>
  <c r="D74" i="14"/>
  <c r="E63" i="14"/>
  <c r="D63" i="14"/>
  <c r="B38" i="14"/>
  <c r="A38" i="14"/>
  <c r="B31" i="14"/>
  <c r="B24" i="14"/>
  <c r="F18" i="14"/>
  <c r="D18" i="14"/>
  <c r="C18" i="14"/>
  <c r="B18" i="14"/>
  <c r="E17" i="14"/>
  <c r="E16" i="14"/>
  <c r="E15" i="14"/>
  <c r="E14" i="14"/>
  <c r="E13" i="14"/>
  <c r="E18" i="14" s="1"/>
  <c r="E72" i="16" l="1"/>
  <c r="D72" i="16"/>
  <c r="D63" i="16"/>
  <c r="E62" i="16"/>
  <c r="D60" i="16"/>
  <c r="D66" i="16" s="1"/>
  <c r="E59" i="16"/>
  <c r="E57" i="16"/>
  <c r="E55" i="16"/>
  <c r="E53" i="16"/>
  <c r="E51" i="16"/>
  <c r="E49" i="16"/>
  <c r="E47" i="16"/>
  <c r="E45" i="16"/>
  <c r="E66" i="16" s="1"/>
  <c r="B37" i="16"/>
  <c r="A37" i="16"/>
  <c r="B31" i="16"/>
  <c r="B24" i="16"/>
  <c r="D18" i="16"/>
  <c r="C18" i="16"/>
  <c r="B18" i="16"/>
  <c r="E17" i="16"/>
  <c r="E16" i="16"/>
  <c r="F16" i="16" s="1"/>
  <c r="F15" i="16"/>
  <c r="E15" i="16"/>
  <c r="E14" i="16"/>
  <c r="F14" i="16" s="1"/>
  <c r="F13" i="16"/>
  <c r="F18" i="16" s="1"/>
  <c r="E13" i="16"/>
  <c r="E18" i="16" s="1"/>
  <c r="E51" i="22" l="1"/>
  <c r="D51" i="22"/>
  <c r="E45" i="22"/>
  <c r="D45" i="22"/>
  <c r="B33" i="22"/>
  <c r="A33" i="22"/>
  <c r="F19" i="22"/>
  <c r="D19" i="22"/>
  <c r="C19" i="22"/>
  <c r="B19" i="22"/>
  <c r="E18" i="22"/>
  <c r="E17" i="22"/>
  <c r="E16" i="22"/>
  <c r="E15" i="22"/>
  <c r="E14" i="22"/>
  <c r="E19" i="22" s="1"/>
  <c r="E74" i="18" l="1"/>
  <c r="D74" i="18"/>
  <c r="E66" i="18"/>
  <c r="D66" i="18"/>
  <c r="B38" i="18"/>
  <c r="A38" i="18"/>
  <c r="B31" i="18"/>
  <c r="B24" i="18"/>
  <c r="F18" i="18"/>
  <c r="D18" i="18"/>
  <c r="C18" i="18"/>
  <c r="B18" i="18"/>
  <c r="E17" i="18"/>
  <c r="E16" i="18"/>
  <c r="E15" i="18"/>
  <c r="E14" i="18"/>
  <c r="E13" i="18"/>
  <c r="E18" i="18" s="1"/>
  <c r="E58" i="24" l="1"/>
  <c r="D58" i="24"/>
  <c r="E50" i="24"/>
  <c r="D50" i="24"/>
  <c r="B38" i="24"/>
  <c r="A38" i="24"/>
  <c r="B31" i="24"/>
  <c r="B24" i="24"/>
  <c r="F18" i="24"/>
  <c r="D18" i="24"/>
  <c r="C18" i="24"/>
  <c r="B18" i="24"/>
  <c r="E17" i="24"/>
  <c r="E16" i="24"/>
  <c r="E15" i="24"/>
  <c r="E14" i="24"/>
  <c r="E13" i="24"/>
  <c r="E18" i="24" s="1"/>
  <c r="E89" i="20" l="1"/>
  <c r="D89" i="20"/>
  <c r="E81" i="20"/>
  <c r="D81" i="20"/>
  <c r="B54" i="20"/>
  <c r="A54" i="20"/>
  <c r="B47" i="20"/>
  <c r="B36" i="20"/>
  <c r="F19" i="20"/>
  <c r="E19" i="20"/>
  <c r="D19" i="20"/>
  <c r="C19" i="20"/>
  <c r="B19" i="20"/>
  <c r="E58" i="30" l="1"/>
  <c r="D58" i="30"/>
  <c r="E49" i="30"/>
  <c r="D49" i="30"/>
  <c r="B37" i="30"/>
  <c r="A37" i="30"/>
  <c r="B30" i="30"/>
  <c r="B24" i="30"/>
  <c r="F18" i="30"/>
  <c r="D18" i="30"/>
  <c r="C18" i="30"/>
  <c r="B18" i="30"/>
  <c r="E17" i="30"/>
  <c r="E16" i="30"/>
  <c r="E15" i="30"/>
  <c r="E14" i="30"/>
  <c r="E13" i="30"/>
  <c r="E18" i="30" s="1"/>
  <c r="E48" i="26" l="1"/>
  <c r="D48" i="26"/>
  <c r="B34" i="26"/>
  <c r="A34" i="26"/>
  <c r="D21" i="26"/>
  <c r="C21" i="26"/>
  <c r="B21" i="26"/>
  <c r="E20" i="26"/>
  <c r="F18" i="26"/>
  <c r="E18" i="26"/>
  <c r="E17" i="26"/>
  <c r="F17" i="26" s="1"/>
  <c r="F16" i="26"/>
  <c r="E16" i="26"/>
  <c r="E13" i="26"/>
  <c r="E21" i="26" s="1"/>
  <c r="F13" i="26" l="1"/>
  <c r="F21" i="26" s="1"/>
  <c r="E72" i="4" l="1"/>
  <c r="D72" i="4"/>
  <c r="E64" i="4"/>
  <c r="D64" i="4"/>
  <c r="B38" i="4"/>
  <c r="B31" i="4"/>
  <c r="B24" i="4"/>
  <c r="F18" i="4"/>
  <c r="D18" i="4"/>
  <c r="C18" i="4"/>
  <c r="B18" i="4"/>
  <c r="E17" i="4"/>
  <c r="E16" i="4"/>
  <c r="E15" i="4"/>
  <c r="E14" i="4"/>
  <c r="E13" i="4"/>
  <c r="E18" i="4" s="1"/>
  <c r="E56" i="2" l="1"/>
  <c r="D56" i="2"/>
  <c r="E48" i="2"/>
  <c r="D48" i="2"/>
  <c r="B38" i="2"/>
  <c r="A38" i="2"/>
  <c r="B31" i="2"/>
  <c r="B24" i="2"/>
  <c r="F18" i="2"/>
  <c r="D18" i="2"/>
  <c r="C18" i="2"/>
  <c r="B18" i="2"/>
  <c r="E17" i="2"/>
  <c r="E16" i="2"/>
  <c r="E15" i="2"/>
  <c r="E14" i="2"/>
  <c r="E13" i="2"/>
  <c r="E18" i="2" s="1"/>
  <c r="E77" i="6" l="1"/>
  <c r="D77" i="6"/>
  <c r="E71" i="6"/>
  <c r="D71" i="6"/>
  <c r="B38" i="6"/>
  <c r="A38" i="6"/>
  <c r="B31" i="6"/>
  <c r="B24" i="6"/>
  <c r="F18" i="6"/>
  <c r="D18" i="6"/>
  <c r="C18" i="6"/>
  <c r="B18" i="6"/>
  <c r="E17" i="6"/>
  <c r="E16" i="6"/>
  <c r="E15" i="6"/>
  <c r="E14" i="6"/>
  <c r="E13" i="6"/>
  <c r="E18" i="6" s="1"/>
  <c r="E51" i="10" l="1"/>
  <c r="D51" i="10"/>
  <c r="B38" i="10"/>
  <c r="B31" i="10"/>
  <c r="B24" i="10"/>
  <c r="F18" i="10"/>
  <c r="D18" i="10"/>
  <c r="C18" i="10"/>
  <c r="B18" i="10"/>
  <c r="E17" i="10"/>
  <c r="E16" i="10"/>
  <c r="E15" i="10"/>
  <c r="E14" i="10"/>
  <c r="E13" i="10"/>
  <c r="E18" i="10" s="1"/>
  <c r="E44" i="8" l="1"/>
  <c r="D44" i="8"/>
  <c r="B36" i="8"/>
  <c r="A36" i="8"/>
  <c r="F18" i="8"/>
  <c r="D18" i="8"/>
  <c r="C18" i="8"/>
  <c r="B18" i="8"/>
  <c r="E17" i="8"/>
  <c r="E16" i="8"/>
  <c r="E15" i="8"/>
  <c r="E14" i="8"/>
  <c r="E13" i="8"/>
  <c r="E18" i="8" s="1"/>
  <c r="E58" i="32" l="1"/>
  <c r="D58" i="32"/>
  <c r="E51" i="32"/>
  <c r="D51" i="32"/>
  <c r="B38" i="32"/>
  <c r="A38" i="32"/>
  <c r="B31" i="32"/>
  <c r="B24" i="32"/>
  <c r="F18" i="32"/>
  <c r="D18" i="32"/>
  <c r="C18" i="32"/>
  <c r="B18" i="32"/>
  <c r="E17" i="32"/>
  <c r="E16" i="32"/>
  <c r="E15" i="32"/>
  <c r="E14" i="32"/>
  <c r="E13" i="32"/>
  <c r="E18" i="32" s="1"/>
  <c r="E70" i="36" l="1"/>
  <c r="D70" i="36"/>
  <c r="E56" i="36"/>
  <c r="D56" i="36"/>
  <c r="B38" i="36"/>
  <c r="A38" i="36"/>
  <c r="B31" i="36"/>
  <c r="B24" i="36"/>
  <c r="F18" i="36"/>
  <c r="D18" i="36"/>
  <c r="C18" i="36"/>
  <c r="B18" i="36"/>
  <c r="E17" i="36"/>
  <c r="E16" i="36"/>
  <c r="E15" i="36"/>
  <c r="E14" i="36"/>
  <c r="E13" i="36"/>
  <c r="E18" i="36" s="1"/>
  <c r="E51" i="38" l="1"/>
  <c r="D51" i="38"/>
  <c r="E45" i="38"/>
  <c r="D45" i="38"/>
  <c r="B38" i="38"/>
  <c r="A38" i="38"/>
  <c r="B31" i="38"/>
  <c r="B24" i="38"/>
  <c r="F18" i="38"/>
  <c r="D18" i="38"/>
  <c r="C18" i="38"/>
  <c r="B18" i="38"/>
  <c r="E17" i="38"/>
  <c r="E16" i="38"/>
  <c r="E15" i="38"/>
  <c r="E14" i="38"/>
  <c r="E13" i="38"/>
  <c r="E18" i="38" s="1"/>
  <c r="E63" i="34" l="1"/>
  <c r="D63" i="34"/>
  <c r="E50" i="34"/>
  <c r="D50" i="34"/>
  <c r="B38" i="34"/>
  <c r="A38" i="34"/>
  <c r="B31" i="34"/>
  <c r="B24" i="34"/>
  <c r="F18" i="34"/>
  <c r="D18" i="34"/>
  <c r="C18" i="34"/>
  <c r="B18" i="34"/>
  <c r="E16" i="34"/>
  <c r="E15" i="34"/>
  <c r="E13" i="34"/>
  <c r="E18" i="34" s="1"/>
  <c r="W36" i="27" l="1"/>
  <c r="R36" i="27"/>
  <c r="W35" i="27"/>
  <c r="R35" i="27"/>
  <c r="W34" i="27"/>
  <c r="R34" i="27"/>
  <c r="I32" i="27"/>
  <c r="G32" i="27"/>
  <c r="F32" i="27"/>
  <c r="E32" i="27"/>
  <c r="I31" i="27"/>
  <c r="G31" i="27"/>
  <c r="F31" i="27"/>
  <c r="E31" i="27"/>
  <c r="I30" i="27"/>
  <c r="G30" i="27"/>
  <c r="F30" i="27"/>
  <c r="E30" i="27"/>
  <c r="M29" i="27"/>
  <c r="I29" i="27"/>
  <c r="G29" i="27"/>
  <c r="H29" i="27" s="1"/>
  <c r="F29" i="27"/>
  <c r="E29" i="27"/>
  <c r="M28" i="27"/>
  <c r="I28" i="27"/>
  <c r="G28" i="27"/>
  <c r="H28" i="27" s="1"/>
  <c r="F28" i="27"/>
  <c r="E28" i="27"/>
  <c r="I27" i="27"/>
  <c r="G27" i="27"/>
  <c r="F27" i="27"/>
  <c r="E27" i="27"/>
  <c r="M26" i="27"/>
  <c r="I26" i="27"/>
  <c r="G26" i="27"/>
  <c r="H26" i="27" s="1"/>
  <c r="F26" i="27"/>
  <c r="E26" i="27"/>
  <c r="I25" i="27"/>
  <c r="G25" i="27"/>
  <c r="F25" i="27"/>
  <c r="E25" i="27"/>
  <c r="I24" i="27"/>
  <c r="G24" i="27"/>
  <c r="F24" i="27"/>
  <c r="E24" i="27"/>
  <c r="M23" i="27"/>
  <c r="I23" i="27"/>
  <c r="G23" i="27"/>
  <c r="H23" i="27" s="1"/>
  <c r="F23" i="27"/>
  <c r="E23" i="27"/>
  <c r="M22" i="27"/>
  <c r="I22" i="27"/>
  <c r="G22" i="27"/>
  <c r="H22" i="27" s="1"/>
  <c r="F22" i="27"/>
  <c r="E22" i="27"/>
  <c r="R21" i="27"/>
  <c r="M21" i="27"/>
  <c r="I21" i="27"/>
  <c r="G21" i="27"/>
  <c r="H21" i="27" s="1"/>
  <c r="F21" i="27"/>
  <c r="E21" i="27"/>
  <c r="R20" i="27"/>
  <c r="M20" i="27"/>
  <c r="I20" i="27"/>
  <c r="G20" i="27"/>
  <c r="H20" i="27" s="1"/>
  <c r="F20" i="27"/>
  <c r="E20" i="27"/>
  <c r="R19" i="27"/>
  <c r="I19" i="27"/>
  <c r="G19" i="27"/>
  <c r="H19" i="27" s="1"/>
  <c r="F19" i="27"/>
  <c r="E19" i="27"/>
  <c r="W18" i="27"/>
  <c r="M18" i="27"/>
  <c r="I18" i="27"/>
  <c r="G18" i="27"/>
  <c r="H18" i="27" s="1"/>
  <c r="F18" i="27"/>
  <c r="E18" i="27"/>
  <c r="M17" i="27"/>
  <c r="I17" i="27"/>
  <c r="H17" i="27"/>
  <c r="G17" i="27"/>
  <c r="F17" i="27"/>
  <c r="E17" i="27"/>
  <c r="M16" i="27"/>
  <c r="I16" i="27"/>
  <c r="G16" i="27"/>
  <c r="H16" i="27" s="1"/>
  <c r="F16" i="27"/>
  <c r="E16" i="27"/>
  <c r="W15" i="27"/>
  <c r="M15" i="27"/>
  <c r="I15" i="27"/>
  <c r="G15" i="27"/>
  <c r="F15" i="27"/>
  <c r="H15" i="27" s="1"/>
  <c r="E15" i="27"/>
  <c r="I14" i="27"/>
  <c r="G14" i="27"/>
  <c r="F14" i="27"/>
  <c r="F11" i="27" s="1"/>
  <c r="E14" i="27"/>
  <c r="W13" i="27"/>
  <c r="M13" i="27"/>
  <c r="I13" i="27"/>
  <c r="I11" i="27" s="1"/>
  <c r="H13" i="27"/>
  <c r="G13" i="27"/>
  <c r="F13" i="27"/>
  <c r="E13" i="27"/>
  <c r="E11" i="27" s="1"/>
  <c r="W12" i="27"/>
  <c r="M12" i="27"/>
  <c r="I12" i="27"/>
  <c r="G12" i="27"/>
  <c r="H12" i="27" s="1"/>
  <c r="F12" i="27"/>
  <c r="E12" i="27"/>
  <c r="X11" i="27"/>
  <c r="W11" i="27"/>
  <c r="V11" i="27"/>
  <c r="U11" i="27"/>
  <c r="T11" i="27"/>
  <c r="S11" i="27"/>
  <c r="Q11" i="27"/>
  <c r="R11" i="27" s="1"/>
  <c r="P11" i="27"/>
  <c r="O11" i="27"/>
  <c r="N11" i="27"/>
  <c r="L11" i="27"/>
  <c r="M11" i="27" s="1"/>
  <c r="K11" i="27"/>
  <c r="J11" i="27"/>
  <c r="G11" i="27"/>
  <c r="H11" i="27" s="1"/>
  <c r="I10" i="27"/>
  <c r="G10" i="27"/>
  <c r="F10" i="27"/>
  <c r="E10" i="27"/>
  <c r="R9" i="27"/>
  <c r="M9" i="27"/>
  <c r="I9" i="27"/>
  <c r="G9" i="27"/>
  <c r="H9" i="27" s="1"/>
  <c r="F9" i="27"/>
  <c r="F6" i="27" s="1"/>
  <c r="F33" i="27" s="1"/>
  <c r="E9" i="27"/>
  <c r="M8" i="27"/>
  <c r="I8" i="27"/>
  <c r="I6" i="27" s="1"/>
  <c r="I33" i="27" s="1"/>
  <c r="H8" i="27"/>
  <c r="G8" i="27"/>
  <c r="F8" i="27"/>
  <c r="E8" i="27"/>
  <c r="E6" i="27" s="1"/>
  <c r="E33" i="27" s="1"/>
  <c r="W7" i="27"/>
  <c r="M7" i="27"/>
  <c r="I7" i="27"/>
  <c r="G7" i="27"/>
  <c r="H7" i="27" s="1"/>
  <c r="F7" i="27"/>
  <c r="E7" i="27"/>
  <c r="X6" i="27"/>
  <c r="X33" i="27" s="1"/>
  <c r="W6" i="27"/>
  <c r="V6" i="27"/>
  <c r="V33" i="27" s="1"/>
  <c r="W33" i="27" s="1"/>
  <c r="U6" i="27"/>
  <c r="U33" i="27" s="1"/>
  <c r="T6" i="27"/>
  <c r="T33" i="27" s="1"/>
  <c r="S6" i="27"/>
  <c r="S33" i="27" s="1"/>
  <c r="Q6" i="27"/>
  <c r="Q33" i="27" s="1"/>
  <c r="P6" i="27"/>
  <c r="P33" i="27" s="1"/>
  <c r="O6" i="27"/>
  <c r="O33" i="27" s="1"/>
  <c r="N6" i="27"/>
  <c r="N33" i="27" s="1"/>
  <c r="L6" i="27"/>
  <c r="L33" i="27" s="1"/>
  <c r="K6" i="27"/>
  <c r="K33" i="27" s="1"/>
  <c r="J6" i="27"/>
  <c r="J33" i="27" s="1"/>
  <c r="G6" i="27"/>
  <c r="G33" i="27" s="1"/>
  <c r="R6" i="27" l="1"/>
  <c r="H6" i="27"/>
  <c r="M6" i="27"/>
  <c r="R36" i="15" l="1"/>
  <c r="H36" i="15"/>
  <c r="R35" i="15"/>
  <c r="H35" i="15"/>
  <c r="O34" i="15"/>
  <c r="I32" i="15"/>
  <c r="G32" i="15"/>
  <c r="F32" i="15"/>
  <c r="E32" i="15"/>
  <c r="I31" i="15"/>
  <c r="G31" i="15"/>
  <c r="F31" i="15"/>
  <c r="E31" i="15"/>
  <c r="I30" i="15"/>
  <c r="G30" i="15"/>
  <c r="F30" i="15"/>
  <c r="E30" i="15"/>
  <c r="M29" i="15"/>
  <c r="I29" i="15"/>
  <c r="G29" i="15"/>
  <c r="H29" i="15" s="1"/>
  <c r="F29" i="15"/>
  <c r="E29" i="15"/>
  <c r="R28" i="15"/>
  <c r="M28" i="15"/>
  <c r="I28" i="15"/>
  <c r="H28" i="15"/>
  <c r="G28" i="15"/>
  <c r="F28" i="15"/>
  <c r="E28" i="15"/>
  <c r="I27" i="15"/>
  <c r="G27" i="15"/>
  <c r="F27" i="15"/>
  <c r="E27" i="15"/>
  <c r="W26" i="15"/>
  <c r="M26" i="15"/>
  <c r="I26" i="15"/>
  <c r="H26" i="15"/>
  <c r="G26" i="15"/>
  <c r="F26" i="15"/>
  <c r="E26" i="15"/>
  <c r="I25" i="15"/>
  <c r="G25" i="15"/>
  <c r="F25" i="15"/>
  <c r="E25" i="15"/>
  <c r="I24" i="15"/>
  <c r="G24" i="15"/>
  <c r="F24" i="15"/>
  <c r="E24" i="15"/>
  <c r="I23" i="15"/>
  <c r="G23" i="15"/>
  <c r="F23" i="15"/>
  <c r="E23" i="15"/>
  <c r="I22" i="15"/>
  <c r="G22" i="15"/>
  <c r="F22" i="15"/>
  <c r="E22" i="15"/>
  <c r="W21" i="15"/>
  <c r="R21" i="15"/>
  <c r="Q21" i="15"/>
  <c r="P21" i="15"/>
  <c r="M21" i="15"/>
  <c r="I21" i="15"/>
  <c r="G21" i="15"/>
  <c r="H21" i="15" s="1"/>
  <c r="F21" i="15"/>
  <c r="E21" i="15"/>
  <c r="V20" i="15"/>
  <c r="W20" i="15" s="1"/>
  <c r="U20" i="15"/>
  <c r="U11" i="15" s="1"/>
  <c r="W11" i="15" s="1"/>
  <c r="T20" i="15"/>
  <c r="Q20" i="15"/>
  <c r="R20" i="15" s="1"/>
  <c r="P20" i="15"/>
  <c r="O20" i="15"/>
  <c r="I20" i="15"/>
  <c r="G20" i="15"/>
  <c r="F20" i="15"/>
  <c r="E20" i="15"/>
  <c r="W19" i="15"/>
  <c r="Q19" i="15"/>
  <c r="Q34" i="15" s="1"/>
  <c r="P19" i="15"/>
  <c r="P34" i="15" s="1"/>
  <c r="M19" i="15"/>
  <c r="I19" i="15"/>
  <c r="I34" i="15" s="1"/>
  <c r="E19" i="15"/>
  <c r="E34" i="15" s="1"/>
  <c r="W18" i="15"/>
  <c r="R18" i="15"/>
  <c r="Q18" i="15"/>
  <c r="G18" i="15" s="1"/>
  <c r="H18" i="15" s="1"/>
  <c r="P18" i="15"/>
  <c r="M18" i="15"/>
  <c r="I18" i="15"/>
  <c r="F18" i="15"/>
  <c r="E18" i="15"/>
  <c r="M17" i="15"/>
  <c r="I17" i="15"/>
  <c r="H17" i="15"/>
  <c r="G17" i="15"/>
  <c r="F17" i="15"/>
  <c r="E17" i="15"/>
  <c r="R16" i="15"/>
  <c r="Q16" i="15"/>
  <c r="Q11" i="15" s="1"/>
  <c r="R11" i="15" s="1"/>
  <c r="P16" i="15"/>
  <c r="M16" i="15"/>
  <c r="I16" i="15"/>
  <c r="F16" i="15"/>
  <c r="E16" i="15"/>
  <c r="W15" i="15"/>
  <c r="M15" i="15"/>
  <c r="I15" i="15"/>
  <c r="H15" i="15"/>
  <c r="G15" i="15"/>
  <c r="F15" i="15"/>
  <c r="E15" i="15"/>
  <c r="I14" i="15"/>
  <c r="I11" i="15" s="1"/>
  <c r="G14" i="15"/>
  <c r="F14" i="15"/>
  <c r="E14" i="15"/>
  <c r="W13" i="15"/>
  <c r="M13" i="15"/>
  <c r="I13" i="15"/>
  <c r="G13" i="15"/>
  <c r="H13" i="15" s="1"/>
  <c r="F13" i="15"/>
  <c r="E13" i="15"/>
  <c r="W12" i="15"/>
  <c r="R12" i="15"/>
  <c r="P12" i="15"/>
  <c r="F12" i="15" s="1"/>
  <c r="M12" i="15"/>
  <c r="I12" i="15"/>
  <c r="G12" i="15"/>
  <c r="E12" i="15"/>
  <c r="X11" i="15"/>
  <c r="V11" i="15"/>
  <c r="T11" i="15"/>
  <c r="S11" i="15"/>
  <c r="P11" i="15"/>
  <c r="O11" i="15"/>
  <c r="N11" i="15"/>
  <c r="L11" i="15"/>
  <c r="K11" i="15"/>
  <c r="J11" i="15"/>
  <c r="E11" i="15"/>
  <c r="R10" i="15"/>
  <c r="I10" i="15"/>
  <c r="G10" i="15"/>
  <c r="F10" i="15"/>
  <c r="E10" i="15"/>
  <c r="Q9" i="15"/>
  <c r="R9" i="15" s="1"/>
  <c r="P9" i="15"/>
  <c r="F9" i="15" s="1"/>
  <c r="M9" i="15"/>
  <c r="I9" i="15"/>
  <c r="G9" i="15"/>
  <c r="H9" i="15" s="1"/>
  <c r="E9" i="15"/>
  <c r="M8" i="15"/>
  <c r="I8" i="15"/>
  <c r="I6" i="15" s="1"/>
  <c r="I33" i="15" s="1"/>
  <c r="G8" i="15"/>
  <c r="F8" i="15"/>
  <c r="F6" i="15" s="1"/>
  <c r="E8" i="15"/>
  <c r="E6" i="15" s="1"/>
  <c r="E33" i="15" s="1"/>
  <c r="W7" i="15"/>
  <c r="M7" i="15"/>
  <c r="I7" i="15"/>
  <c r="H7" i="15"/>
  <c r="G7" i="15"/>
  <c r="F7" i="15"/>
  <c r="E7" i="15"/>
  <c r="X6" i="15"/>
  <c r="X33" i="15" s="1"/>
  <c r="V6" i="15"/>
  <c r="V33" i="15" s="1"/>
  <c r="U6" i="15"/>
  <c r="U33" i="15" s="1"/>
  <c r="T6" i="15"/>
  <c r="T33" i="15" s="1"/>
  <c r="S6" i="15"/>
  <c r="S33" i="15" s="1"/>
  <c r="Q6" i="15"/>
  <c r="R6" i="15" s="1"/>
  <c r="P6" i="15"/>
  <c r="P33" i="15" s="1"/>
  <c r="O6" i="15"/>
  <c r="O33" i="15" s="1"/>
  <c r="N6" i="15"/>
  <c r="N33" i="15" s="1"/>
  <c r="L6" i="15"/>
  <c r="M6" i="15" s="1"/>
  <c r="K6" i="15"/>
  <c r="K33" i="15" s="1"/>
  <c r="J6" i="15"/>
  <c r="J33" i="15" s="1"/>
  <c r="W33" i="15" l="1"/>
  <c r="H12" i="15"/>
  <c r="G6" i="15"/>
  <c r="W6" i="15"/>
  <c r="H8" i="15"/>
  <c r="G16" i="15"/>
  <c r="H16" i="15" s="1"/>
  <c r="F19" i="15"/>
  <c r="F34" i="15" s="1"/>
  <c r="G19" i="15"/>
  <c r="L33" i="15"/>
  <c r="Q33" i="15"/>
  <c r="R19" i="15"/>
  <c r="G34" i="15" l="1"/>
  <c r="H34" i="15" s="1"/>
  <c r="H19" i="15"/>
  <c r="H6" i="15"/>
  <c r="F11" i="15"/>
  <c r="F33" i="15" s="1"/>
  <c r="G11" i="15"/>
  <c r="G33" i="15" s="1"/>
  <c r="W36" i="11" l="1"/>
  <c r="R36" i="11"/>
  <c r="H36" i="11"/>
  <c r="W35" i="11"/>
  <c r="R35" i="11"/>
  <c r="H35" i="11"/>
  <c r="X34" i="11"/>
  <c r="V34" i="11"/>
  <c r="W34" i="11" s="1"/>
  <c r="U34" i="11"/>
  <c r="S34" i="11"/>
  <c r="O34" i="11"/>
  <c r="U32" i="11"/>
  <c r="K32" i="11"/>
  <c r="F32" i="11" s="1"/>
  <c r="I32" i="11"/>
  <c r="G32" i="11"/>
  <c r="E32" i="11"/>
  <c r="U31" i="11"/>
  <c r="K31" i="11"/>
  <c r="I31" i="11"/>
  <c r="G31" i="11"/>
  <c r="F31" i="11"/>
  <c r="E31" i="11"/>
  <c r="U30" i="11"/>
  <c r="K30" i="11"/>
  <c r="F30" i="11" s="1"/>
  <c r="I30" i="11"/>
  <c r="G30" i="11"/>
  <c r="E30" i="11"/>
  <c r="U29" i="11"/>
  <c r="L29" i="11"/>
  <c r="M29" i="11" s="1"/>
  <c r="K29" i="11"/>
  <c r="I29" i="11"/>
  <c r="G29" i="11"/>
  <c r="H29" i="11" s="1"/>
  <c r="F29" i="11"/>
  <c r="E29" i="11"/>
  <c r="U28" i="11"/>
  <c r="P28" i="11"/>
  <c r="R28" i="11" s="1"/>
  <c r="M28" i="11"/>
  <c r="L28" i="11"/>
  <c r="K28" i="11"/>
  <c r="I28" i="11"/>
  <c r="G28" i="11"/>
  <c r="E28" i="11"/>
  <c r="U27" i="11"/>
  <c r="K27" i="11"/>
  <c r="I27" i="11"/>
  <c r="G27" i="11"/>
  <c r="F27" i="11"/>
  <c r="E27" i="11"/>
  <c r="U26" i="11"/>
  <c r="W26" i="11" s="1"/>
  <c r="M26" i="11"/>
  <c r="L26" i="11"/>
  <c r="K26" i="11"/>
  <c r="I26" i="11"/>
  <c r="H26" i="11"/>
  <c r="G26" i="11"/>
  <c r="F26" i="11"/>
  <c r="E26" i="11"/>
  <c r="U25" i="11"/>
  <c r="K25" i="11"/>
  <c r="I25" i="11"/>
  <c r="G25" i="11"/>
  <c r="F25" i="11"/>
  <c r="E25" i="11"/>
  <c r="U24" i="11"/>
  <c r="K24" i="11"/>
  <c r="F24" i="11" s="1"/>
  <c r="I24" i="11"/>
  <c r="G24" i="11"/>
  <c r="E24" i="11"/>
  <c r="U23" i="11"/>
  <c r="K23" i="11"/>
  <c r="I23" i="11"/>
  <c r="G23" i="11"/>
  <c r="F23" i="11"/>
  <c r="E23" i="11"/>
  <c r="U22" i="11"/>
  <c r="K22" i="11"/>
  <c r="F22" i="11" s="1"/>
  <c r="I22" i="11"/>
  <c r="G22" i="11"/>
  <c r="E22" i="11"/>
  <c r="W21" i="11"/>
  <c r="Q21" i="11"/>
  <c r="R21" i="11" s="1"/>
  <c r="P21" i="11"/>
  <c r="F21" i="11" s="1"/>
  <c r="O21" i="11"/>
  <c r="O20" i="11" s="1"/>
  <c r="K21" i="11"/>
  <c r="I21" i="11"/>
  <c r="E21" i="11"/>
  <c r="W20" i="11"/>
  <c r="V20" i="11"/>
  <c r="U20" i="11"/>
  <c r="Q20" i="11"/>
  <c r="L20" i="11"/>
  <c r="K20" i="11"/>
  <c r="I20" i="11"/>
  <c r="G20" i="11"/>
  <c r="W19" i="11"/>
  <c r="R19" i="11"/>
  <c r="Q19" i="11"/>
  <c r="Q34" i="11" s="1"/>
  <c r="P19" i="11"/>
  <c r="P34" i="11" s="1"/>
  <c r="L19" i="11"/>
  <c r="M19" i="11" s="1"/>
  <c r="K19" i="11"/>
  <c r="I19" i="11"/>
  <c r="G19" i="11"/>
  <c r="G34" i="11" s="1"/>
  <c r="H34" i="11" s="1"/>
  <c r="F19" i="11"/>
  <c r="F34" i="11" s="1"/>
  <c r="E19" i="11"/>
  <c r="E34" i="11" s="1"/>
  <c r="U18" i="11"/>
  <c r="W18" i="11" s="1"/>
  <c r="R18" i="11"/>
  <c r="Q18" i="11"/>
  <c r="P18" i="11"/>
  <c r="O18" i="11"/>
  <c r="M18" i="11"/>
  <c r="L18" i="11"/>
  <c r="K18" i="11"/>
  <c r="I18" i="11"/>
  <c r="H18" i="11"/>
  <c r="G18" i="11"/>
  <c r="F18" i="11"/>
  <c r="E18" i="11"/>
  <c r="U17" i="11"/>
  <c r="L17" i="11"/>
  <c r="K17" i="11"/>
  <c r="M17" i="11" s="1"/>
  <c r="I17" i="11"/>
  <c r="G17" i="11"/>
  <c r="F17" i="11"/>
  <c r="H17" i="11" s="1"/>
  <c r="E17" i="11"/>
  <c r="U16" i="11"/>
  <c r="P16" i="11"/>
  <c r="R16" i="11" s="1"/>
  <c r="O16" i="11"/>
  <c r="L16" i="11"/>
  <c r="K16" i="11"/>
  <c r="M16" i="11" s="1"/>
  <c r="I16" i="11"/>
  <c r="G16" i="11"/>
  <c r="F16" i="11"/>
  <c r="H16" i="11" s="1"/>
  <c r="E16" i="11"/>
  <c r="W15" i="11"/>
  <c r="U15" i="11"/>
  <c r="M15" i="11"/>
  <c r="L15" i="11"/>
  <c r="K15" i="11"/>
  <c r="I15" i="11"/>
  <c r="G15" i="11"/>
  <c r="H15" i="11" s="1"/>
  <c r="F15" i="11"/>
  <c r="E15" i="11"/>
  <c r="U14" i="11"/>
  <c r="I14" i="11"/>
  <c r="I11" i="11" s="1"/>
  <c r="G14" i="11"/>
  <c r="F14" i="11"/>
  <c r="E14" i="11"/>
  <c r="W13" i="11"/>
  <c r="U13" i="11"/>
  <c r="L13" i="11"/>
  <c r="M13" i="11" s="1"/>
  <c r="K13" i="11"/>
  <c r="I13" i="11"/>
  <c r="G13" i="11"/>
  <c r="H13" i="11" s="1"/>
  <c r="F13" i="11"/>
  <c r="E13" i="11"/>
  <c r="U12" i="11"/>
  <c r="W12" i="11" s="1"/>
  <c r="R12" i="11"/>
  <c r="Q12" i="11"/>
  <c r="P12" i="11"/>
  <c r="L12" i="11"/>
  <c r="M12" i="11" s="1"/>
  <c r="K12" i="11"/>
  <c r="I12" i="11"/>
  <c r="G12" i="11"/>
  <c r="H12" i="11" s="1"/>
  <c r="F12" i="11"/>
  <c r="E12" i="11"/>
  <c r="X11" i="11"/>
  <c r="V11" i="11"/>
  <c r="T11" i="11"/>
  <c r="S11" i="11"/>
  <c r="N11" i="11"/>
  <c r="K11" i="11"/>
  <c r="J11" i="11"/>
  <c r="I10" i="11"/>
  <c r="G10" i="11"/>
  <c r="F10" i="11"/>
  <c r="E10" i="11"/>
  <c r="V9" i="11"/>
  <c r="W9" i="11" s="1"/>
  <c r="R9" i="11"/>
  <c r="Q9" i="11"/>
  <c r="L9" i="11"/>
  <c r="G9" i="11" s="1"/>
  <c r="H9" i="11" s="1"/>
  <c r="K9" i="11"/>
  <c r="I9" i="11"/>
  <c r="F9" i="11"/>
  <c r="E9" i="11"/>
  <c r="L8" i="11"/>
  <c r="M8" i="11" s="1"/>
  <c r="K8" i="11"/>
  <c r="I8" i="11"/>
  <c r="F8" i="11"/>
  <c r="E8" i="11"/>
  <c r="U7" i="11"/>
  <c r="W7" i="11" s="1"/>
  <c r="L7" i="11"/>
  <c r="K7" i="11"/>
  <c r="K6" i="11" s="1"/>
  <c r="K33" i="11" s="1"/>
  <c r="I7" i="11"/>
  <c r="G7" i="11"/>
  <c r="E7" i="11"/>
  <c r="X6" i="11"/>
  <c r="X33" i="11" s="1"/>
  <c r="U6" i="11"/>
  <c r="T6" i="11"/>
  <c r="T33" i="11" s="1"/>
  <c r="S6" i="11"/>
  <c r="S33" i="11" s="1"/>
  <c r="Q6" i="11"/>
  <c r="P6" i="11"/>
  <c r="O6" i="11"/>
  <c r="N6" i="11"/>
  <c r="N33" i="11" s="1"/>
  <c r="J6" i="11"/>
  <c r="J33" i="11" s="1"/>
  <c r="I6" i="11"/>
  <c r="I33" i="11" s="1"/>
  <c r="E6" i="11"/>
  <c r="E20" i="11" l="1"/>
  <c r="E11" i="11" s="1"/>
  <c r="E33" i="11" s="1"/>
  <c r="O11" i="11"/>
  <c r="O33" i="11"/>
  <c r="U33" i="11"/>
  <c r="R34" i="11"/>
  <c r="R6" i="11"/>
  <c r="V6" i="11"/>
  <c r="L6" i="11"/>
  <c r="M7" i="11"/>
  <c r="P20" i="11"/>
  <c r="L21" i="11"/>
  <c r="G21" i="11" s="1"/>
  <c r="G8" i="11"/>
  <c r="F7" i="11"/>
  <c r="M9" i="11"/>
  <c r="Q11" i="11"/>
  <c r="U11" i="11"/>
  <c r="W11" i="11" s="1"/>
  <c r="H19" i="11"/>
  <c r="F28" i="11"/>
  <c r="H28" i="11" s="1"/>
  <c r="Q33" i="11" l="1"/>
  <c r="P11" i="11"/>
  <c r="P33" i="11" s="1"/>
  <c r="F20" i="11"/>
  <c r="W6" i="11"/>
  <c r="V33" i="11"/>
  <c r="W33" i="11" s="1"/>
  <c r="F6" i="11"/>
  <c r="H7" i="11"/>
  <c r="R20" i="11"/>
  <c r="G6" i="11"/>
  <c r="H8" i="11"/>
  <c r="M6" i="11"/>
  <c r="H21" i="11"/>
  <c r="G11" i="11"/>
  <c r="L11" i="11"/>
  <c r="M11" i="11" s="1"/>
  <c r="G33" i="11" l="1"/>
  <c r="H6" i="11"/>
  <c r="R11" i="11"/>
  <c r="L33" i="11"/>
  <c r="F11" i="11"/>
  <c r="H11" i="11" s="1"/>
  <c r="H20" i="11"/>
  <c r="F33" i="11" l="1"/>
  <c r="H36" i="21" l="1"/>
  <c r="H35" i="21"/>
  <c r="H34" i="21"/>
  <c r="I32" i="21"/>
  <c r="G32" i="21"/>
  <c r="F32" i="21"/>
  <c r="E32" i="21"/>
  <c r="I31" i="21"/>
  <c r="G31" i="21"/>
  <c r="F31" i="21"/>
  <c r="E31" i="21"/>
  <c r="I30" i="21"/>
  <c r="G30" i="21"/>
  <c r="F30" i="21"/>
  <c r="E30" i="21"/>
  <c r="M29" i="21"/>
  <c r="I29" i="21"/>
  <c r="H29" i="21"/>
  <c r="G29" i="21"/>
  <c r="F29" i="21"/>
  <c r="E29" i="21"/>
  <c r="R28" i="21"/>
  <c r="M28" i="21"/>
  <c r="I28" i="21"/>
  <c r="G28" i="21"/>
  <c r="H28" i="21" s="1"/>
  <c r="F28" i="21"/>
  <c r="E28" i="21"/>
  <c r="I27" i="21"/>
  <c r="G27" i="21"/>
  <c r="F27" i="21"/>
  <c r="E27" i="21"/>
  <c r="M26" i="21"/>
  <c r="I26" i="21"/>
  <c r="G26" i="21"/>
  <c r="H26" i="21" s="1"/>
  <c r="F26" i="21"/>
  <c r="E26" i="21"/>
  <c r="I25" i="21"/>
  <c r="G25" i="21"/>
  <c r="F25" i="21"/>
  <c r="E25" i="21"/>
  <c r="I24" i="21"/>
  <c r="G24" i="21"/>
  <c r="F24" i="21"/>
  <c r="E24" i="21"/>
  <c r="I23" i="21"/>
  <c r="G23" i="21"/>
  <c r="F23" i="21"/>
  <c r="E23" i="21"/>
  <c r="I22" i="21"/>
  <c r="G22" i="21"/>
  <c r="F22" i="21"/>
  <c r="E22" i="21"/>
  <c r="R21" i="21"/>
  <c r="M21" i="21"/>
  <c r="I21" i="21"/>
  <c r="H21" i="21"/>
  <c r="G21" i="21"/>
  <c r="F21" i="21"/>
  <c r="E21" i="21"/>
  <c r="R20" i="21"/>
  <c r="M20" i="21"/>
  <c r="I20" i="21"/>
  <c r="G20" i="21"/>
  <c r="H20" i="21" s="1"/>
  <c r="F20" i="21"/>
  <c r="E20" i="21"/>
  <c r="R19" i="21"/>
  <c r="M19" i="21"/>
  <c r="I19" i="21"/>
  <c r="G19" i="21"/>
  <c r="H19" i="21" s="1"/>
  <c r="F19" i="21"/>
  <c r="E19" i="21"/>
  <c r="R18" i="21"/>
  <c r="M18" i="21"/>
  <c r="I18" i="21"/>
  <c r="G18" i="21"/>
  <c r="F18" i="21"/>
  <c r="H18" i="21" s="1"/>
  <c r="E18" i="21"/>
  <c r="R17" i="21"/>
  <c r="M17" i="21"/>
  <c r="I17" i="21"/>
  <c r="H17" i="21"/>
  <c r="G17" i="21"/>
  <c r="F17" i="21"/>
  <c r="E17" i="21"/>
  <c r="R16" i="21"/>
  <c r="M16" i="21"/>
  <c r="I16" i="21"/>
  <c r="G16" i="21"/>
  <c r="H16" i="21" s="1"/>
  <c r="F16" i="21"/>
  <c r="E16" i="21"/>
  <c r="M15" i="21"/>
  <c r="I15" i="21"/>
  <c r="G15" i="21"/>
  <c r="H15" i="21" s="1"/>
  <c r="F15" i="21"/>
  <c r="E15" i="21"/>
  <c r="I14" i="21"/>
  <c r="G14" i="21"/>
  <c r="F14" i="21"/>
  <c r="E14" i="21"/>
  <c r="W13" i="21"/>
  <c r="M13" i="21"/>
  <c r="I13" i="21"/>
  <c r="H13" i="21"/>
  <c r="G13" i="21"/>
  <c r="F13" i="21"/>
  <c r="E13" i="21"/>
  <c r="W12" i="21"/>
  <c r="R12" i="21"/>
  <c r="M12" i="21"/>
  <c r="I12" i="21"/>
  <c r="H12" i="21"/>
  <c r="G12" i="21"/>
  <c r="F12" i="21"/>
  <c r="E12" i="21"/>
  <c r="E11" i="21" s="1"/>
  <c r="X11" i="21"/>
  <c r="V11" i="21"/>
  <c r="W11" i="21" s="1"/>
  <c r="U11" i="21"/>
  <c r="T11" i="21"/>
  <c r="S11" i="21"/>
  <c r="Q11" i="21"/>
  <c r="R11" i="21" s="1"/>
  <c r="P11" i="21"/>
  <c r="O11" i="21"/>
  <c r="L11" i="21"/>
  <c r="M11" i="21" s="1"/>
  <c r="K11" i="21"/>
  <c r="J11" i="21"/>
  <c r="G11" i="21"/>
  <c r="H11" i="21" s="1"/>
  <c r="F11" i="21"/>
  <c r="I10" i="21"/>
  <c r="G10" i="21"/>
  <c r="F10" i="21"/>
  <c r="E10" i="21"/>
  <c r="R9" i="21"/>
  <c r="M9" i="21"/>
  <c r="I9" i="21"/>
  <c r="I6" i="21" s="1"/>
  <c r="I33" i="21" s="1"/>
  <c r="G9" i="21"/>
  <c r="F9" i="21"/>
  <c r="H9" i="21" s="1"/>
  <c r="E9" i="21"/>
  <c r="I8" i="21"/>
  <c r="G8" i="21"/>
  <c r="F8" i="21"/>
  <c r="F6" i="21" s="1"/>
  <c r="E8" i="21"/>
  <c r="E6" i="21" s="1"/>
  <c r="W7" i="21"/>
  <c r="M7" i="21"/>
  <c r="I7" i="21"/>
  <c r="H7" i="21"/>
  <c r="G7" i="21"/>
  <c r="F7" i="21"/>
  <c r="E7" i="21"/>
  <c r="X6" i="21"/>
  <c r="X33" i="21" s="1"/>
  <c r="V6" i="21"/>
  <c r="V33" i="21" s="1"/>
  <c r="U6" i="21"/>
  <c r="U33" i="21" s="1"/>
  <c r="T6" i="21"/>
  <c r="T33" i="21" s="1"/>
  <c r="S6" i="21"/>
  <c r="S33" i="21" s="1"/>
  <c r="Q6" i="21"/>
  <c r="R6" i="21" s="1"/>
  <c r="P6" i="21"/>
  <c r="P33" i="21" s="1"/>
  <c r="O6" i="21"/>
  <c r="O33" i="21" s="1"/>
  <c r="N6" i="21"/>
  <c r="N33" i="21" s="1"/>
  <c r="L6" i="21"/>
  <c r="L33" i="21" s="1"/>
  <c r="K6" i="21"/>
  <c r="K33" i="21" s="1"/>
  <c r="J6" i="21"/>
  <c r="J33" i="21" s="1"/>
  <c r="G6" i="21"/>
  <c r="G33" i="21" s="1"/>
  <c r="W33" i="21" l="1"/>
  <c r="E33" i="21"/>
  <c r="H6" i="21"/>
  <c r="F33" i="21"/>
  <c r="W6" i="21"/>
  <c r="M6" i="21"/>
  <c r="Q33" i="21"/>
  <c r="R36" i="17" l="1"/>
  <c r="M36" i="17"/>
  <c r="H36" i="17"/>
  <c r="R35" i="17"/>
  <c r="M35" i="17"/>
  <c r="H35" i="17"/>
  <c r="S34" i="17"/>
  <c r="K34" i="17"/>
  <c r="M29" i="17"/>
  <c r="K29" i="17"/>
  <c r="I29" i="17"/>
  <c r="H29" i="17"/>
  <c r="G29" i="17"/>
  <c r="F29" i="17"/>
  <c r="E29" i="17"/>
  <c r="R28" i="17"/>
  <c r="Q28" i="17"/>
  <c r="P28" i="17"/>
  <c r="M28" i="17"/>
  <c r="L28" i="17"/>
  <c r="K28" i="17"/>
  <c r="I28" i="17"/>
  <c r="G28" i="17"/>
  <c r="H28" i="17" s="1"/>
  <c r="F28" i="17"/>
  <c r="E28" i="17"/>
  <c r="L26" i="17"/>
  <c r="M26" i="17" s="1"/>
  <c r="K26" i="17"/>
  <c r="I26" i="17"/>
  <c r="G26" i="17"/>
  <c r="H26" i="17" s="1"/>
  <c r="F26" i="17"/>
  <c r="E26" i="17"/>
  <c r="Q21" i="17"/>
  <c r="R21" i="17" s="1"/>
  <c r="P21" i="17"/>
  <c r="K21" i="17"/>
  <c r="I21" i="17"/>
  <c r="F21" i="17"/>
  <c r="E21" i="17"/>
  <c r="T20" i="17"/>
  <c r="Q20" i="17"/>
  <c r="R20" i="17" s="1"/>
  <c r="P20" i="17"/>
  <c r="O20" i="17"/>
  <c r="L20" i="17"/>
  <c r="M20" i="17" s="1"/>
  <c r="K20" i="17"/>
  <c r="F20" i="17" s="1"/>
  <c r="J20" i="17"/>
  <c r="I20" i="17"/>
  <c r="E20" i="17"/>
  <c r="Q19" i="17"/>
  <c r="Q34" i="17" s="1"/>
  <c r="O19" i="17"/>
  <c r="P19" i="17" s="1"/>
  <c r="M19" i="17"/>
  <c r="L19" i="17"/>
  <c r="L34" i="17" s="1"/>
  <c r="M34" i="17" s="1"/>
  <c r="K19" i="17"/>
  <c r="I19" i="17"/>
  <c r="G19" i="17"/>
  <c r="G34" i="17" s="1"/>
  <c r="E19" i="17"/>
  <c r="E34" i="17" s="1"/>
  <c r="U18" i="17"/>
  <c r="Q18" i="17"/>
  <c r="P18" i="17"/>
  <c r="F18" i="17" s="1"/>
  <c r="M18" i="17"/>
  <c r="L18" i="17"/>
  <c r="K18" i="17"/>
  <c r="I18" i="17"/>
  <c r="G18" i="17"/>
  <c r="E18" i="17"/>
  <c r="M17" i="17"/>
  <c r="K17" i="17"/>
  <c r="I17" i="17"/>
  <c r="G17" i="17"/>
  <c r="H17" i="17" s="1"/>
  <c r="F17" i="17"/>
  <c r="E17" i="17"/>
  <c r="Q16" i="17"/>
  <c r="G16" i="17" s="1"/>
  <c r="H16" i="17" s="1"/>
  <c r="P16" i="17"/>
  <c r="K16" i="17"/>
  <c r="M16" i="17" s="1"/>
  <c r="I16" i="17"/>
  <c r="F16" i="17"/>
  <c r="E16" i="17"/>
  <c r="M15" i="17"/>
  <c r="K15" i="17"/>
  <c r="I15" i="17"/>
  <c r="H15" i="17"/>
  <c r="G15" i="17"/>
  <c r="F15" i="17"/>
  <c r="E15" i="17"/>
  <c r="M14" i="17"/>
  <c r="G14" i="17"/>
  <c r="F14" i="17"/>
  <c r="H14" i="17" s="1"/>
  <c r="W13" i="17"/>
  <c r="L13" i="17"/>
  <c r="M13" i="17" s="1"/>
  <c r="K13" i="17"/>
  <c r="I13" i="17"/>
  <c r="G13" i="17"/>
  <c r="H13" i="17" s="1"/>
  <c r="F13" i="17"/>
  <c r="E13" i="17"/>
  <c r="W12" i="17"/>
  <c r="Q12" i="17"/>
  <c r="R12" i="17" s="1"/>
  <c r="P12" i="17"/>
  <c r="P11" i="17" s="1"/>
  <c r="K12" i="17"/>
  <c r="K11" i="17" s="1"/>
  <c r="I12" i="17"/>
  <c r="F12" i="17"/>
  <c r="E12" i="17"/>
  <c r="X11" i="17"/>
  <c r="V11" i="17"/>
  <c r="W11" i="17" s="1"/>
  <c r="U11" i="17"/>
  <c r="T11" i="17"/>
  <c r="S11" i="17"/>
  <c r="Q11" i="17"/>
  <c r="O11" i="17"/>
  <c r="N11" i="17"/>
  <c r="J11" i="17"/>
  <c r="I11" i="17"/>
  <c r="E11" i="17"/>
  <c r="I10" i="17"/>
  <c r="G10" i="17"/>
  <c r="F10" i="17"/>
  <c r="E10" i="17"/>
  <c r="Q9" i="17"/>
  <c r="R9" i="17" s="1"/>
  <c r="P9" i="17"/>
  <c r="F9" i="17" s="1"/>
  <c r="K9" i="17"/>
  <c r="I9" i="17"/>
  <c r="E9" i="17"/>
  <c r="M8" i="17"/>
  <c r="I8" i="17"/>
  <c r="G8" i="17"/>
  <c r="H8" i="17" s="1"/>
  <c r="F8" i="17"/>
  <c r="F6" i="17" s="1"/>
  <c r="V7" i="17"/>
  <c r="U7" i="17"/>
  <c r="W7" i="17" s="1"/>
  <c r="M7" i="17"/>
  <c r="L7" i="17"/>
  <c r="K7" i="17"/>
  <c r="I7" i="17"/>
  <c r="H7" i="17"/>
  <c r="G7" i="17"/>
  <c r="F7" i="17"/>
  <c r="E7" i="17"/>
  <c r="X6" i="17"/>
  <c r="X33" i="17" s="1"/>
  <c r="V6" i="17"/>
  <c r="V33" i="17" s="1"/>
  <c r="W33" i="17" s="1"/>
  <c r="U6" i="17"/>
  <c r="U33" i="17" s="1"/>
  <c r="T6" i="17"/>
  <c r="T33" i="17" s="1"/>
  <c r="S6" i="17"/>
  <c r="S33" i="17" s="1"/>
  <c r="Q6" i="17"/>
  <c r="Q33" i="17" s="1"/>
  <c r="P6" i="17"/>
  <c r="O6" i="17"/>
  <c r="O33" i="17" s="1"/>
  <c r="N6" i="17"/>
  <c r="N33" i="17" s="1"/>
  <c r="K6" i="17"/>
  <c r="K33" i="17" s="1"/>
  <c r="J6" i="17"/>
  <c r="J33" i="17" s="1"/>
  <c r="I6" i="17"/>
  <c r="I33" i="17" s="1"/>
  <c r="E6" i="17"/>
  <c r="E33" i="17" s="1"/>
  <c r="R11" i="17" l="1"/>
  <c r="H18" i="17"/>
  <c r="P33" i="17"/>
  <c r="F19" i="17"/>
  <c r="P34" i="17"/>
  <c r="R19" i="17"/>
  <c r="R34" i="17"/>
  <c r="W6" i="17"/>
  <c r="L9" i="17"/>
  <c r="R18" i="17"/>
  <c r="G20" i="17"/>
  <c r="H20" i="17" s="1"/>
  <c r="O34" i="17"/>
  <c r="R16" i="17"/>
  <c r="L21" i="17"/>
  <c r="R6" i="17"/>
  <c r="L12" i="17"/>
  <c r="M21" i="17" l="1"/>
  <c r="G21" i="17"/>
  <c r="H21" i="17" s="1"/>
  <c r="F34" i="17"/>
  <c r="H34" i="17" s="1"/>
  <c r="H19" i="17"/>
  <c r="F11" i="17"/>
  <c r="F33" i="17" s="1"/>
  <c r="L6" i="17"/>
  <c r="M9" i="17"/>
  <c r="G9" i="17"/>
  <c r="G12" i="17"/>
  <c r="M12" i="17"/>
  <c r="L11" i="17"/>
  <c r="M11" i="17" s="1"/>
  <c r="L33" i="17" l="1"/>
  <c r="M6" i="17"/>
  <c r="G11" i="17"/>
  <c r="H11" i="17" s="1"/>
  <c r="H12" i="17"/>
  <c r="H9" i="17"/>
  <c r="G6" i="17"/>
  <c r="G33" i="17" l="1"/>
  <c r="H6" i="17"/>
  <c r="H36" i="13" l="1"/>
  <c r="H35" i="13"/>
  <c r="H34" i="13"/>
  <c r="I32" i="13"/>
  <c r="G32" i="13"/>
  <c r="F32" i="13"/>
  <c r="E32" i="13"/>
  <c r="I31" i="13"/>
  <c r="G31" i="13"/>
  <c r="F31" i="13"/>
  <c r="E31" i="13"/>
  <c r="I30" i="13"/>
  <c r="G30" i="13"/>
  <c r="F30" i="13"/>
  <c r="E30" i="13"/>
  <c r="M29" i="13"/>
  <c r="I29" i="13"/>
  <c r="H29" i="13"/>
  <c r="G29" i="13"/>
  <c r="F29" i="13"/>
  <c r="E29" i="13"/>
  <c r="W28" i="13"/>
  <c r="M28" i="13"/>
  <c r="I28" i="13"/>
  <c r="G28" i="13"/>
  <c r="H28" i="13" s="1"/>
  <c r="F28" i="13"/>
  <c r="E28" i="13"/>
  <c r="I27" i="13"/>
  <c r="G27" i="13"/>
  <c r="F27" i="13"/>
  <c r="E27" i="13"/>
  <c r="W26" i="13"/>
  <c r="M26" i="13"/>
  <c r="I26" i="13"/>
  <c r="G26" i="13"/>
  <c r="H26" i="13" s="1"/>
  <c r="F26" i="13"/>
  <c r="E26" i="13"/>
  <c r="M25" i="13"/>
  <c r="I25" i="13"/>
  <c r="H25" i="13"/>
  <c r="G25" i="13"/>
  <c r="F25" i="13"/>
  <c r="E25" i="13"/>
  <c r="I24" i="13"/>
  <c r="G24" i="13"/>
  <c r="F24" i="13"/>
  <c r="E24" i="13"/>
  <c r="I23" i="13"/>
  <c r="G23" i="13"/>
  <c r="F23" i="13"/>
  <c r="E23" i="13"/>
  <c r="I22" i="13"/>
  <c r="G22" i="13"/>
  <c r="F22" i="13"/>
  <c r="E22" i="13"/>
  <c r="W21" i="13"/>
  <c r="R21" i="13"/>
  <c r="M21" i="13"/>
  <c r="I21" i="13"/>
  <c r="H21" i="13"/>
  <c r="G21" i="13"/>
  <c r="F21" i="13"/>
  <c r="E21" i="13"/>
  <c r="W20" i="13"/>
  <c r="Q20" i="13"/>
  <c r="P20" i="13"/>
  <c r="R20" i="13" s="1"/>
  <c r="O20" i="13"/>
  <c r="E20" i="13" s="1"/>
  <c r="M20" i="13"/>
  <c r="I20" i="13"/>
  <c r="G20" i="13"/>
  <c r="W19" i="13"/>
  <c r="R19" i="13"/>
  <c r="P19" i="13"/>
  <c r="O19" i="13"/>
  <c r="M19" i="13"/>
  <c r="I19" i="13"/>
  <c r="G19" i="13"/>
  <c r="H19" i="13" s="1"/>
  <c r="F19" i="13"/>
  <c r="E19" i="13"/>
  <c r="W18" i="13"/>
  <c r="R18" i="13"/>
  <c r="O18" i="13"/>
  <c r="O11" i="13" s="1"/>
  <c r="M18" i="13"/>
  <c r="I18" i="13"/>
  <c r="G18" i="13"/>
  <c r="H18" i="13" s="1"/>
  <c r="F18" i="13"/>
  <c r="M17" i="13"/>
  <c r="I17" i="13"/>
  <c r="H17" i="13"/>
  <c r="G17" i="13"/>
  <c r="F17" i="13"/>
  <c r="E17" i="13"/>
  <c r="R16" i="13"/>
  <c r="M16" i="13"/>
  <c r="I16" i="13"/>
  <c r="G16" i="13"/>
  <c r="H16" i="13" s="1"/>
  <c r="F16" i="13"/>
  <c r="E16" i="13"/>
  <c r="W15" i="13"/>
  <c r="M15" i="13"/>
  <c r="I15" i="13"/>
  <c r="G15" i="13"/>
  <c r="H15" i="13" s="1"/>
  <c r="F15" i="13"/>
  <c r="E15" i="13"/>
  <c r="I14" i="13"/>
  <c r="G14" i="13"/>
  <c r="G11" i="13" s="1"/>
  <c r="F14" i="13"/>
  <c r="E14" i="13"/>
  <c r="W13" i="13"/>
  <c r="M13" i="13"/>
  <c r="I13" i="13"/>
  <c r="G13" i="13"/>
  <c r="H13" i="13" s="1"/>
  <c r="F13" i="13"/>
  <c r="E13" i="13"/>
  <c r="W12" i="13"/>
  <c r="R12" i="13"/>
  <c r="M12" i="13"/>
  <c r="I12" i="13"/>
  <c r="G12" i="13"/>
  <c r="H12" i="13" s="1"/>
  <c r="F12" i="13"/>
  <c r="E12" i="13"/>
  <c r="X11" i="13"/>
  <c r="V11" i="13"/>
  <c r="W11" i="13" s="1"/>
  <c r="U11" i="13"/>
  <c r="T11" i="13"/>
  <c r="S11" i="13"/>
  <c r="Q11" i="13"/>
  <c r="N11" i="13"/>
  <c r="M11" i="13"/>
  <c r="L11" i="13"/>
  <c r="K11" i="13"/>
  <c r="J11" i="13"/>
  <c r="I11" i="13"/>
  <c r="I10" i="13"/>
  <c r="G10" i="13"/>
  <c r="F10" i="13"/>
  <c r="E10" i="13"/>
  <c r="R9" i="13"/>
  <c r="P9" i="13"/>
  <c r="O9" i="13"/>
  <c r="O6" i="13" s="1"/>
  <c r="M9" i="13"/>
  <c r="I9" i="13"/>
  <c r="G9" i="13"/>
  <c r="H9" i="13" s="1"/>
  <c r="F9" i="13"/>
  <c r="I8" i="13"/>
  <c r="G8" i="13"/>
  <c r="G6" i="13" s="1"/>
  <c r="F8" i="13"/>
  <c r="F6" i="13" s="1"/>
  <c r="E8" i="13"/>
  <c r="W7" i="13"/>
  <c r="M7" i="13"/>
  <c r="I7" i="13"/>
  <c r="G7" i="13"/>
  <c r="F7" i="13"/>
  <c r="H7" i="13" s="1"/>
  <c r="E7" i="13"/>
  <c r="X6" i="13"/>
  <c r="X33" i="13" s="1"/>
  <c r="V6" i="13"/>
  <c r="W6" i="13" s="1"/>
  <c r="U6" i="13"/>
  <c r="U33" i="13" s="1"/>
  <c r="T6" i="13"/>
  <c r="T33" i="13" s="1"/>
  <c r="S6" i="13"/>
  <c r="S33" i="13" s="1"/>
  <c r="Q6" i="13"/>
  <c r="Q33" i="13" s="1"/>
  <c r="P6" i="13"/>
  <c r="N6" i="13"/>
  <c r="N33" i="13" s="1"/>
  <c r="M6" i="13"/>
  <c r="L6" i="13"/>
  <c r="L33" i="13" s="1"/>
  <c r="K6" i="13"/>
  <c r="K33" i="13" s="1"/>
  <c r="J6" i="13"/>
  <c r="J33" i="13" s="1"/>
  <c r="I6" i="13"/>
  <c r="I33" i="13" s="1"/>
  <c r="G33" i="13" l="1"/>
  <c r="H6" i="13"/>
  <c r="P33" i="13"/>
  <c r="O33" i="13"/>
  <c r="R11" i="13"/>
  <c r="R6" i="13"/>
  <c r="E9" i="13"/>
  <c r="E6" i="13" s="1"/>
  <c r="E33" i="13" s="1"/>
  <c r="P11" i="13"/>
  <c r="E18" i="13"/>
  <c r="E11" i="13" s="1"/>
  <c r="F20" i="13"/>
  <c r="F11" i="13" s="1"/>
  <c r="H11" i="13" s="1"/>
  <c r="V33" i="13"/>
  <c r="W33" i="13" s="1"/>
  <c r="H20" i="13" l="1"/>
  <c r="F33" i="13"/>
  <c r="W36" i="19" l="1"/>
  <c r="R36" i="19"/>
  <c r="M36" i="19"/>
  <c r="H36" i="19"/>
  <c r="W35" i="19"/>
  <c r="R35" i="19"/>
  <c r="M35" i="19"/>
  <c r="H35" i="19"/>
  <c r="W34" i="19"/>
  <c r="R34" i="19"/>
  <c r="M34" i="19"/>
  <c r="H34" i="19"/>
  <c r="W32" i="19"/>
  <c r="R32" i="19"/>
  <c r="M32" i="19"/>
  <c r="I32" i="19"/>
  <c r="G32" i="19"/>
  <c r="H32" i="19" s="1"/>
  <c r="F32" i="19"/>
  <c r="E32" i="19"/>
  <c r="W31" i="19"/>
  <c r="R31" i="19"/>
  <c r="M31" i="19"/>
  <c r="I31" i="19"/>
  <c r="F31" i="19"/>
  <c r="H31" i="19" s="1"/>
  <c r="E31" i="19"/>
  <c r="W30" i="19"/>
  <c r="R30" i="19"/>
  <c r="M30" i="19"/>
  <c r="I30" i="19"/>
  <c r="H30" i="19"/>
  <c r="F30" i="19"/>
  <c r="E30" i="19"/>
  <c r="W29" i="19"/>
  <c r="R29" i="19"/>
  <c r="M29" i="19"/>
  <c r="I29" i="19"/>
  <c r="H29" i="19"/>
  <c r="G29" i="19"/>
  <c r="F29" i="19"/>
  <c r="E29" i="19"/>
  <c r="W28" i="19"/>
  <c r="R28" i="19"/>
  <c r="M28" i="19"/>
  <c r="I28" i="19"/>
  <c r="H28" i="19"/>
  <c r="G28" i="19"/>
  <c r="F28" i="19"/>
  <c r="E28" i="19"/>
  <c r="W27" i="19"/>
  <c r="R27" i="19"/>
  <c r="M27" i="19"/>
  <c r="I27" i="19"/>
  <c r="H27" i="19"/>
  <c r="F27" i="19"/>
  <c r="E27" i="19"/>
  <c r="W26" i="19"/>
  <c r="R26" i="19"/>
  <c r="M26" i="19"/>
  <c r="I26" i="19"/>
  <c r="G26" i="19"/>
  <c r="H26" i="19" s="1"/>
  <c r="F26" i="19"/>
  <c r="E26" i="19"/>
  <c r="W25" i="19"/>
  <c r="R25" i="19"/>
  <c r="M25" i="19"/>
  <c r="I25" i="19"/>
  <c r="F25" i="19"/>
  <c r="H25" i="19" s="1"/>
  <c r="E25" i="19"/>
  <c r="W24" i="19"/>
  <c r="R24" i="19"/>
  <c r="M24" i="19"/>
  <c r="I24" i="19"/>
  <c r="F24" i="19"/>
  <c r="H24" i="19" s="1"/>
  <c r="E24" i="19"/>
  <c r="W23" i="19"/>
  <c r="R23" i="19"/>
  <c r="M23" i="19"/>
  <c r="I23" i="19"/>
  <c r="H23" i="19"/>
  <c r="F23" i="19"/>
  <c r="E23" i="19"/>
  <c r="W22" i="19"/>
  <c r="R22" i="19"/>
  <c r="M22" i="19"/>
  <c r="I22" i="19"/>
  <c r="H22" i="19"/>
  <c r="F22" i="19"/>
  <c r="E22" i="19"/>
  <c r="W21" i="19"/>
  <c r="R21" i="19"/>
  <c r="M21" i="19"/>
  <c r="I21" i="19"/>
  <c r="G21" i="19"/>
  <c r="H21" i="19" s="1"/>
  <c r="F21" i="19"/>
  <c r="E21" i="19"/>
  <c r="W20" i="19"/>
  <c r="R20" i="19"/>
  <c r="M20" i="19"/>
  <c r="I20" i="19"/>
  <c r="G20" i="19"/>
  <c r="H20" i="19" s="1"/>
  <c r="F20" i="19"/>
  <c r="E20" i="19"/>
  <c r="W19" i="19"/>
  <c r="R19" i="19"/>
  <c r="M19" i="19"/>
  <c r="I19" i="19"/>
  <c r="G19" i="19"/>
  <c r="H19" i="19" s="1"/>
  <c r="F19" i="19"/>
  <c r="E19" i="19"/>
  <c r="W18" i="19"/>
  <c r="R18" i="19"/>
  <c r="M18" i="19"/>
  <c r="I18" i="19"/>
  <c r="G18" i="19"/>
  <c r="H18" i="19" s="1"/>
  <c r="F18" i="19"/>
  <c r="E18" i="19"/>
  <c r="W17" i="19"/>
  <c r="R17" i="19"/>
  <c r="M17" i="19"/>
  <c r="I17" i="19"/>
  <c r="G17" i="19"/>
  <c r="H17" i="19" s="1"/>
  <c r="F17" i="19"/>
  <c r="E17" i="19"/>
  <c r="W16" i="19"/>
  <c r="R16" i="19"/>
  <c r="M16" i="19"/>
  <c r="I16" i="19"/>
  <c r="G16" i="19"/>
  <c r="H16" i="19" s="1"/>
  <c r="F16" i="19"/>
  <c r="E16" i="19"/>
  <c r="W15" i="19"/>
  <c r="R15" i="19"/>
  <c r="M15" i="19"/>
  <c r="I15" i="19"/>
  <c r="G15" i="19"/>
  <c r="H15" i="19" s="1"/>
  <c r="F15" i="19"/>
  <c r="E15" i="19"/>
  <c r="W14" i="19"/>
  <c r="R14" i="19"/>
  <c r="M14" i="19"/>
  <c r="I14" i="19"/>
  <c r="F14" i="19"/>
  <c r="H14" i="19" s="1"/>
  <c r="E14" i="19"/>
  <c r="W13" i="19"/>
  <c r="R13" i="19"/>
  <c r="M13" i="19"/>
  <c r="I13" i="19"/>
  <c r="G13" i="19"/>
  <c r="H13" i="19" s="1"/>
  <c r="F13" i="19"/>
  <c r="E13" i="19"/>
  <c r="W12" i="19"/>
  <c r="R12" i="19"/>
  <c r="M12" i="19"/>
  <c r="I12" i="19"/>
  <c r="G12" i="19"/>
  <c r="H12" i="19" s="1"/>
  <c r="F12" i="19"/>
  <c r="E12" i="19"/>
  <c r="X11" i="19"/>
  <c r="V11" i="19"/>
  <c r="W11" i="19" s="1"/>
  <c r="U11" i="19"/>
  <c r="T11" i="19"/>
  <c r="S11" i="19"/>
  <c r="R11" i="19"/>
  <c r="Q11" i="19"/>
  <c r="P11" i="19"/>
  <c r="O11" i="19"/>
  <c r="N11" i="19"/>
  <c r="L11" i="19"/>
  <c r="M11" i="19" s="1"/>
  <c r="K11" i="19"/>
  <c r="J11" i="19"/>
  <c r="I11" i="19"/>
  <c r="G11" i="19"/>
  <c r="H11" i="19" s="1"/>
  <c r="F11" i="19"/>
  <c r="E11" i="19"/>
  <c r="W10" i="19"/>
  <c r="R10" i="19"/>
  <c r="M10" i="19"/>
  <c r="G10" i="19"/>
  <c r="F10" i="19"/>
  <c r="H10" i="19" s="1"/>
  <c r="E10" i="19"/>
  <c r="W9" i="19"/>
  <c r="R9" i="19"/>
  <c r="M9" i="19"/>
  <c r="I9" i="19"/>
  <c r="G9" i="19"/>
  <c r="H9" i="19" s="1"/>
  <c r="F9" i="19"/>
  <c r="E9" i="19"/>
  <c r="W8" i="19"/>
  <c r="R8" i="19"/>
  <c r="M8" i="19"/>
  <c r="I8" i="19"/>
  <c r="G8" i="19"/>
  <c r="H8" i="19" s="1"/>
  <c r="F8" i="19"/>
  <c r="E8" i="19"/>
  <c r="W7" i="19"/>
  <c r="R7" i="19"/>
  <c r="M7" i="19"/>
  <c r="I7" i="19"/>
  <c r="G7" i="19"/>
  <c r="H7" i="19" s="1"/>
  <c r="F7" i="19"/>
  <c r="E7" i="19"/>
  <c r="X6" i="19"/>
  <c r="X33" i="19" s="1"/>
  <c r="V6" i="19"/>
  <c r="W6" i="19" s="1"/>
  <c r="U6" i="19"/>
  <c r="U33" i="19" s="1"/>
  <c r="T6" i="19"/>
  <c r="T33" i="19" s="1"/>
  <c r="S6" i="19"/>
  <c r="S33" i="19" s="1"/>
  <c r="Q6" i="19"/>
  <c r="R6" i="19" s="1"/>
  <c r="P6" i="19"/>
  <c r="P33" i="19" s="1"/>
  <c r="O6" i="19"/>
  <c r="O33" i="19" s="1"/>
  <c r="N6" i="19"/>
  <c r="N33" i="19" s="1"/>
  <c r="M6" i="19"/>
  <c r="L6" i="19"/>
  <c r="L33" i="19" s="1"/>
  <c r="K6" i="19"/>
  <c r="K33" i="19" s="1"/>
  <c r="J6" i="19"/>
  <c r="J33" i="19" s="1"/>
  <c r="I6" i="19"/>
  <c r="I33" i="19" s="1"/>
  <c r="G6" i="19"/>
  <c r="G33" i="19" s="1"/>
  <c r="F6" i="19"/>
  <c r="F33" i="19" s="1"/>
  <c r="E6" i="19"/>
  <c r="E33" i="19" s="1"/>
  <c r="H33" i="19" l="1"/>
  <c r="M33" i="19"/>
  <c r="H6" i="19"/>
  <c r="Q33" i="19"/>
  <c r="R33" i="19" s="1"/>
  <c r="V33" i="19"/>
  <c r="W33" i="19" s="1"/>
  <c r="W36" i="29" l="1"/>
  <c r="R36" i="29"/>
  <c r="M36" i="29"/>
  <c r="H36" i="29"/>
  <c r="W35" i="29"/>
  <c r="R35" i="29"/>
  <c r="M35" i="29"/>
  <c r="H35" i="29"/>
  <c r="W34" i="29"/>
  <c r="R34" i="29"/>
  <c r="M34" i="29"/>
  <c r="H34" i="29"/>
  <c r="I32" i="29"/>
  <c r="G32" i="29"/>
  <c r="F32" i="29"/>
  <c r="E32" i="29"/>
  <c r="I31" i="29"/>
  <c r="G31" i="29"/>
  <c r="F31" i="29"/>
  <c r="E31" i="29"/>
  <c r="I30" i="29"/>
  <c r="G30" i="29"/>
  <c r="F30" i="29"/>
  <c r="E30" i="29"/>
  <c r="W29" i="29"/>
  <c r="U29" i="29"/>
  <c r="M29" i="29"/>
  <c r="K29" i="29"/>
  <c r="I29" i="29"/>
  <c r="H29" i="29"/>
  <c r="G29" i="29"/>
  <c r="F29" i="29"/>
  <c r="E29" i="29"/>
  <c r="M28" i="29"/>
  <c r="K28" i="29"/>
  <c r="I28" i="29"/>
  <c r="H28" i="29"/>
  <c r="G28" i="29"/>
  <c r="F28" i="29"/>
  <c r="E28" i="29"/>
  <c r="I27" i="29"/>
  <c r="G27" i="29"/>
  <c r="F27" i="29"/>
  <c r="E27" i="29"/>
  <c r="W26" i="29"/>
  <c r="U26" i="29"/>
  <c r="M26" i="29"/>
  <c r="K26" i="29"/>
  <c r="I26" i="29"/>
  <c r="H26" i="29"/>
  <c r="G26" i="29"/>
  <c r="F26" i="29"/>
  <c r="E26" i="29"/>
  <c r="I25" i="29"/>
  <c r="G25" i="29"/>
  <c r="F25" i="29"/>
  <c r="E25" i="29"/>
  <c r="I24" i="29"/>
  <c r="G24" i="29"/>
  <c r="F24" i="29"/>
  <c r="E24" i="29"/>
  <c r="I23" i="29"/>
  <c r="G23" i="29"/>
  <c r="F23" i="29"/>
  <c r="E23" i="29"/>
  <c r="W22" i="29"/>
  <c r="U22" i="29"/>
  <c r="K22" i="29"/>
  <c r="M22" i="29" s="1"/>
  <c r="I22" i="29"/>
  <c r="G22" i="29"/>
  <c r="H22" i="29" s="1"/>
  <c r="F22" i="29"/>
  <c r="E22" i="29"/>
  <c r="U21" i="29"/>
  <c r="W21" i="29" s="1"/>
  <c r="M21" i="29"/>
  <c r="K21" i="29"/>
  <c r="I21" i="29"/>
  <c r="G21" i="29"/>
  <c r="H21" i="29" s="1"/>
  <c r="F21" i="29"/>
  <c r="E21" i="29"/>
  <c r="V20" i="29"/>
  <c r="W20" i="29" s="1"/>
  <c r="U20" i="29"/>
  <c r="Q20" i="29"/>
  <c r="P20" i="29"/>
  <c r="F20" i="29" s="1"/>
  <c r="H20" i="29" s="1"/>
  <c r="M20" i="29"/>
  <c r="L20" i="29"/>
  <c r="K20" i="29"/>
  <c r="I20" i="29"/>
  <c r="G20" i="29"/>
  <c r="E20" i="29"/>
  <c r="W19" i="29"/>
  <c r="U19" i="29"/>
  <c r="P19" i="29"/>
  <c r="R19" i="29" s="1"/>
  <c r="O19" i="29"/>
  <c r="O11" i="29" s="1"/>
  <c r="K19" i="29"/>
  <c r="M19" i="29" s="1"/>
  <c r="I19" i="29"/>
  <c r="G19" i="29"/>
  <c r="E19" i="29"/>
  <c r="W18" i="29"/>
  <c r="U18" i="29"/>
  <c r="K18" i="29"/>
  <c r="M18" i="29" s="1"/>
  <c r="I18" i="29"/>
  <c r="G18" i="29"/>
  <c r="H18" i="29" s="1"/>
  <c r="F18" i="29"/>
  <c r="E18" i="29"/>
  <c r="K17" i="29"/>
  <c r="M17" i="29" s="1"/>
  <c r="I17" i="29"/>
  <c r="H17" i="29"/>
  <c r="G17" i="29"/>
  <c r="F17" i="29"/>
  <c r="E17" i="29"/>
  <c r="M16" i="29"/>
  <c r="K16" i="29"/>
  <c r="I16" i="29"/>
  <c r="H16" i="29"/>
  <c r="G16" i="29"/>
  <c r="G11" i="29" s="1"/>
  <c r="F16" i="29"/>
  <c r="E16" i="29"/>
  <c r="W15" i="29"/>
  <c r="U15" i="29"/>
  <c r="K15" i="29"/>
  <c r="M15" i="29" s="1"/>
  <c r="I15" i="29"/>
  <c r="H15" i="29"/>
  <c r="G15" i="29"/>
  <c r="F15" i="29"/>
  <c r="E15" i="29"/>
  <c r="I14" i="29"/>
  <c r="G14" i="29"/>
  <c r="F14" i="29"/>
  <c r="E14" i="29"/>
  <c r="W13" i="29"/>
  <c r="U13" i="29"/>
  <c r="K13" i="29"/>
  <c r="M13" i="29" s="1"/>
  <c r="I13" i="29"/>
  <c r="G13" i="29"/>
  <c r="H13" i="29" s="1"/>
  <c r="F13" i="29"/>
  <c r="E13" i="29"/>
  <c r="U12" i="29"/>
  <c r="W12" i="29" s="1"/>
  <c r="R12" i="29"/>
  <c r="P12" i="29"/>
  <c r="P11" i="29" s="1"/>
  <c r="O12" i="29"/>
  <c r="K12" i="29"/>
  <c r="M12" i="29" s="1"/>
  <c r="I12" i="29"/>
  <c r="G12" i="29"/>
  <c r="H12" i="29" s="1"/>
  <c r="F12" i="29"/>
  <c r="E12" i="29"/>
  <c r="X11" i="29"/>
  <c r="V11" i="29"/>
  <c r="W11" i="29" s="1"/>
  <c r="U11" i="29"/>
  <c r="T11" i="29"/>
  <c r="S11" i="29"/>
  <c r="Q11" i="29"/>
  <c r="R11" i="29" s="1"/>
  <c r="N11" i="29"/>
  <c r="L11" i="29"/>
  <c r="J11" i="29"/>
  <c r="I11" i="29"/>
  <c r="E11" i="29"/>
  <c r="I10" i="29"/>
  <c r="G10" i="29"/>
  <c r="F10" i="29"/>
  <c r="E10" i="29"/>
  <c r="Q9" i="29"/>
  <c r="O9" i="29"/>
  <c r="E9" i="29" s="1"/>
  <c r="M9" i="29"/>
  <c r="K9" i="29"/>
  <c r="I9" i="29"/>
  <c r="G9" i="29"/>
  <c r="M8" i="29"/>
  <c r="L8" i="29"/>
  <c r="K8" i="29"/>
  <c r="I8" i="29"/>
  <c r="I6" i="29" s="1"/>
  <c r="I33" i="29" s="1"/>
  <c r="H8" i="29"/>
  <c r="G8" i="29"/>
  <c r="F8" i="29"/>
  <c r="E8" i="29"/>
  <c r="W7" i="29"/>
  <c r="V7" i="29"/>
  <c r="U7" i="29"/>
  <c r="L7" i="29"/>
  <c r="G7" i="29" s="1"/>
  <c r="K7" i="29"/>
  <c r="I7" i="29"/>
  <c r="F7" i="29"/>
  <c r="E7" i="29"/>
  <c r="X6" i="29"/>
  <c r="X33" i="29" s="1"/>
  <c r="W6" i="29"/>
  <c r="V6" i="29"/>
  <c r="V33" i="29" s="1"/>
  <c r="U6" i="29"/>
  <c r="U33" i="29" s="1"/>
  <c r="T6" i="29"/>
  <c r="T33" i="29" s="1"/>
  <c r="S6" i="29"/>
  <c r="S33" i="29" s="1"/>
  <c r="Q6" i="29"/>
  <c r="Q33" i="29" s="1"/>
  <c r="O6" i="29"/>
  <c r="O33" i="29" s="1"/>
  <c r="N6" i="29"/>
  <c r="N33" i="29" s="1"/>
  <c r="K6" i="29"/>
  <c r="J6" i="29"/>
  <c r="J33" i="29" s="1"/>
  <c r="W33" i="29" l="1"/>
  <c r="H7" i="29"/>
  <c r="G6" i="29"/>
  <c r="E6" i="29"/>
  <c r="E33" i="29" s="1"/>
  <c r="M7" i="29"/>
  <c r="P9" i="29"/>
  <c r="R20" i="29"/>
  <c r="L6" i="29"/>
  <c r="K11" i="29"/>
  <c r="M11" i="29" s="1"/>
  <c r="F19" i="29"/>
  <c r="M6" i="29" l="1"/>
  <c r="L33" i="29"/>
  <c r="K33" i="29"/>
  <c r="G33" i="29"/>
  <c r="F11" i="29"/>
  <c r="H11" i="29" s="1"/>
  <c r="H19" i="29"/>
  <c r="F9" i="29"/>
  <c r="P6" i="29"/>
  <c r="R9" i="29"/>
  <c r="P33" i="29" l="1"/>
  <c r="R6" i="29"/>
  <c r="H9" i="29"/>
  <c r="F6" i="29"/>
  <c r="F33" i="29" l="1"/>
  <c r="H6" i="29"/>
  <c r="R36" i="25" l="1"/>
  <c r="H36" i="25"/>
  <c r="R35" i="25"/>
  <c r="H35" i="25"/>
  <c r="S34" i="25"/>
  <c r="R34" i="25"/>
  <c r="Q34" i="25"/>
  <c r="P34" i="25"/>
  <c r="O34" i="25"/>
  <c r="M32" i="25"/>
  <c r="I32" i="25"/>
  <c r="G32" i="25"/>
  <c r="H32" i="25" s="1"/>
  <c r="F32" i="25"/>
  <c r="E32" i="25"/>
  <c r="I31" i="25"/>
  <c r="G31" i="25"/>
  <c r="F31" i="25"/>
  <c r="E31" i="25"/>
  <c r="I30" i="25"/>
  <c r="G30" i="25"/>
  <c r="F30" i="25"/>
  <c r="E30" i="25"/>
  <c r="K29" i="25"/>
  <c r="M29" i="25" s="1"/>
  <c r="I29" i="25"/>
  <c r="G29" i="25"/>
  <c r="H29" i="25" s="1"/>
  <c r="F29" i="25"/>
  <c r="E29" i="25"/>
  <c r="M28" i="25"/>
  <c r="I28" i="25"/>
  <c r="H28" i="25"/>
  <c r="G28" i="25"/>
  <c r="F28" i="25"/>
  <c r="E28" i="25"/>
  <c r="I27" i="25"/>
  <c r="G27" i="25"/>
  <c r="F27" i="25"/>
  <c r="E27" i="25"/>
  <c r="W26" i="25"/>
  <c r="M26" i="25"/>
  <c r="I26" i="25"/>
  <c r="G26" i="25"/>
  <c r="H26" i="25" s="1"/>
  <c r="F26" i="25"/>
  <c r="E26" i="25"/>
  <c r="M25" i="25"/>
  <c r="I25" i="25"/>
  <c r="G25" i="25"/>
  <c r="H25" i="25" s="1"/>
  <c r="F25" i="25"/>
  <c r="E25" i="25"/>
  <c r="I24" i="25"/>
  <c r="G24" i="25"/>
  <c r="F24" i="25"/>
  <c r="E24" i="25"/>
  <c r="I23" i="25"/>
  <c r="G23" i="25"/>
  <c r="F23" i="25"/>
  <c r="E23" i="25"/>
  <c r="I22" i="25"/>
  <c r="G22" i="25"/>
  <c r="F22" i="25"/>
  <c r="E22" i="25"/>
  <c r="R21" i="25"/>
  <c r="M21" i="25"/>
  <c r="I21" i="25"/>
  <c r="H21" i="25"/>
  <c r="G21" i="25"/>
  <c r="F21" i="25"/>
  <c r="E21" i="25"/>
  <c r="R20" i="25"/>
  <c r="O20" i="25"/>
  <c r="M20" i="25"/>
  <c r="I20" i="25"/>
  <c r="H20" i="25"/>
  <c r="G20" i="25"/>
  <c r="F20" i="25"/>
  <c r="E20" i="25"/>
  <c r="W19" i="25"/>
  <c r="R19" i="25"/>
  <c r="M19" i="25"/>
  <c r="I19" i="25"/>
  <c r="I34" i="25" s="1"/>
  <c r="H19" i="25"/>
  <c r="G19" i="25"/>
  <c r="G34" i="25" s="1"/>
  <c r="F19" i="25"/>
  <c r="F34" i="25" s="1"/>
  <c r="E19" i="25"/>
  <c r="E34" i="25" s="1"/>
  <c r="W18" i="25"/>
  <c r="R18" i="25"/>
  <c r="M18" i="25"/>
  <c r="I18" i="25"/>
  <c r="H18" i="25"/>
  <c r="G18" i="25"/>
  <c r="F18" i="25"/>
  <c r="E18" i="25"/>
  <c r="M17" i="25"/>
  <c r="I17" i="25"/>
  <c r="G17" i="25"/>
  <c r="H17" i="25" s="1"/>
  <c r="F17" i="25"/>
  <c r="E17" i="25"/>
  <c r="R16" i="25"/>
  <c r="M16" i="25"/>
  <c r="I16" i="25"/>
  <c r="G16" i="25"/>
  <c r="F16" i="25"/>
  <c r="H16" i="25" s="1"/>
  <c r="E16" i="25"/>
  <c r="W15" i="25"/>
  <c r="K15" i="25"/>
  <c r="M15" i="25" s="1"/>
  <c r="I15" i="25"/>
  <c r="G15" i="25"/>
  <c r="F15" i="25"/>
  <c r="H15" i="25" s="1"/>
  <c r="E15" i="25"/>
  <c r="M14" i="25"/>
  <c r="I14" i="25"/>
  <c r="G14" i="25"/>
  <c r="H14" i="25" s="1"/>
  <c r="F14" i="25"/>
  <c r="E14" i="25"/>
  <c r="W13" i="25"/>
  <c r="M13" i="25"/>
  <c r="I13" i="25"/>
  <c r="G13" i="25"/>
  <c r="H13" i="25" s="1"/>
  <c r="F13" i="25"/>
  <c r="F11" i="25" s="1"/>
  <c r="E13" i="25"/>
  <c r="W12" i="25"/>
  <c r="R12" i="25"/>
  <c r="M12" i="25"/>
  <c r="K12" i="25"/>
  <c r="I12" i="25"/>
  <c r="G12" i="25"/>
  <c r="H12" i="25" s="1"/>
  <c r="F12" i="25"/>
  <c r="E12" i="25"/>
  <c r="X11" i="25"/>
  <c r="V11" i="25"/>
  <c r="U11" i="25"/>
  <c r="T11" i="25"/>
  <c r="S11" i="25"/>
  <c r="Q11" i="25"/>
  <c r="P11" i="25"/>
  <c r="O11" i="25"/>
  <c r="N11" i="25"/>
  <c r="L11" i="25"/>
  <c r="J11" i="25"/>
  <c r="I11" i="25"/>
  <c r="E11" i="25"/>
  <c r="I10" i="25"/>
  <c r="G10" i="25"/>
  <c r="F10" i="25"/>
  <c r="E10" i="25"/>
  <c r="R9" i="25"/>
  <c r="M9" i="25"/>
  <c r="I9" i="25"/>
  <c r="G9" i="25"/>
  <c r="H9" i="25" s="1"/>
  <c r="F9" i="25"/>
  <c r="E9" i="25"/>
  <c r="K8" i="25"/>
  <c r="M8" i="25" s="1"/>
  <c r="I8" i="25"/>
  <c r="G8" i="25"/>
  <c r="H8" i="25" s="1"/>
  <c r="F8" i="25"/>
  <c r="E8" i="25"/>
  <c r="W7" i="25"/>
  <c r="R7" i="25"/>
  <c r="M7" i="25"/>
  <c r="I7" i="25"/>
  <c r="G7" i="25"/>
  <c r="H7" i="25" s="1"/>
  <c r="F7" i="25"/>
  <c r="E7" i="25"/>
  <c r="X6" i="25"/>
  <c r="X33" i="25" s="1"/>
  <c r="V6" i="25"/>
  <c r="V33" i="25" s="1"/>
  <c r="U6" i="25"/>
  <c r="U33" i="25" s="1"/>
  <c r="T6" i="25"/>
  <c r="T33" i="25" s="1"/>
  <c r="S6" i="25"/>
  <c r="S33" i="25" s="1"/>
  <c r="R6" i="25"/>
  <c r="Q6" i="25"/>
  <c r="Q33" i="25" s="1"/>
  <c r="P6" i="25"/>
  <c r="P33" i="25" s="1"/>
  <c r="O6" i="25"/>
  <c r="O33" i="25" s="1"/>
  <c r="N6" i="25"/>
  <c r="N33" i="25" s="1"/>
  <c r="L6" i="25"/>
  <c r="L33" i="25" s="1"/>
  <c r="J6" i="25"/>
  <c r="J33" i="25" s="1"/>
  <c r="I6" i="25"/>
  <c r="I33" i="25" s="1"/>
  <c r="F6" i="25"/>
  <c r="E6" i="25"/>
  <c r="E33" i="25" s="1"/>
  <c r="H34" i="25" l="1"/>
  <c r="F33" i="25"/>
  <c r="W33" i="25"/>
  <c r="M11" i="25"/>
  <c r="G6" i="25"/>
  <c r="G11" i="25"/>
  <c r="K6" i="25"/>
  <c r="W6" i="25"/>
  <c r="K11" i="25"/>
  <c r="K33" i="25" l="1"/>
  <c r="M6" i="25"/>
  <c r="G33" i="25"/>
  <c r="H6" i="25"/>
  <c r="W36" i="3" l="1"/>
  <c r="R36" i="3"/>
  <c r="M36" i="3"/>
  <c r="H36" i="3"/>
  <c r="W35" i="3"/>
  <c r="R35" i="3"/>
  <c r="M35" i="3"/>
  <c r="H35" i="3"/>
  <c r="W34" i="3"/>
  <c r="R34" i="3"/>
  <c r="M34" i="3"/>
  <c r="H34" i="3"/>
  <c r="W32" i="3"/>
  <c r="R32" i="3"/>
  <c r="M32" i="3"/>
  <c r="I32" i="3"/>
  <c r="G32" i="3"/>
  <c r="H32" i="3" s="1"/>
  <c r="F32" i="3"/>
  <c r="E32" i="3"/>
  <c r="W31" i="3"/>
  <c r="R31" i="3"/>
  <c r="M31" i="3"/>
  <c r="I31" i="3"/>
  <c r="G31" i="3"/>
  <c r="H31" i="3" s="1"/>
  <c r="F31" i="3"/>
  <c r="E31" i="3"/>
  <c r="W30" i="3"/>
  <c r="R30" i="3"/>
  <c r="M30" i="3"/>
  <c r="I30" i="3"/>
  <c r="G30" i="3"/>
  <c r="H30" i="3" s="1"/>
  <c r="F30" i="3"/>
  <c r="E30" i="3"/>
  <c r="W29" i="3"/>
  <c r="R29" i="3"/>
  <c r="M29" i="3"/>
  <c r="I29" i="3"/>
  <c r="G29" i="3"/>
  <c r="H29" i="3" s="1"/>
  <c r="F29" i="3"/>
  <c r="E29" i="3"/>
  <c r="W28" i="3"/>
  <c r="R28" i="3"/>
  <c r="M28" i="3"/>
  <c r="I28" i="3"/>
  <c r="G28" i="3"/>
  <c r="H28" i="3" s="1"/>
  <c r="F28" i="3"/>
  <c r="E28" i="3"/>
  <c r="W27" i="3"/>
  <c r="R27" i="3"/>
  <c r="M27" i="3"/>
  <c r="I27" i="3"/>
  <c r="G27" i="3"/>
  <c r="H27" i="3" s="1"/>
  <c r="F27" i="3"/>
  <c r="E27" i="3"/>
  <c r="W26" i="3"/>
  <c r="R26" i="3"/>
  <c r="M26" i="3"/>
  <c r="I26" i="3"/>
  <c r="G26" i="3"/>
  <c r="H26" i="3" s="1"/>
  <c r="F26" i="3"/>
  <c r="E26" i="3"/>
  <c r="W25" i="3"/>
  <c r="R25" i="3"/>
  <c r="M25" i="3"/>
  <c r="I25" i="3"/>
  <c r="G25" i="3"/>
  <c r="H25" i="3" s="1"/>
  <c r="F25" i="3"/>
  <c r="E25" i="3"/>
  <c r="W24" i="3"/>
  <c r="R24" i="3"/>
  <c r="M24" i="3"/>
  <c r="I24" i="3"/>
  <c r="G24" i="3"/>
  <c r="H24" i="3" s="1"/>
  <c r="F24" i="3"/>
  <c r="E24" i="3"/>
  <c r="W23" i="3"/>
  <c r="R23" i="3"/>
  <c r="M23" i="3"/>
  <c r="I23" i="3"/>
  <c r="G23" i="3"/>
  <c r="H23" i="3" s="1"/>
  <c r="F23" i="3"/>
  <c r="E23" i="3"/>
  <c r="W22" i="3"/>
  <c r="R22" i="3"/>
  <c r="M22" i="3"/>
  <c r="I22" i="3"/>
  <c r="G22" i="3"/>
  <c r="H22" i="3" s="1"/>
  <c r="F22" i="3"/>
  <c r="E22" i="3"/>
  <c r="W21" i="3"/>
  <c r="R21" i="3"/>
  <c r="M21" i="3"/>
  <c r="I21" i="3"/>
  <c r="G21" i="3"/>
  <c r="H21" i="3" s="1"/>
  <c r="F21" i="3"/>
  <c r="E21" i="3"/>
  <c r="W20" i="3"/>
  <c r="R20" i="3"/>
  <c r="M20" i="3"/>
  <c r="I20" i="3"/>
  <c r="F20" i="3"/>
  <c r="H20" i="3" s="1"/>
  <c r="E20" i="3"/>
  <c r="W19" i="3"/>
  <c r="R19" i="3"/>
  <c r="M19" i="3"/>
  <c r="I19" i="3"/>
  <c r="G19" i="3"/>
  <c r="F19" i="3"/>
  <c r="H19" i="3" s="1"/>
  <c r="E19" i="3"/>
  <c r="W18" i="3"/>
  <c r="R18" i="3"/>
  <c r="M18" i="3"/>
  <c r="I18" i="3"/>
  <c r="G18" i="3"/>
  <c r="F18" i="3"/>
  <c r="H18" i="3" s="1"/>
  <c r="E18" i="3"/>
  <c r="W17" i="3"/>
  <c r="R17" i="3"/>
  <c r="M17" i="3"/>
  <c r="I17" i="3"/>
  <c r="G17" i="3"/>
  <c r="F17" i="3"/>
  <c r="H17" i="3" s="1"/>
  <c r="E17" i="3"/>
  <c r="W16" i="3"/>
  <c r="R16" i="3"/>
  <c r="M16" i="3"/>
  <c r="I16" i="3"/>
  <c r="G16" i="3"/>
  <c r="F16" i="3"/>
  <c r="H16" i="3" s="1"/>
  <c r="E16" i="3"/>
  <c r="W15" i="3"/>
  <c r="R15" i="3"/>
  <c r="M15" i="3"/>
  <c r="I15" i="3"/>
  <c r="G15" i="3"/>
  <c r="F15" i="3"/>
  <c r="H15" i="3" s="1"/>
  <c r="E15" i="3"/>
  <c r="W14" i="3"/>
  <c r="R14" i="3"/>
  <c r="M14" i="3"/>
  <c r="I14" i="3"/>
  <c r="G14" i="3"/>
  <c r="F14" i="3"/>
  <c r="H14" i="3" s="1"/>
  <c r="E14" i="3"/>
  <c r="W13" i="3"/>
  <c r="R13" i="3"/>
  <c r="M13" i="3"/>
  <c r="I13" i="3"/>
  <c r="G13" i="3"/>
  <c r="F13" i="3"/>
  <c r="H13" i="3" s="1"/>
  <c r="E13" i="3"/>
  <c r="W12" i="3"/>
  <c r="R12" i="3"/>
  <c r="M12" i="3"/>
  <c r="I12" i="3"/>
  <c r="G12" i="3"/>
  <c r="F12" i="3"/>
  <c r="H12" i="3" s="1"/>
  <c r="E12" i="3"/>
  <c r="X11" i="3"/>
  <c r="V11" i="3"/>
  <c r="W11" i="3" s="1"/>
  <c r="U11" i="3"/>
  <c r="T11" i="3"/>
  <c r="S11" i="3"/>
  <c r="Q11" i="3"/>
  <c r="R11" i="3" s="1"/>
  <c r="P11" i="3"/>
  <c r="O11" i="3"/>
  <c r="N11" i="3"/>
  <c r="M11" i="3"/>
  <c r="L11" i="3"/>
  <c r="K11" i="3"/>
  <c r="J11" i="3"/>
  <c r="I11" i="3"/>
  <c r="F11" i="3"/>
  <c r="E11" i="3"/>
  <c r="W10" i="3"/>
  <c r="R10" i="3"/>
  <c r="M10" i="3"/>
  <c r="I10" i="3"/>
  <c r="G10" i="3"/>
  <c r="H10" i="3" s="1"/>
  <c r="F10" i="3"/>
  <c r="E10" i="3"/>
  <c r="W9" i="3"/>
  <c r="R9" i="3"/>
  <c r="M9" i="3"/>
  <c r="I9" i="3"/>
  <c r="G9" i="3"/>
  <c r="H9" i="3" s="1"/>
  <c r="F9" i="3"/>
  <c r="E9" i="3"/>
  <c r="W8" i="3"/>
  <c r="R8" i="3"/>
  <c r="M8" i="3"/>
  <c r="I8" i="3"/>
  <c r="G8" i="3"/>
  <c r="H8" i="3" s="1"/>
  <c r="F8" i="3"/>
  <c r="E8" i="3"/>
  <c r="W7" i="3"/>
  <c r="R7" i="3"/>
  <c r="M7" i="3"/>
  <c r="I7" i="3"/>
  <c r="G7" i="3"/>
  <c r="H7" i="3" s="1"/>
  <c r="F7" i="3"/>
  <c r="E7" i="3"/>
  <c r="X6" i="3"/>
  <c r="X33" i="3" s="1"/>
  <c r="V6" i="3"/>
  <c r="W6" i="3" s="1"/>
  <c r="U6" i="3"/>
  <c r="U33" i="3" s="1"/>
  <c r="T6" i="3"/>
  <c r="T33" i="3" s="1"/>
  <c r="S6" i="3"/>
  <c r="S33" i="3" s="1"/>
  <c r="Q6" i="3"/>
  <c r="R6" i="3" s="1"/>
  <c r="P6" i="3"/>
  <c r="P33" i="3" s="1"/>
  <c r="O6" i="3"/>
  <c r="O33" i="3" s="1"/>
  <c r="N6" i="3"/>
  <c r="N33" i="3" s="1"/>
  <c r="M6" i="3"/>
  <c r="L6" i="3"/>
  <c r="L33" i="3" s="1"/>
  <c r="K6" i="3"/>
  <c r="K33" i="3" s="1"/>
  <c r="J6" i="3"/>
  <c r="J33" i="3" s="1"/>
  <c r="I6" i="3"/>
  <c r="I33" i="3" s="1"/>
  <c r="G6" i="3"/>
  <c r="F6" i="3"/>
  <c r="F33" i="3" s="1"/>
  <c r="E6" i="3"/>
  <c r="E33" i="3" s="1"/>
  <c r="M33" i="3" l="1"/>
  <c r="H6" i="3"/>
  <c r="Q33" i="3"/>
  <c r="R33" i="3" s="1"/>
  <c r="V33" i="3"/>
  <c r="W33" i="3" s="1"/>
  <c r="G11" i="3"/>
  <c r="H11" i="3" s="1"/>
  <c r="G33" i="3" l="1"/>
  <c r="H33" i="3" s="1"/>
  <c r="M36" i="1" l="1"/>
  <c r="H36" i="1"/>
  <c r="M35" i="1"/>
  <c r="H35" i="1"/>
  <c r="M34" i="1"/>
  <c r="H34" i="1"/>
  <c r="I32" i="1"/>
  <c r="G32" i="1"/>
  <c r="F32" i="1"/>
  <c r="E32" i="1"/>
  <c r="I31" i="1"/>
  <c r="G31" i="1"/>
  <c r="F31" i="1"/>
  <c r="E31" i="1"/>
  <c r="I30" i="1"/>
  <c r="G30" i="1"/>
  <c r="F30" i="1"/>
  <c r="E30" i="1"/>
  <c r="M29" i="1"/>
  <c r="I29" i="1"/>
  <c r="H29" i="1"/>
  <c r="G29" i="1"/>
  <c r="F29" i="1"/>
  <c r="E29" i="1"/>
  <c r="R28" i="1"/>
  <c r="M28" i="1"/>
  <c r="I28" i="1"/>
  <c r="G28" i="1"/>
  <c r="H28" i="1" s="1"/>
  <c r="F28" i="1"/>
  <c r="E28" i="1"/>
  <c r="I27" i="1"/>
  <c r="G27" i="1"/>
  <c r="F27" i="1"/>
  <c r="E27" i="1"/>
  <c r="W26" i="1"/>
  <c r="M26" i="1"/>
  <c r="I26" i="1"/>
  <c r="G26" i="1"/>
  <c r="H26" i="1" s="1"/>
  <c r="F26" i="1"/>
  <c r="E26" i="1"/>
  <c r="I25" i="1"/>
  <c r="G25" i="1"/>
  <c r="F25" i="1"/>
  <c r="E25" i="1"/>
  <c r="I24" i="1"/>
  <c r="G24" i="1"/>
  <c r="F24" i="1"/>
  <c r="E24" i="1"/>
  <c r="I23" i="1"/>
  <c r="G23" i="1"/>
  <c r="F23" i="1"/>
  <c r="E23" i="1"/>
  <c r="I22" i="1"/>
  <c r="G22" i="1"/>
  <c r="F22" i="1"/>
  <c r="E22" i="1"/>
  <c r="R21" i="1"/>
  <c r="M21" i="1"/>
  <c r="I21" i="1"/>
  <c r="G21" i="1"/>
  <c r="H21" i="1" s="1"/>
  <c r="F21" i="1"/>
  <c r="E21" i="1"/>
  <c r="R20" i="1"/>
  <c r="M20" i="1"/>
  <c r="I20" i="1"/>
  <c r="H20" i="1"/>
  <c r="G20" i="1"/>
  <c r="F20" i="1"/>
  <c r="E20" i="1"/>
  <c r="R19" i="1"/>
  <c r="M19" i="1"/>
  <c r="I19" i="1"/>
  <c r="G19" i="1"/>
  <c r="H19" i="1" s="1"/>
  <c r="F19" i="1"/>
  <c r="W18" i="1"/>
  <c r="R18" i="1"/>
  <c r="M18" i="1"/>
  <c r="I18" i="1"/>
  <c r="G18" i="1"/>
  <c r="H18" i="1" s="1"/>
  <c r="F18" i="1"/>
  <c r="E18" i="1"/>
  <c r="I17" i="1"/>
  <c r="G17" i="1"/>
  <c r="F17" i="1"/>
  <c r="E17" i="1"/>
  <c r="M16" i="1"/>
  <c r="I16" i="1"/>
  <c r="H16" i="1"/>
  <c r="G16" i="1"/>
  <c r="F16" i="1"/>
  <c r="E16" i="1"/>
  <c r="W15" i="1"/>
  <c r="M15" i="1"/>
  <c r="I15" i="1"/>
  <c r="G15" i="1"/>
  <c r="H15" i="1" s="1"/>
  <c r="F15" i="1"/>
  <c r="E15" i="1"/>
  <c r="I14" i="1"/>
  <c r="G14" i="1"/>
  <c r="G11" i="1" s="1"/>
  <c r="H11" i="1" s="1"/>
  <c r="F14" i="1"/>
  <c r="E14" i="1"/>
  <c r="M13" i="1"/>
  <c r="I13" i="1"/>
  <c r="G13" i="1"/>
  <c r="H13" i="1" s="1"/>
  <c r="F13" i="1"/>
  <c r="E13" i="1"/>
  <c r="R12" i="1"/>
  <c r="M12" i="1"/>
  <c r="I12" i="1"/>
  <c r="H12" i="1"/>
  <c r="G12" i="1"/>
  <c r="F12" i="1"/>
  <c r="E12" i="1"/>
  <c r="W11" i="1"/>
  <c r="V11" i="1"/>
  <c r="U11" i="1"/>
  <c r="T11" i="1"/>
  <c r="R11" i="1"/>
  <c r="Q11" i="1"/>
  <c r="P11" i="1"/>
  <c r="O11" i="1"/>
  <c r="M11" i="1"/>
  <c r="L11" i="1"/>
  <c r="K11" i="1"/>
  <c r="J11" i="1"/>
  <c r="I11" i="1"/>
  <c r="F11" i="1"/>
  <c r="E11" i="1"/>
  <c r="I10" i="1"/>
  <c r="G10" i="1"/>
  <c r="F10" i="1"/>
  <c r="E10" i="1"/>
  <c r="R9" i="1"/>
  <c r="M9" i="1"/>
  <c r="I9" i="1"/>
  <c r="H9" i="1"/>
  <c r="G9" i="1"/>
  <c r="F9" i="1"/>
  <c r="E9" i="1"/>
  <c r="I8" i="1"/>
  <c r="I6" i="1" s="1"/>
  <c r="I33" i="1" s="1"/>
  <c r="G8" i="1"/>
  <c r="F8" i="1"/>
  <c r="E8" i="1"/>
  <c r="W7" i="1"/>
  <c r="M7" i="1"/>
  <c r="I7" i="1"/>
  <c r="G7" i="1"/>
  <c r="H7" i="1" s="1"/>
  <c r="F7" i="1"/>
  <c r="E7" i="1"/>
  <c r="V6" i="1"/>
  <c r="V33" i="1" s="1"/>
  <c r="U6" i="1"/>
  <c r="U33" i="1" s="1"/>
  <c r="T6" i="1"/>
  <c r="T33" i="1" s="1"/>
  <c r="Q6" i="1"/>
  <c r="R6" i="1" s="1"/>
  <c r="P6" i="1"/>
  <c r="P33" i="1" s="1"/>
  <c r="O6" i="1"/>
  <c r="O33" i="1" s="1"/>
  <c r="L6" i="1"/>
  <c r="M6" i="1" s="1"/>
  <c r="K6" i="1"/>
  <c r="K33" i="1" s="1"/>
  <c r="J6" i="1"/>
  <c r="J33" i="1" s="1"/>
  <c r="F6" i="1"/>
  <c r="F33" i="1" s="1"/>
  <c r="E6" i="1"/>
  <c r="E33" i="1" s="1"/>
  <c r="W33" i="1" l="1"/>
  <c r="W6" i="1"/>
  <c r="G6" i="1"/>
  <c r="Q33" i="1"/>
  <c r="L33" i="1"/>
  <c r="G33" i="1" l="1"/>
  <c r="H6" i="1"/>
  <c r="H38" i="5" l="1"/>
  <c r="H37" i="5"/>
  <c r="H36" i="5"/>
  <c r="I34" i="5"/>
  <c r="G34" i="5"/>
  <c r="F34" i="5"/>
  <c r="E34" i="5"/>
  <c r="I33" i="5"/>
  <c r="G33" i="5"/>
  <c r="F33" i="5"/>
  <c r="E33" i="5"/>
  <c r="I32" i="5"/>
  <c r="G32" i="5"/>
  <c r="F32" i="5"/>
  <c r="E32" i="5"/>
  <c r="M31" i="5"/>
  <c r="I31" i="5"/>
  <c r="G31" i="5"/>
  <c r="H31" i="5" s="1"/>
  <c r="F31" i="5"/>
  <c r="E31" i="5"/>
  <c r="R30" i="5"/>
  <c r="M30" i="5"/>
  <c r="I30" i="5"/>
  <c r="G30" i="5"/>
  <c r="H30" i="5" s="1"/>
  <c r="F30" i="5"/>
  <c r="E30" i="5"/>
  <c r="I29" i="5"/>
  <c r="G29" i="5"/>
  <c r="F29" i="5"/>
  <c r="E29" i="5"/>
  <c r="M28" i="5"/>
  <c r="I28" i="5"/>
  <c r="H28" i="5"/>
  <c r="G28" i="5"/>
  <c r="F28" i="5"/>
  <c r="E28" i="5"/>
  <c r="M27" i="5"/>
  <c r="I27" i="5"/>
  <c r="G27" i="5"/>
  <c r="H27" i="5" s="1"/>
  <c r="F27" i="5"/>
  <c r="E27" i="5"/>
  <c r="I26" i="5"/>
  <c r="G26" i="5"/>
  <c r="F26" i="5"/>
  <c r="E26" i="5"/>
  <c r="I25" i="5"/>
  <c r="G25" i="5"/>
  <c r="F25" i="5"/>
  <c r="E25" i="5"/>
  <c r="I24" i="5"/>
  <c r="G24" i="5"/>
  <c r="F24" i="5"/>
  <c r="E24" i="5"/>
  <c r="R23" i="5"/>
  <c r="M23" i="5"/>
  <c r="I23" i="5"/>
  <c r="G23" i="5"/>
  <c r="F23" i="5"/>
  <c r="H23" i="5" s="1"/>
  <c r="E23" i="5"/>
  <c r="R22" i="5"/>
  <c r="M22" i="5"/>
  <c r="I22" i="5"/>
  <c r="H22" i="5"/>
  <c r="G22" i="5"/>
  <c r="F22" i="5"/>
  <c r="E22" i="5"/>
  <c r="R21" i="5"/>
  <c r="I21" i="5"/>
  <c r="G21" i="5"/>
  <c r="H21" i="5" s="1"/>
  <c r="F21" i="5"/>
  <c r="E21" i="5"/>
  <c r="M20" i="5"/>
  <c r="I20" i="5"/>
  <c r="H20" i="5"/>
  <c r="G20" i="5"/>
  <c r="F20" i="5"/>
  <c r="E20" i="5"/>
  <c r="M19" i="5"/>
  <c r="I19" i="5"/>
  <c r="G19" i="5"/>
  <c r="H19" i="5" s="1"/>
  <c r="F19" i="5"/>
  <c r="E19" i="5"/>
  <c r="M18" i="5"/>
  <c r="I18" i="5"/>
  <c r="H18" i="5"/>
  <c r="G18" i="5"/>
  <c r="F18" i="5"/>
  <c r="E18" i="5"/>
  <c r="M17" i="5"/>
  <c r="I17" i="5"/>
  <c r="G17" i="5"/>
  <c r="H17" i="5" s="1"/>
  <c r="F17" i="5"/>
  <c r="E17" i="5"/>
  <c r="I16" i="5"/>
  <c r="G16" i="5"/>
  <c r="F16" i="5"/>
  <c r="E16" i="5"/>
  <c r="M15" i="5"/>
  <c r="I15" i="5"/>
  <c r="I13" i="5" s="1"/>
  <c r="H15" i="5"/>
  <c r="G15" i="5"/>
  <c r="F15" i="5"/>
  <c r="E15" i="5"/>
  <c r="E13" i="5" s="1"/>
  <c r="R14" i="5"/>
  <c r="M14" i="5"/>
  <c r="I14" i="5"/>
  <c r="G14" i="5"/>
  <c r="H14" i="5" s="1"/>
  <c r="F14" i="5"/>
  <c r="E14" i="5"/>
  <c r="X13" i="5"/>
  <c r="V13" i="5"/>
  <c r="U13" i="5"/>
  <c r="T13" i="5"/>
  <c r="S13" i="5"/>
  <c r="R13" i="5"/>
  <c r="Q13" i="5"/>
  <c r="P13" i="5"/>
  <c r="O13" i="5"/>
  <c r="N13" i="5"/>
  <c r="L13" i="5"/>
  <c r="M13" i="5" s="1"/>
  <c r="K13" i="5"/>
  <c r="J13" i="5"/>
  <c r="F13" i="5"/>
  <c r="I12" i="5"/>
  <c r="G12" i="5"/>
  <c r="F12" i="5"/>
  <c r="E12" i="5"/>
  <c r="R11" i="5"/>
  <c r="M11" i="5"/>
  <c r="I11" i="5"/>
  <c r="I8" i="5" s="1"/>
  <c r="G11" i="5"/>
  <c r="H11" i="5" s="1"/>
  <c r="F11" i="5"/>
  <c r="E11" i="5"/>
  <c r="I10" i="5"/>
  <c r="G10" i="5"/>
  <c r="F10" i="5"/>
  <c r="E10" i="5"/>
  <c r="E8" i="5" s="1"/>
  <c r="M9" i="5"/>
  <c r="I9" i="5"/>
  <c r="G9" i="5"/>
  <c r="H9" i="5" s="1"/>
  <c r="F9" i="5"/>
  <c r="E9" i="5"/>
  <c r="X8" i="5"/>
  <c r="X35" i="5" s="1"/>
  <c r="V8" i="5"/>
  <c r="V35" i="5" s="1"/>
  <c r="U8" i="5"/>
  <c r="U35" i="5" s="1"/>
  <c r="T8" i="5"/>
  <c r="T35" i="5" s="1"/>
  <c r="S8" i="5"/>
  <c r="S35" i="5" s="1"/>
  <c r="R8" i="5"/>
  <c r="Q8" i="5"/>
  <c r="Q35" i="5" s="1"/>
  <c r="P8" i="5"/>
  <c r="P35" i="5" s="1"/>
  <c r="O8" i="5"/>
  <c r="O35" i="5" s="1"/>
  <c r="N8" i="5"/>
  <c r="N35" i="5" s="1"/>
  <c r="L8" i="5"/>
  <c r="L35" i="5" s="1"/>
  <c r="K8" i="5"/>
  <c r="K35" i="5" s="1"/>
  <c r="J8" i="5"/>
  <c r="J35" i="5" s="1"/>
  <c r="F8" i="5"/>
  <c r="F35" i="5" s="1"/>
  <c r="I35" i="5" l="1"/>
  <c r="E35" i="5"/>
  <c r="G8" i="5"/>
  <c r="G13" i="5"/>
  <c r="H13" i="5" s="1"/>
  <c r="M8" i="5"/>
  <c r="G35" i="5" l="1"/>
  <c r="H8" i="5"/>
  <c r="W36" i="9" l="1"/>
  <c r="R36" i="9"/>
  <c r="M36" i="9"/>
  <c r="H36" i="9"/>
  <c r="W35" i="9"/>
  <c r="R35" i="9"/>
  <c r="M35" i="9"/>
  <c r="H35" i="9"/>
  <c r="W34" i="9"/>
  <c r="R34" i="9"/>
  <c r="M34" i="9"/>
  <c r="H34" i="9"/>
  <c r="S33" i="9"/>
  <c r="N33" i="9"/>
  <c r="I33" i="9"/>
  <c r="W32" i="9"/>
  <c r="R32" i="9"/>
  <c r="M32" i="9"/>
  <c r="I32" i="9"/>
  <c r="G32" i="9"/>
  <c r="H32" i="9" s="1"/>
  <c r="F32" i="9"/>
  <c r="E32" i="9"/>
  <c r="W31" i="9"/>
  <c r="R31" i="9"/>
  <c r="M31" i="9"/>
  <c r="I31" i="9"/>
  <c r="G31" i="9"/>
  <c r="H31" i="9" s="1"/>
  <c r="F31" i="9"/>
  <c r="E31" i="9"/>
  <c r="W30" i="9"/>
  <c r="R30" i="9"/>
  <c r="M30" i="9"/>
  <c r="I30" i="9"/>
  <c r="G30" i="9"/>
  <c r="H30" i="9" s="1"/>
  <c r="F30" i="9"/>
  <c r="E30" i="9"/>
  <c r="W29" i="9"/>
  <c r="R29" i="9"/>
  <c r="M29" i="9"/>
  <c r="G29" i="9"/>
  <c r="F29" i="9"/>
  <c r="H29" i="9" s="1"/>
  <c r="E29" i="9"/>
  <c r="W28" i="9"/>
  <c r="R28" i="9"/>
  <c r="M28" i="9"/>
  <c r="H28" i="9"/>
  <c r="G28" i="9"/>
  <c r="F28" i="9"/>
  <c r="E28" i="9"/>
  <c r="W27" i="9"/>
  <c r="R27" i="9"/>
  <c r="M27" i="9"/>
  <c r="I27" i="9"/>
  <c r="H27" i="9"/>
  <c r="G27" i="9"/>
  <c r="F27" i="9"/>
  <c r="E27" i="9"/>
  <c r="W26" i="9"/>
  <c r="R26" i="9"/>
  <c r="M26" i="9"/>
  <c r="G26" i="9"/>
  <c r="H26" i="9" s="1"/>
  <c r="F26" i="9"/>
  <c r="E26" i="9"/>
  <c r="W25" i="9"/>
  <c r="R25" i="9"/>
  <c r="M25" i="9"/>
  <c r="I25" i="9"/>
  <c r="G25" i="9"/>
  <c r="H25" i="9" s="1"/>
  <c r="F25" i="9"/>
  <c r="E25" i="9"/>
  <c r="W24" i="9"/>
  <c r="R24" i="9"/>
  <c r="M24" i="9"/>
  <c r="I24" i="9"/>
  <c r="G24" i="9"/>
  <c r="H24" i="9" s="1"/>
  <c r="F24" i="9"/>
  <c r="E24" i="9"/>
  <c r="W23" i="9"/>
  <c r="R23" i="9"/>
  <c r="M23" i="9"/>
  <c r="I23" i="9"/>
  <c r="G23" i="9"/>
  <c r="H23" i="9" s="1"/>
  <c r="F23" i="9"/>
  <c r="E23" i="9"/>
  <c r="W22" i="9"/>
  <c r="R22" i="9"/>
  <c r="M22" i="9"/>
  <c r="I22" i="9"/>
  <c r="G22" i="9"/>
  <c r="H22" i="9" s="1"/>
  <c r="F22" i="9"/>
  <c r="E22" i="9"/>
  <c r="W21" i="9"/>
  <c r="R21" i="9"/>
  <c r="M21" i="9"/>
  <c r="G21" i="9"/>
  <c r="H21" i="9" s="1"/>
  <c r="F21" i="9"/>
  <c r="E21" i="9"/>
  <c r="W20" i="9"/>
  <c r="R20" i="9"/>
  <c r="M20" i="9"/>
  <c r="G20" i="9"/>
  <c r="F20" i="9"/>
  <c r="H20" i="9" s="1"/>
  <c r="E20" i="9"/>
  <c r="W19" i="9"/>
  <c r="R19" i="9"/>
  <c r="M19" i="9"/>
  <c r="H19" i="9"/>
  <c r="G19" i="9"/>
  <c r="F19" i="9"/>
  <c r="E19" i="9"/>
  <c r="W18" i="9"/>
  <c r="R18" i="9"/>
  <c r="M18" i="9"/>
  <c r="G18" i="9"/>
  <c r="H18" i="9" s="1"/>
  <c r="F18" i="9"/>
  <c r="E18" i="9"/>
  <c r="W17" i="9"/>
  <c r="R17" i="9"/>
  <c r="M17" i="9"/>
  <c r="I17" i="9"/>
  <c r="G17" i="9"/>
  <c r="H17" i="9" s="1"/>
  <c r="F17" i="9"/>
  <c r="E17" i="9"/>
  <c r="W16" i="9"/>
  <c r="R16" i="9"/>
  <c r="M16" i="9"/>
  <c r="G16" i="9"/>
  <c r="H16" i="9" s="1"/>
  <c r="F16" i="9"/>
  <c r="E16" i="9"/>
  <c r="W15" i="9"/>
  <c r="R15" i="9"/>
  <c r="M15" i="9"/>
  <c r="G15" i="9"/>
  <c r="F15" i="9"/>
  <c r="H15" i="9" s="1"/>
  <c r="E15" i="9"/>
  <c r="W14" i="9"/>
  <c r="R14" i="9"/>
  <c r="M14" i="9"/>
  <c r="H14" i="9"/>
  <c r="G14" i="9"/>
  <c r="F14" i="9"/>
  <c r="E14" i="9"/>
  <c r="E11" i="9" s="1"/>
  <c r="W13" i="9"/>
  <c r="R13" i="9"/>
  <c r="M13" i="9"/>
  <c r="G13" i="9"/>
  <c r="H13" i="9" s="1"/>
  <c r="F13" i="9"/>
  <c r="E13" i="9"/>
  <c r="W12" i="9"/>
  <c r="R12" i="9"/>
  <c r="M12" i="9"/>
  <c r="G12" i="9"/>
  <c r="H12" i="9" s="1"/>
  <c r="F12" i="9"/>
  <c r="F11" i="9" s="1"/>
  <c r="E12" i="9"/>
  <c r="X11" i="9"/>
  <c r="V11" i="9"/>
  <c r="W11" i="9" s="1"/>
  <c r="U11" i="9"/>
  <c r="T11" i="9"/>
  <c r="Q11" i="9"/>
  <c r="R11" i="9" s="1"/>
  <c r="P11" i="9"/>
  <c r="O11" i="9"/>
  <c r="L11" i="9"/>
  <c r="M11" i="9" s="1"/>
  <c r="K11" i="9"/>
  <c r="J11" i="9"/>
  <c r="G11" i="9"/>
  <c r="H11" i="9" s="1"/>
  <c r="W10" i="9"/>
  <c r="R10" i="9"/>
  <c r="M10" i="9"/>
  <c r="I10" i="9"/>
  <c r="G10" i="9"/>
  <c r="H10" i="9" s="1"/>
  <c r="F10" i="9"/>
  <c r="E10" i="9"/>
  <c r="W9" i="9"/>
  <c r="R9" i="9"/>
  <c r="M9" i="9"/>
  <c r="G9" i="9"/>
  <c r="H9" i="9" s="1"/>
  <c r="F9" i="9"/>
  <c r="F6" i="9" s="1"/>
  <c r="F33" i="9" s="1"/>
  <c r="E9" i="9"/>
  <c r="W8" i="9"/>
  <c r="R8" i="9"/>
  <c r="M8" i="9"/>
  <c r="G8" i="9"/>
  <c r="F8" i="9"/>
  <c r="H8" i="9" s="1"/>
  <c r="E8" i="9"/>
  <c r="W7" i="9"/>
  <c r="R7" i="9"/>
  <c r="M7" i="9"/>
  <c r="H7" i="9"/>
  <c r="G7" i="9"/>
  <c r="G6" i="9" s="1"/>
  <c r="F7" i="9"/>
  <c r="E7" i="9"/>
  <c r="X6" i="9"/>
  <c r="X33" i="9" s="1"/>
  <c r="V6" i="9"/>
  <c r="V33" i="9" s="1"/>
  <c r="U6" i="9"/>
  <c r="U33" i="9" s="1"/>
  <c r="T6" i="9"/>
  <c r="T33" i="9" s="1"/>
  <c r="Q6" i="9"/>
  <c r="Q33" i="9" s="1"/>
  <c r="P6" i="9"/>
  <c r="P33" i="9" s="1"/>
  <c r="O6" i="9"/>
  <c r="O33" i="9" s="1"/>
  <c r="L6" i="9"/>
  <c r="L33" i="9" s="1"/>
  <c r="M33" i="9" s="1"/>
  <c r="K6" i="9"/>
  <c r="K33" i="9" s="1"/>
  <c r="J6" i="9"/>
  <c r="J33" i="9" s="1"/>
  <c r="E6" i="9"/>
  <c r="E33" i="9" s="1"/>
  <c r="G33" i="9" l="1"/>
  <c r="H33" i="9" s="1"/>
  <c r="H6" i="9"/>
  <c r="R33" i="9"/>
  <c r="W33" i="9"/>
  <c r="M6" i="9"/>
  <c r="R6" i="9"/>
  <c r="W6" i="9"/>
  <c r="W36" i="31" l="1"/>
  <c r="R36" i="31"/>
  <c r="M36" i="31"/>
  <c r="H36" i="31"/>
  <c r="W35" i="31"/>
  <c r="R35" i="31"/>
  <c r="M35" i="31"/>
  <c r="H35" i="31"/>
  <c r="W34" i="31"/>
  <c r="R34" i="31"/>
  <c r="M34" i="31"/>
  <c r="H34" i="31"/>
  <c r="W32" i="31"/>
  <c r="R32" i="31"/>
  <c r="M32" i="31"/>
  <c r="I32" i="31"/>
  <c r="G32" i="31"/>
  <c r="H32" i="31" s="1"/>
  <c r="F32" i="31"/>
  <c r="E32" i="31"/>
  <c r="W31" i="31"/>
  <c r="R31" i="31"/>
  <c r="M31" i="31"/>
  <c r="I31" i="31"/>
  <c r="G31" i="31"/>
  <c r="H31" i="31" s="1"/>
  <c r="F31" i="31"/>
  <c r="E31" i="31"/>
  <c r="W30" i="31"/>
  <c r="R30" i="31"/>
  <c r="M30" i="31"/>
  <c r="I30" i="31"/>
  <c r="G30" i="31"/>
  <c r="H30" i="31" s="1"/>
  <c r="F30" i="31"/>
  <c r="E30" i="31"/>
  <c r="W29" i="31"/>
  <c r="R29" i="31"/>
  <c r="M29" i="31"/>
  <c r="I29" i="31"/>
  <c r="G29" i="31"/>
  <c r="H29" i="31" s="1"/>
  <c r="F29" i="31"/>
  <c r="E29" i="31"/>
  <c r="W28" i="31"/>
  <c r="R28" i="31"/>
  <c r="M28" i="31"/>
  <c r="I28" i="31"/>
  <c r="G28" i="31"/>
  <c r="H28" i="31" s="1"/>
  <c r="F28" i="31"/>
  <c r="E28" i="31"/>
  <c r="W27" i="31"/>
  <c r="R27" i="31"/>
  <c r="M27" i="31"/>
  <c r="I27" i="31"/>
  <c r="G27" i="31"/>
  <c r="H27" i="31" s="1"/>
  <c r="F27" i="31"/>
  <c r="E27" i="31"/>
  <c r="W26" i="31"/>
  <c r="R26" i="31"/>
  <c r="M26" i="31"/>
  <c r="I26" i="31"/>
  <c r="G26" i="31"/>
  <c r="H26" i="31" s="1"/>
  <c r="F26" i="31"/>
  <c r="E26" i="31"/>
  <c r="W25" i="31"/>
  <c r="R25" i="31"/>
  <c r="M25" i="31"/>
  <c r="I25" i="31"/>
  <c r="G25" i="31"/>
  <c r="H25" i="31" s="1"/>
  <c r="F25" i="31"/>
  <c r="E25" i="31"/>
  <c r="W24" i="31"/>
  <c r="R24" i="31"/>
  <c r="M24" i="31"/>
  <c r="I24" i="31"/>
  <c r="G24" i="31"/>
  <c r="H24" i="31" s="1"/>
  <c r="F24" i="31"/>
  <c r="E24" i="31"/>
  <c r="W23" i="31"/>
  <c r="R23" i="31"/>
  <c r="M23" i="31"/>
  <c r="I23" i="31"/>
  <c r="G23" i="31"/>
  <c r="H23" i="31" s="1"/>
  <c r="F23" i="31"/>
  <c r="E23" i="31"/>
  <c r="W22" i="31"/>
  <c r="R22" i="31"/>
  <c r="M22" i="31"/>
  <c r="I22" i="31"/>
  <c r="G22" i="31"/>
  <c r="H22" i="31" s="1"/>
  <c r="F22" i="31"/>
  <c r="E22" i="31"/>
  <c r="W21" i="31"/>
  <c r="R21" i="31"/>
  <c r="M21" i="31"/>
  <c r="I21" i="31"/>
  <c r="G21" i="31"/>
  <c r="H21" i="31" s="1"/>
  <c r="F21" i="31"/>
  <c r="E21" i="31"/>
  <c r="W20" i="31"/>
  <c r="R20" i="31"/>
  <c r="M20" i="31"/>
  <c r="I20" i="31"/>
  <c r="G20" i="31"/>
  <c r="H20" i="31" s="1"/>
  <c r="F20" i="31"/>
  <c r="E20" i="31"/>
  <c r="W19" i="31"/>
  <c r="R19" i="31"/>
  <c r="M19" i="31"/>
  <c r="I19" i="31"/>
  <c r="G19" i="31"/>
  <c r="H19" i="31" s="1"/>
  <c r="F19" i="31"/>
  <c r="E19" i="31"/>
  <c r="W18" i="31"/>
  <c r="R18" i="31"/>
  <c r="M18" i="31"/>
  <c r="I18" i="31"/>
  <c r="G18" i="31"/>
  <c r="H18" i="31" s="1"/>
  <c r="F18" i="31"/>
  <c r="E18" i="31"/>
  <c r="W17" i="31"/>
  <c r="R17" i="31"/>
  <c r="M17" i="31"/>
  <c r="I17" i="31"/>
  <c r="G17" i="31"/>
  <c r="H17" i="31" s="1"/>
  <c r="F17" i="31"/>
  <c r="E17" i="31"/>
  <c r="W16" i="31"/>
  <c r="R16" i="31"/>
  <c r="M16" i="31"/>
  <c r="I16" i="31"/>
  <c r="G16" i="31"/>
  <c r="H16" i="31" s="1"/>
  <c r="F16" i="31"/>
  <c r="E16" i="31"/>
  <c r="W15" i="31"/>
  <c r="R15" i="31"/>
  <c r="M15" i="31"/>
  <c r="I15" i="31"/>
  <c r="G15" i="31"/>
  <c r="H15" i="31" s="1"/>
  <c r="F15" i="31"/>
  <c r="E15" i="31"/>
  <c r="W14" i="31"/>
  <c r="R14" i="31"/>
  <c r="M14" i="31"/>
  <c r="I14" i="31"/>
  <c r="G14" i="31"/>
  <c r="H14" i="31" s="1"/>
  <c r="F14" i="31"/>
  <c r="E14" i="31"/>
  <c r="W13" i="31"/>
  <c r="R13" i="31"/>
  <c r="M13" i="31"/>
  <c r="I13" i="31"/>
  <c r="G13" i="31"/>
  <c r="H13" i="31" s="1"/>
  <c r="F13" i="31"/>
  <c r="E13" i="31"/>
  <c r="W12" i="31"/>
  <c r="R12" i="31"/>
  <c r="M12" i="31"/>
  <c r="I12" i="31"/>
  <c r="G12" i="31"/>
  <c r="H12" i="31" s="1"/>
  <c r="F12" i="31"/>
  <c r="E12" i="31"/>
  <c r="X11" i="31"/>
  <c r="V11" i="31"/>
  <c r="W11" i="31" s="1"/>
  <c r="U11" i="31"/>
  <c r="T11" i="31"/>
  <c r="S11" i="31"/>
  <c r="R11" i="31"/>
  <c r="Q11" i="31"/>
  <c r="P11" i="31"/>
  <c r="O11" i="31"/>
  <c r="N11" i="31"/>
  <c r="L11" i="31"/>
  <c r="K11" i="31"/>
  <c r="M11" i="31" s="1"/>
  <c r="J11" i="31"/>
  <c r="I11" i="31"/>
  <c r="G11" i="31"/>
  <c r="H11" i="31" s="1"/>
  <c r="F11" i="31"/>
  <c r="E11" i="31"/>
  <c r="W10" i="31"/>
  <c r="R10" i="31"/>
  <c r="M10" i="31"/>
  <c r="I10" i="31"/>
  <c r="G10" i="31"/>
  <c r="H10" i="31" s="1"/>
  <c r="F10" i="31"/>
  <c r="E10" i="31"/>
  <c r="W9" i="31"/>
  <c r="R9" i="31"/>
  <c r="M9" i="31"/>
  <c r="I9" i="31"/>
  <c r="G9" i="31"/>
  <c r="H9" i="31" s="1"/>
  <c r="F9" i="31"/>
  <c r="E9" i="31"/>
  <c r="W8" i="31"/>
  <c r="R8" i="31"/>
  <c r="M8" i="31"/>
  <c r="I8" i="31"/>
  <c r="G8" i="31"/>
  <c r="H8" i="31" s="1"/>
  <c r="F8" i="31"/>
  <c r="E8" i="31"/>
  <c r="W7" i="31"/>
  <c r="R7" i="31"/>
  <c r="M7" i="31"/>
  <c r="I7" i="31"/>
  <c r="G7" i="31"/>
  <c r="H7" i="31" s="1"/>
  <c r="F7" i="31"/>
  <c r="E7" i="31"/>
  <c r="X6" i="31"/>
  <c r="X33" i="31" s="1"/>
  <c r="V6" i="31"/>
  <c r="V33" i="31" s="1"/>
  <c r="U6" i="31"/>
  <c r="U33" i="31" s="1"/>
  <c r="T6" i="31"/>
  <c r="T33" i="31" s="1"/>
  <c r="S6" i="31"/>
  <c r="S33" i="31" s="1"/>
  <c r="R6" i="31"/>
  <c r="Q6" i="31"/>
  <c r="Q33" i="31" s="1"/>
  <c r="R33" i="31" s="1"/>
  <c r="P6" i="31"/>
  <c r="P33" i="31" s="1"/>
  <c r="O6" i="31"/>
  <c r="O33" i="31" s="1"/>
  <c r="N6" i="31"/>
  <c r="N33" i="31" s="1"/>
  <c r="L6" i="31"/>
  <c r="L33" i="31" s="1"/>
  <c r="M33" i="31" s="1"/>
  <c r="K6" i="31"/>
  <c r="K33" i="31" s="1"/>
  <c r="J6" i="31"/>
  <c r="J33" i="31" s="1"/>
  <c r="I6" i="31"/>
  <c r="I33" i="31" s="1"/>
  <c r="G6" i="31"/>
  <c r="H6" i="31" s="1"/>
  <c r="F6" i="31"/>
  <c r="F33" i="31" s="1"/>
  <c r="E6" i="31"/>
  <c r="E33" i="31" s="1"/>
  <c r="W33" i="31" l="1"/>
  <c r="W6" i="31"/>
  <c r="M6" i="31"/>
  <c r="G33" i="31"/>
  <c r="H33" i="31" s="1"/>
  <c r="J32" i="35" l="1"/>
  <c r="E32" i="35" s="1"/>
  <c r="G32" i="35"/>
  <c r="F32" i="35"/>
  <c r="J31" i="35"/>
  <c r="E31" i="35" s="1"/>
  <c r="G31" i="35"/>
  <c r="F31" i="35"/>
  <c r="J30" i="35"/>
  <c r="E30" i="35" s="1"/>
  <c r="G30" i="35"/>
  <c r="F30" i="35"/>
  <c r="M29" i="35"/>
  <c r="H29" i="35"/>
  <c r="G29" i="35"/>
  <c r="F29" i="35"/>
  <c r="E29" i="35"/>
  <c r="W28" i="35"/>
  <c r="M28" i="35"/>
  <c r="G28" i="35"/>
  <c r="H28" i="35" s="1"/>
  <c r="F28" i="35"/>
  <c r="E28" i="35"/>
  <c r="M27" i="35"/>
  <c r="G27" i="35"/>
  <c r="H27" i="35" s="1"/>
  <c r="F27" i="35"/>
  <c r="E27" i="35"/>
  <c r="M26" i="35"/>
  <c r="H26" i="35"/>
  <c r="G26" i="35"/>
  <c r="F26" i="35"/>
  <c r="E26" i="35"/>
  <c r="G25" i="35"/>
  <c r="F25" i="35"/>
  <c r="E25" i="35"/>
  <c r="G24" i="35"/>
  <c r="F24" i="35"/>
  <c r="E24" i="35"/>
  <c r="G23" i="35"/>
  <c r="F23" i="35"/>
  <c r="E23" i="35"/>
  <c r="G22" i="35"/>
  <c r="F22" i="35"/>
  <c r="E22" i="35"/>
  <c r="W21" i="35"/>
  <c r="M21" i="35"/>
  <c r="G21" i="35"/>
  <c r="H21" i="35" s="1"/>
  <c r="F21" i="35"/>
  <c r="E21" i="35"/>
  <c r="W20" i="35"/>
  <c r="M20" i="35"/>
  <c r="H20" i="35"/>
  <c r="G20" i="35"/>
  <c r="F20" i="35"/>
  <c r="E20" i="35"/>
  <c r="W19" i="35"/>
  <c r="M19" i="35"/>
  <c r="G19" i="35"/>
  <c r="H19" i="35" s="1"/>
  <c r="F19" i="35"/>
  <c r="E19" i="35"/>
  <c r="W18" i="35"/>
  <c r="M18" i="35"/>
  <c r="H18" i="35"/>
  <c r="G18" i="35"/>
  <c r="F18" i="35"/>
  <c r="E18" i="35"/>
  <c r="M17" i="35"/>
  <c r="G17" i="35"/>
  <c r="F17" i="35"/>
  <c r="H17" i="35" s="1"/>
  <c r="E17" i="35"/>
  <c r="M16" i="35"/>
  <c r="G16" i="35"/>
  <c r="H16" i="35" s="1"/>
  <c r="F16" i="35"/>
  <c r="E16" i="35"/>
  <c r="W15" i="35"/>
  <c r="M15" i="35"/>
  <c r="H15" i="35"/>
  <c r="G15" i="35"/>
  <c r="F15" i="35"/>
  <c r="E15" i="35"/>
  <c r="G14" i="35"/>
  <c r="F14" i="35"/>
  <c r="E14" i="35"/>
  <c r="W13" i="35"/>
  <c r="M13" i="35"/>
  <c r="H13" i="35"/>
  <c r="G13" i="35"/>
  <c r="F13" i="35"/>
  <c r="E13" i="35"/>
  <c r="W12" i="35"/>
  <c r="M12" i="35"/>
  <c r="G12" i="35"/>
  <c r="H12" i="35" s="1"/>
  <c r="F12" i="35"/>
  <c r="E12" i="35"/>
  <c r="X11" i="35"/>
  <c r="W11" i="35"/>
  <c r="V11" i="35"/>
  <c r="U11" i="35"/>
  <c r="T11" i="35"/>
  <c r="S11" i="35"/>
  <c r="Q11" i="35"/>
  <c r="P11" i="35"/>
  <c r="O11" i="35"/>
  <c r="N11" i="35"/>
  <c r="L11" i="35"/>
  <c r="M11" i="35" s="1"/>
  <c r="K11" i="35"/>
  <c r="J11" i="35"/>
  <c r="I11" i="35"/>
  <c r="F11" i="35"/>
  <c r="I10" i="35"/>
  <c r="G10" i="35"/>
  <c r="F10" i="35"/>
  <c r="E10" i="35"/>
  <c r="M9" i="35"/>
  <c r="G9" i="35"/>
  <c r="H9" i="35" s="1"/>
  <c r="F9" i="35"/>
  <c r="M8" i="35"/>
  <c r="G8" i="35"/>
  <c r="H8" i="35" s="1"/>
  <c r="F8" i="35"/>
  <c r="W7" i="35"/>
  <c r="M7" i="35"/>
  <c r="H7" i="35"/>
  <c r="G7" i="35"/>
  <c r="F7" i="35"/>
  <c r="X6" i="35"/>
  <c r="X33" i="35" s="1"/>
  <c r="W6" i="35"/>
  <c r="V6" i="35"/>
  <c r="V33" i="35" s="1"/>
  <c r="U6" i="35"/>
  <c r="U33" i="35" s="1"/>
  <c r="T6" i="35"/>
  <c r="T33" i="35" s="1"/>
  <c r="S6" i="35"/>
  <c r="S33" i="35" s="1"/>
  <c r="Q6" i="35"/>
  <c r="Q33" i="35" s="1"/>
  <c r="P6" i="35"/>
  <c r="P33" i="35" s="1"/>
  <c r="O6" i="35"/>
  <c r="O33" i="35" s="1"/>
  <c r="N6" i="35"/>
  <c r="N33" i="35" s="1"/>
  <c r="L6" i="35"/>
  <c r="L33" i="35" s="1"/>
  <c r="K6" i="35"/>
  <c r="K33" i="35" s="1"/>
  <c r="J6" i="35"/>
  <c r="J33" i="35" s="1"/>
  <c r="I6" i="35"/>
  <c r="I33" i="35" s="1"/>
  <c r="F6" i="35"/>
  <c r="F33" i="35" s="1"/>
  <c r="E6" i="35"/>
  <c r="E11" i="35" l="1"/>
  <c r="E33" i="35"/>
  <c r="M6" i="35"/>
  <c r="G6" i="35"/>
  <c r="G11" i="35"/>
  <c r="H11" i="35" s="1"/>
  <c r="G33" i="35" l="1"/>
  <c r="H6" i="35"/>
  <c r="M36" i="37" l="1"/>
  <c r="H36" i="37"/>
  <c r="M35" i="37"/>
  <c r="H35" i="37"/>
  <c r="M34" i="37"/>
  <c r="H34" i="37"/>
  <c r="M29" i="37"/>
  <c r="G29" i="37"/>
  <c r="H29" i="37" s="1"/>
  <c r="F29" i="37"/>
  <c r="E29" i="37"/>
  <c r="M28" i="37"/>
  <c r="G28" i="37"/>
  <c r="H28" i="37" s="1"/>
  <c r="F28" i="37"/>
  <c r="E28" i="37"/>
  <c r="M21" i="37"/>
  <c r="G21" i="37"/>
  <c r="H21" i="37" s="1"/>
  <c r="F21" i="37"/>
  <c r="E21" i="37"/>
  <c r="M20" i="37"/>
  <c r="H20" i="37"/>
  <c r="G20" i="37"/>
  <c r="F20" i="37"/>
  <c r="E20" i="37"/>
  <c r="M19" i="37"/>
  <c r="G19" i="37"/>
  <c r="H19" i="37" s="1"/>
  <c r="F19" i="37"/>
  <c r="E19" i="37"/>
  <c r="M18" i="37"/>
  <c r="G18" i="37"/>
  <c r="H18" i="37" s="1"/>
  <c r="F18" i="37"/>
  <c r="E18" i="37"/>
  <c r="M17" i="37"/>
  <c r="G17" i="37"/>
  <c r="H17" i="37" s="1"/>
  <c r="F17" i="37"/>
  <c r="E17" i="37"/>
  <c r="N16" i="37"/>
  <c r="I16" i="37" s="1"/>
  <c r="I11" i="37" s="1"/>
  <c r="M16" i="37"/>
  <c r="G16" i="37"/>
  <c r="H16" i="37" s="1"/>
  <c r="F16" i="37"/>
  <c r="E16" i="37"/>
  <c r="M15" i="37"/>
  <c r="G15" i="37"/>
  <c r="H15" i="37" s="1"/>
  <c r="F15" i="37"/>
  <c r="E15" i="37"/>
  <c r="M13" i="37"/>
  <c r="H13" i="37"/>
  <c r="G13" i="37"/>
  <c r="F13" i="37"/>
  <c r="E13" i="37"/>
  <c r="M12" i="37"/>
  <c r="G12" i="37"/>
  <c r="F12" i="37"/>
  <c r="H12" i="37" s="1"/>
  <c r="E12" i="37"/>
  <c r="E11" i="37" s="1"/>
  <c r="L11" i="37"/>
  <c r="M11" i="37" s="1"/>
  <c r="K11" i="37"/>
  <c r="J11" i="37"/>
  <c r="G11" i="37"/>
  <c r="M9" i="37"/>
  <c r="H9" i="37"/>
  <c r="G9" i="37"/>
  <c r="F9" i="37"/>
  <c r="E9" i="37"/>
  <c r="M7" i="37"/>
  <c r="G7" i="37"/>
  <c r="F7" i="37"/>
  <c r="H7" i="37" s="1"/>
  <c r="E7" i="37"/>
  <c r="E6" i="37" s="1"/>
  <c r="E33" i="37" s="1"/>
  <c r="N6" i="37"/>
  <c r="L6" i="37"/>
  <c r="M6" i="37" s="1"/>
  <c r="K6" i="37"/>
  <c r="K33" i="37" s="1"/>
  <c r="J6" i="37"/>
  <c r="J33" i="37" s="1"/>
  <c r="I6" i="37"/>
  <c r="I33" i="37" s="1"/>
  <c r="G6" i="37"/>
  <c r="H11" i="37" l="1"/>
  <c r="H6" i="37"/>
  <c r="F6" i="37"/>
  <c r="F11" i="37"/>
  <c r="N11" i="37"/>
  <c r="N33" i="37" s="1"/>
  <c r="G33" i="37"/>
  <c r="L33" i="37"/>
  <c r="F33" i="37" l="1"/>
  <c r="W36" i="33" l="1"/>
  <c r="R36" i="33"/>
  <c r="M36" i="33"/>
  <c r="H36" i="33"/>
  <c r="W35" i="33"/>
  <c r="R35" i="33"/>
  <c r="M35" i="33"/>
  <c r="H35" i="33"/>
  <c r="W34" i="33"/>
  <c r="R34" i="33"/>
  <c r="M34" i="33"/>
  <c r="H34" i="33"/>
  <c r="W32" i="33"/>
  <c r="R32" i="33"/>
  <c r="N32" i="33"/>
  <c r="I32" i="33" s="1"/>
  <c r="L32" i="33"/>
  <c r="M32" i="33" s="1"/>
  <c r="K32" i="33"/>
  <c r="F32" i="33" s="1"/>
  <c r="J32" i="33"/>
  <c r="E32" i="33" s="1"/>
  <c r="G32" i="33"/>
  <c r="H32" i="33" s="1"/>
  <c r="W31" i="33"/>
  <c r="R31" i="33"/>
  <c r="N31" i="33"/>
  <c r="I31" i="33" s="1"/>
  <c r="L31" i="33"/>
  <c r="M31" i="33" s="1"/>
  <c r="K31" i="33"/>
  <c r="F31" i="33" s="1"/>
  <c r="J31" i="33"/>
  <c r="E31" i="33" s="1"/>
  <c r="G31" i="33"/>
  <c r="H31" i="33" s="1"/>
  <c r="W30" i="33"/>
  <c r="R30" i="33"/>
  <c r="N30" i="33"/>
  <c r="I30" i="33" s="1"/>
  <c r="L30" i="33"/>
  <c r="M30" i="33" s="1"/>
  <c r="K30" i="33"/>
  <c r="F30" i="33" s="1"/>
  <c r="J30" i="33"/>
  <c r="E30" i="33" s="1"/>
  <c r="G30" i="33"/>
  <c r="W29" i="33"/>
  <c r="R29" i="33"/>
  <c r="M29" i="33"/>
  <c r="H29" i="33"/>
  <c r="W28" i="33"/>
  <c r="R28" i="33"/>
  <c r="M28" i="33"/>
  <c r="J28" i="33"/>
  <c r="H28" i="33"/>
  <c r="E28" i="33"/>
  <c r="W27" i="33"/>
  <c r="R27" i="33"/>
  <c r="N27" i="33"/>
  <c r="L27" i="33"/>
  <c r="M27" i="33" s="1"/>
  <c r="K27" i="33"/>
  <c r="F27" i="33" s="1"/>
  <c r="J27" i="33"/>
  <c r="I27" i="33"/>
  <c r="G27" i="33"/>
  <c r="H27" i="33" s="1"/>
  <c r="E27" i="33"/>
  <c r="W26" i="33"/>
  <c r="R26" i="33"/>
  <c r="M26" i="33"/>
  <c r="H26" i="33"/>
  <c r="W25" i="33"/>
  <c r="R25" i="33"/>
  <c r="N25" i="33"/>
  <c r="L25" i="33"/>
  <c r="M25" i="33" s="1"/>
  <c r="K25" i="33"/>
  <c r="I25" i="33"/>
  <c r="G25" i="33"/>
  <c r="H25" i="33" s="1"/>
  <c r="F25" i="33"/>
  <c r="W24" i="33"/>
  <c r="R24" i="33"/>
  <c r="N24" i="33"/>
  <c r="M24" i="33"/>
  <c r="L24" i="33"/>
  <c r="K24" i="33"/>
  <c r="I24" i="33"/>
  <c r="H24" i="33"/>
  <c r="G24" i="33"/>
  <c r="F24" i="33"/>
  <c r="W23" i="33"/>
  <c r="R23" i="33"/>
  <c r="N23" i="33"/>
  <c r="L23" i="33"/>
  <c r="L11" i="33" s="1"/>
  <c r="K23" i="33"/>
  <c r="K11" i="33" s="1"/>
  <c r="I23" i="33"/>
  <c r="G23" i="33"/>
  <c r="G11" i="33" s="1"/>
  <c r="F23" i="33"/>
  <c r="W22" i="33"/>
  <c r="R22" i="33"/>
  <c r="M22" i="33"/>
  <c r="H22" i="33"/>
  <c r="W21" i="33"/>
  <c r="R21" i="33"/>
  <c r="M21" i="33"/>
  <c r="H21" i="33"/>
  <c r="W20" i="33"/>
  <c r="R20" i="33"/>
  <c r="M20" i="33"/>
  <c r="H20" i="33"/>
  <c r="W19" i="33"/>
  <c r="R19" i="33"/>
  <c r="M19" i="33"/>
  <c r="H19" i="33"/>
  <c r="W18" i="33"/>
  <c r="R18" i="33"/>
  <c r="M18" i="33"/>
  <c r="H18" i="33"/>
  <c r="W17" i="33"/>
  <c r="R17" i="33"/>
  <c r="M17" i="33"/>
  <c r="H17" i="33"/>
  <c r="W16" i="33"/>
  <c r="R16" i="33"/>
  <c r="M16" i="33"/>
  <c r="H16" i="33"/>
  <c r="W15" i="33"/>
  <c r="R15" i="33"/>
  <c r="M15" i="33"/>
  <c r="H15" i="33"/>
  <c r="W14" i="33"/>
  <c r="R14" i="33"/>
  <c r="M14" i="33"/>
  <c r="H14" i="33"/>
  <c r="W13" i="33"/>
  <c r="R13" i="33"/>
  <c r="M13" i="33"/>
  <c r="H13" i="33"/>
  <c r="W12" i="33"/>
  <c r="R12" i="33"/>
  <c r="M12" i="33"/>
  <c r="H12" i="33"/>
  <c r="X11" i="33"/>
  <c r="V11" i="33"/>
  <c r="W11" i="33" s="1"/>
  <c r="U11" i="33"/>
  <c r="T11" i="33"/>
  <c r="S11" i="33"/>
  <c r="Q11" i="33"/>
  <c r="R11" i="33" s="1"/>
  <c r="P11" i="33"/>
  <c r="O11" i="33"/>
  <c r="N11" i="33"/>
  <c r="J11" i="33"/>
  <c r="W10" i="33"/>
  <c r="R10" i="33"/>
  <c r="M10" i="33"/>
  <c r="I10" i="33"/>
  <c r="G10" i="33"/>
  <c r="H10" i="33" s="1"/>
  <c r="F10" i="33"/>
  <c r="E10" i="33"/>
  <c r="W9" i="33"/>
  <c r="R9" i="33"/>
  <c r="M9" i="33"/>
  <c r="H9" i="33"/>
  <c r="W8" i="33"/>
  <c r="R8" i="33"/>
  <c r="M8" i="33"/>
  <c r="H8" i="33"/>
  <c r="W7" i="33"/>
  <c r="R7" i="33"/>
  <c r="M7" i="33"/>
  <c r="H7" i="33"/>
  <c r="X6" i="33"/>
  <c r="X33" i="33" s="1"/>
  <c r="V6" i="33"/>
  <c r="W6" i="33" s="1"/>
  <c r="U6" i="33"/>
  <c r="U33" i="33" s="1"/>
  <c r="T6" i="33"/>
  <c r="T33" i="33" s="1"/>
  <c r="S6" i="33"/>
  <c r="S33" i="33" s="1"/>
  <c r="Q6" i="33"/>
  <c r="R6" i="33" s="1"/>
  <c r="P6" i="33"/>
  <c r="P33" i="33" s="1"/>
  <c r="O6" i="33"/>
  <c r="O33" i="33" s="1"/>
  <c r="N6" i="33"/>
  <c r="N33" i="33" s="1"/>
  <c r="M6" i="33"/>
  <c r="L6" i="33"/>
  <c r="L33" i="33" s="1"/>
  <c r="K6" i="33"/>
  <c r="K33" i="33" s="1"/>
  <c r="J6" i="33"/>
  <c r="J33" i="33" s="1"/>
  <c r="I6" i="33"/>
  <c r="G6" i="33"/>
  <c r="H6" i="33" s="1"/>
  <c r="F6" i="33"/>
  <c r="E6" i="33"/>
  <c r="F33" i="33" l="1"/>
  <c r="M33" i="33"/>
  <c r="M11" i="33"/>
  <c r="H30" i="33"/>
  <c r="I11" i="33"/>
  <c r="I33" i="33" s="1"/>
  <c r="E33" i="33"/>
  <c r="F11" i="33"/>
  <c r="E11" i="33"/>
  <c r="H11" i="33"/>
  <c r="Q33" i="33"/>
  <c r="R33" i="33" s="1"/>
  <c r="V33" i="33"/>
  <c r="W33" i="33" s="1"/>
  <c r="H23" i="33"/>
  <c r="M23" i="33"/>
  <c r="G33" i="33"/>
  <c r="H33" i="33" s="1"/>
</calcChain>
</file>

<file path=xl/comments1.xml><?xml version="1.0" encoding="utf-8"?>
<comments xmlns="http://schemas.openxmlformats.org/spreadsheetml/2006/main">
  <authors>
    <author>Ptáčková Eva</author>
  </authors>
  <commentList>
    <comment ref="J34" authorId="0">
      <text>
        <r>
          <rPr>
            <b/>
            <sz val="9"/>
            <color indexed="81"/>
            <rFont val="Tahoma"/>
            <charset val="1"/>
          </rPr>
          <t>Ptáčková Eva:</t>
        </r>
        <r>
          <rPr>
            <sz val="9"/>
            <color indexed="81"/>
            <rFont val="Tahoma"/>
            <charset val="1"/>
          </rPr>
          <t xml:space="preserve">
dle schváleného rozpočtu by mělo být 13 020</t>
        </r>
      </text>
    </comment>
    <comment ref="J35" authorId="0">
      <text>
        <r>
          <rPr>
            <b/>
            <sz val="9"/>
            <color indexed="81"/>
            <rFont val="Tahoma"/>
            <charset val="1"/>
          </rPr>
          <t>Ptáčková Eva:</t>
        </r>
        <r>
          <rPr>
            <sz val="9"/>
            <color indexed="81"/>
            <rFont val="Tahoma"/>
            <charset val="1"/>
          </rPr>
          <t xml:space="preserve">
dle schváleného rozpočtu by mělo být 1</t>
        </r>
      </text>
    </comment>
  </commentList>
</comments>
</file>

<file path=xl/comments2.xml><?xml version="1.0" encoding="utf-8"?>
<comments xmlns="http://schemas.openxmlformats.org/spreadsheetml/2006/main">
  <authors>
    <author>Ptáčková Eva</author>
  </authors>
  <commentList>
    <comment ref="I4" authorId="0">
      <text>
        <r>
          <rPr>
            <b/>
            <sz val="9"/>
            <color indexed="81"/>
            <rFont val="Tahoma"/>
            <charset val="1"/>
          </rPr>
          <t>Ptáčková Eva:</t>
        </r>
        <r>
          <rPr>
            <sz val="9"/>
            <color indexed="81"/>
            <rFont val="Tahoma"/>
            <charset val="1"/>
          </rPr>
          <t xml:space="preserve">
nepřepsána hlavička, mělo by být 2017</t>
        </r>
      </text>
    </comment>
    <comment ref="N4" authorId="0">
      <text>
        <r>
          <rPr>
            <b/>
            <sz val="9"/>
            <color indexed="81"/>
            <rFont val="Tahoma"/>
            <charset val="1"/>
          </rPr>
          <t>Ptáčková Eva:</t>
        </r>
        <r>
          <rPr>
            <sz val="9"/>
            <color indexed="81"/>
            <rFont val="Tahoma"/>
            <charset val="1"/>
          </rPr>
          <t xml:space="preserve">
nepřepsána hlavička, mělo by být 2017</t>
        </r>
      </text>
    </comment>
    <comment ref="S4" authorId="0">
      <text>
        <r>
          <rPr>
            <b/>
            <sz val="9"/>
            <color indexed="81"/>
            <rFont val="Tahoma"/>
            <charset val="1"/>
          </rPr>
          <t>Ptáčková Eva:</t>
        </r>
        <r>
          <rPr>
            <sz val="9"/>
            <color indexed="81"/>
            <rFont val="Tahoma"/>
            <charset val="1"/>
          </rPr>
          <t xml:space="preserve">
nepřepsána hlavička, mělo by být 2017</t>
        </r>
      </text>
    </comment>
    <comment ref="X4" authorId="0">
      <text>
        <r>
          <rPr>
            <b/>
            <sz val="9"/>
            <color indexed="81"/>
            <rFont val="Tahoma"/>
            <charset val="1"/>
          </rPr>
          <t>Ptáčková Eva:</t>
        </r>
        <r>
          <rPr>
            <sz val="9"/>
            <color indexed="81"/>
            <rFont val="Tahoma"/>
            <charset val="1"/>
          </rPr>
          <t xml:space="preserve">
nepřepsána hlavička, mělo by být 2017</t>
        </r>
      </text>
    </comment>
    <comment ref="G30" authorId="0">
      <text>
        <r>
          <rPr>
            <b/>
            <sz val="9"/>
            <color indexed="81"/>
            <rFont val="Tahoma"/>
            <family val="2"/>
            <charset val="238"/>
          </rPr>
          <t>Ptáčková Eva:</t>
        </r>
        <r>
          <rPr>
            <sz val="9"/>
            <color indexed="81"/>
            <rFont val="Tahoma"/>
            <family val="2"/>
            <charset val="238"/>
          </rPr>
          <t xml:space="preserve">
částka patří na účet 556, takže by měla být na řádku 22. 55X-Jiné odpisy, rezervy a opravné položky</t>
        </r>
      </text>
    </comment>
    <comment ref="L30" authorId="0">
      <text>
        <r>
          <rPr>
            <b/>
            <sz val="9"/>
            <color indexed="81"/>
            <rFont val="Tahoma"/>
            <family val="2"/>
            <charset val="238"/>
          </rPr>
          <t>Ptáčková Eva:</t>
        </r>
        <r>
          <rPr>
            <sz val="9"/>
            <color indexed="81"/>
            <rFont val="Tahoma"/>
            <family val="2"/>
            <charset val="238"/>
          </rPr>
          <t xml:space="preserve">
částka patří na účet 556, takže by měla být na řádku 22. 55X-Jiné odpisy, rezervy a opravné položky</t>
        </r>
      </text>
    </comment>
    <comment ref="G31" authorId="0">
      <text>
        <r>
          <rPr>
            <b/>
            <sz val="9"/>
            <color indexed="81"/>
            <rFont val="Tahoma"/>
            <family val="2"/>
            <charset val="238"/>
          </rPr>
          <t>Ptáčková Eva:</t>
        </r>
        <r>
          <rPr>
            <sz val="9"/>
            <color indexed="81"/>
            <rFont val="Tahoma"/>
            <family val="2"/>
            <charset val="238"/>
          </rPr>
          <t xml:space="preserve">
částka patří na účet 557, takže by měla být na řádku 22. 55X-Jiné odpisy, rezervy a opravné položky</t>
        </r>
      </text>
    </comment>
    <comment ref="L31" authorId="0">
      <text>
        <r>
          <rPr>
            <b/>
            <sz val="9"/>
            <color indexed="81"/>
            <rFont val="Tahoma"/>
            <family val="2"/>
            <charset val="238"/>
          </rPr>
          <t>Ptáčková Eva:</t>
        </r>
        <r>
          <rPr>
            <sz val="9"/>
            <color indexed="81"/>
            <rFont val="Tahoma"/>
            <family val="2"/>
            <charset val="238"/>
          </rPr>
          <t xml:space="preserve">
částka patří na účet 557, takže by měla být na řádku 22. 55X-Jiné odpisy, rezervy a opravné položky</t>
        </r>
      </text>
    </comment>
    <comment ref="J34" authorId="0">
      <text>
        <r>
          <rPr>
            <b/>
            <sz val="9"/>
            <color indexed="81"/>
            <rFont val="Tahoma"/>
            <charset val="1"/>
          </rPr>
          <t>Ptáčková Eva:</t>
        </r>
        <r>
          <rPr>
            <sz val="9"/>
            <color indexed="81"/>
            <rFont val="Tahoma"/>
            <charset val="1"/>
          </rPr>
          <t xml:space="preserve">
ve schváleném rozpočtu bylo 24 092 Kč</t>
        </r>
      </text>
    </comment>
    <comment ref="K34" authorId="0">
      <text>
        <r>
          <rPr>
            <b/>
            <sz val="9"/>
            <color indexed="81"/>
            <rFont val="Tahoma"/>
            <charset val="1"/>
          </rPr>
          <t>Ptáčková Eva:</t>
        </r>
        <r>
          <rPr>
            <sz val="9"/>
            <color indexed="81"/>
            <rFont val="Tahoma"/>
            <charset val="1"/>
          </rPr>
          <t xml:space="preserve">
ve schváleném rozpočtu bylo 24 092 Kč</t>
        </r>
      </text>
    </comment>
    <comment ref="J35" authorId="0">
      <text>
        <r>
          <rPr>
            <b/>
            <sz val="9"/>
            <color indexed="81"/>
            <rFont val="Tahoma"/>
            <charset val="1"/>
          </rPr>
          <t>Ptáčková Eva:</t>
        </r>
        <r>
          <rPr>
            <sz val="9"/>
            <color indexed="81"/>
            <rFont val="Tahoma"/>
            <charset val="1"/>
          </rPr>
          <t xml:space="preserve">
ve schváleném rozpočtu bylo 4</t>
        </r>
      </text>
    </comment>
    <comment ref="K35" authorId="0">
      <text>
        <r>
          <rPr>
            <b/>
            <sz val="9"/>
            <color indexed="81"/>
            <rFont val="Tahoma"/>
            <charset val="1"/>
          </rPr>
          <t>Ptáčková Eva:</t>
        </r>
        <r>
          <rPr>
            <sz val="9"/>
            <color indexed="81"/>
            <rFont val="Tahoma"/>
            <charset val="1"/>
          </rPr>
          <t xml:space="preserve">
ve schváleném rozpočtu bylo 4</t>
        </r>
      </text>
    </comment>
    <comment ref="J36" authorId="0">
      <text>
        <r>
          <rPr>
            <b/>
            <sz val="9"/>
            <color indexed="81"/>
            <rFont val="Tahoma"/>
            <charset val="1"/>
          </rPr>
          <t>Ptáčková Eva:</t>
        </r>
        <r>
          <rPr>
            <sz val="9"/>
            <color indexed="81"/>
            <rFont val="Tahoma"/>
            <charset val="1"/>
          </rPr>
          <t xml:space="preserve">
ve schváleném rozpočtu bylo 11</t>
        </r>
      </text>
    </comment>
    <comment ref="K36" authorId="0">
      <text>
        <r>
          <rPr>
            <b/>
            <sz val="9"/>
            <color indexed="81"/>
            <rFont val="Tahoma"/>
            <charset val="1"/>
          </rPr>
          <t>Ptáčková Eva:</t>
        </r>
        <r>
          <rPr>
            <sz val="9"/>
            <color indexed="81"/>
            <rFont val="Tahoma"/>
            <charset val="1"/>
          </rPr>
          <t xml:space="preserve">
ve schváleném rozpočtu bylo 11</t>
        </r>
      </text>
    </comment>
  </commentList>
</comments>
</file>

<file path=xl/sharedStrings.xml><?xml version="1.0" encoding="utf-8"?>
<sst xmlns="http://schemas.openxmlformats.org/spreadsheetml/2006/main" count="4244" uniqueCount="798">
  <si>
    <t>Městské divadlo v Prostějově, příspěvková organizace</t>
  </si>
  <si>
    <t>Poř. číslo</t>
  </si>
  <si>
    <t>Ukazatel</t>
  </si>
  <si>
    <t>Měrná jednotka</t>
  </si>
  <si>
    <t>Celkem hlavní činnost</t>
  </si>
  <si>
    <t>Vztah ke zřizovateli</t>
  </si>
  <si>
    <t>Vztah k Olomouckému kraji, popř. SR ČR, EU apod.</t>
  </si>
  <si>
    <t>Celkem doplňková činnost</t>
  </si>
  <si>
    <t>Schválený rozpočet</t>
  </si>
  <si>
    <t>K 30.6.2018</t>
  </si>
  <si>
    <t>Srovn. skut. 2017</t>
  </si>
  <si>
    <t>Upr.rozpočet</t>
  </si>
  <si>
    <t>Skutečnost</t>
  </si>
  <si>
    <t>SK/RP</t>
  </si>
  <si>
    <t>1.</t>
  </si>
  <si>
    <t>Výnosy celkem</t>
  </si>
  <si>
    <t>Kč</t>
  </si>
  <si>
    <t>2.</t>
  </si>
  <si>
    <t>60X až 64X - Výnosy z činnosti</t>
  </si>
  <si>
    <t>3.</t>
  </si>
  <si>
    <t>66X - Finanční výnosy</t>
  </si>
  <si>
    <t>4.</t>
  </si>
  <si>
    <t>67X - Výnosy z transferů</t>
  </si>
  <si>
    <t>5.</t>
  </si>
  <si>
    <t>Příspěvek na investice</t>
  </si>
  <si>
    <t>6.</t>
  </si>
  <si>
    <t>Náklady celkem</t>
  </si>
  <si>
    <t>7.</t>
  </si>
  <si>
    <t>501 - Spotřeba materiálu</t>
  </si>
  <si>
    <t>8.</t>
  </si>
  <si>
    <t>502 - Spotřeba energie</t>
  </si>
  <si>
    <t>9.</t>
  </si>
  <si>
    <t>50X - Jiné spotřebované nákupy</t>
  </si>
  <si>
    <t>10.</t>
  </si>
  <si>
    <t>511 - Opravy a udržování</t>
  </si>
  <si>
    <t>11.</t>
  </si>
  <si>
    <t>512 - Cestovné</t>
  </si>
  <si>
    <t>12.</t>
  </si>
  <si>
    <t>513 - Náklady na reprezentaci</t>
  </si>
  <si>
    <t>13.</t>
  </si>
  <si>
    <t>518 - Ostatní služby</t>
  </si>
  <si>
    <t>14.</t>
  </si>
  <si>
    <t>521 - Mzdové náklady</t>
  </si>
  <si>
    <t>15.</t>
  </si>
  <si>
    <t>524, 525 - Zákonné a jiné sociální pojištění</t>
  </si>
  <si>
    <t>16.</t>
  </si>
  <si>
    <t>527, 528 - Zákonné a jiné sociální náklady</t>
  </si>
  <si>
    <t>17.</t>
  </si>
  <si>
    <t>53X - Daně a poplatky</t>
  </si>
  <si>
    <t>18.</t>
  </si>
  <si>
    <t>541, 542 - Pokuty, úroky z prodlení a penále</t>
  </si>
  <si>
    <t>19.</t>
  </si>
  <si>
    <t>543 - Dary a jiná bezúplatná předání</t>
  </si>
  <si>
    <t>20.</t>
  </si>
  <si>
    <t>54X - Jiné ostatní náklady</t>
  </si>
  <si>
    <t>21.</t>
  </si>
  <si>
    <t>551 - Odpisy dlouhodobého majetku</t>
  </si>
  <si>
    <t>22.</t>
  </si>
  <si>
    <t>55X - Jiné odpisy, rezervy a opravné položky</t>
  </si>
  <si>
    <t>23.</t>
  </si>
  <si>
    <t>558 - Náklady z drobného dlouhodobého majetku</t>
  </si>
  <si>
    <t>24.</t>
  </si>
  <si>
    <t>549 - Ostatní náklady z činnosti</t>
  </si>
  <si>
    <t>25.</t>
  </si>
  <si>
    <t>56X - Finanční náklady</t>
  </si>
  <si>
    <t>26.</t>
  </si>
  <si>
    <t>57X - Náklady na transfery</t>
  </si>
  <si>
    <t>27.</t>
  </si>
  <si>
    <t>59X - Daň z příjmů</t>
  </si>
  <si>
    <t>28.</t>
  </si>
  <si>
    <t>Výsledek hospodaření</t>
  </si>
  <si>
    <t>29.</t>
  </si>
  <si>
    <t>Průměrná měsíční mzda</t>
  </si>
  <si>
    <t>30.</t>
  </si>
  <si>
    <t>Evid. přepočtený stav pracovníků</t>
  </si>
  <si>
    <t>osob</t>
  </si>
  <si>
    <t>31.</t>
  </si>
  <si>
    <t>Fyzický stav pracovníků</t>
  </si>
  <si>
    <t>Jesle sídliště Svobody v Prostějově, IČO 47920360</t>
  </si>
  <si>
    <t>J</t>
  </si>
  <si>
    <t>KINO METRO 70 Prostějov, příspěvková organizace, Školní 3694/1, 79601 Prostějov, IČ: 05592178</t>
  </si>
  <si>
    <t>Městská knihovna Prostějov, příspěvková organizace</t>
  </si>
  <si>
    <t>Mateřská škola Prostějov, Partyzánská 34</t>
  </si>
  <si>
    <t>Mateřská škola Prostějov, příspěvková organizace, Rumunská ul. 23, 796 01 Prostějov, IČO: 70982821</t>
  </si>
  <si>
    <t>Mateřská škola Prostějov, Smetanova ul. 24, příspěvková organizace</t>
  </si>
  <si>
    <t>Mateřská  škola Prostějov, ul. Šárka 4a</t>
  </si>
  <si>
    <t>Reálné gymnázium a základní škola města Prostějova, Studentská ul. 2</t>
  </si>
  <si>
    <t>Sportcentrum - dům dětí a mládeže Prostějov, příspěvková organizace</t>
  </si>
  <si>
    <t>Základní škola a mateřská škola Jana Železného Prostějov, sídliště Svobody 3578/79</t>
  </si>
  <si>
    <t>Schválený roční plán</t>
  </si>
  <si>
    <t>Roční plán</t>
  </si>
  <si>
    <t>Základní škola Prostějov, ul. E. Valenty 52, 796 03 Prostějov</t>
  </si>
  <si>
    <t>Mzdy - OON</t>
  </si>
  <si>
    <t>Jsou vypláceny odměny z DČ - žádný prac. poměr</t>
  </si>
  <si>
    <t>Základní škola a mateřská škola Prostějov, Kollárova ul. 4</t>
  </si>
  <si>
    <t>Základní škola Prostějov, ul. Vl. Majakovského 1, IČO 62859056</t>
  </si>
  <si>
    <t>Základní škola a mateřská škola Prostějov, Melantrichova ul. 60</t>
  </si>
  <si>
    <t>Základní škola a mateřská škola Prostějov, Palackého tř. 14</t>
  </si>
  <si>
    <t>Základní umělecká škola Vladimíra Ambrose Prostějov</t>
  </si>
  <si>
    <t>1. Průběžný výsledek hospodaření za I. pololetí roku 2018</t>
  </si>
  <si>
    <t>Kategorie</t>
  </si>
  <si>
    <t>Komentář k tvorbě průběžného výsledku hospodaření za I. pololetí roku 2018</t>
  </si>
  <si>
    <t>Hlavní činnost (zřizovatel)</t>
  </si>
  <si>
    <t>Doplňková činnost</t>
  </si>
  <si>
    <t>Výsledek hospodaření navrhuje organizace po schválení zřizovatelem uložit do RF k dalšímu rozvoji organizace.</t>
  </si>
  <si>
    <t>Ostatní (kraj, SR ČR, EF apod.)</t>
  </si>
  <si>
    <t>2. Fondové hospodaření příspěvkové organizace v I. pololetí roku 2018 v Kč</t>
  </si>
  <si>
    <t>Fond</t>
  </si>
  <si>
    <t>PZ k 1.1.2018 v  Kč</t>
  </si>
  <si>
    <t>Zdroje fondu v  Kč</t>
  </si>
  <si>
    <t>Čerpání fondu  v  Kč</t>
  </si>
  <si>
    <t>KZ k 30.6.2018 v Kč</t>
  </si>
  <si>
    <t>Finanční krytí fondů k 30.6.2018 v Kč</t>
  </si>
  <si>
    <t>Komentář k peněžním fondům</t>
  </si>
  <si>
    <t>Rezervní fond ze zlepšeného VH (413)</t>
  </si>
  <si>
    <t>Rezervní fond z ostatních titulů (414)</t>
  </si>
  <si>
    <t>Fond investic</t>
  </si>
  <si>
    <t>Fond odměn</t>
  </si>
  <si>
    <t>FKSP</t>
  </si>
  <si>
    <t>Rozdíl v KZ a finančním krytí fondu je způsoben převodem bankovních poplatků a úroků (811,17 Kč). Tento rozdíl byl převeden z běžného účtu 3. 7. 2018.</t>
  </si>
  <si>
    <t>Celkem</t>
  </si>
  <si>
    <t>3. Pohledávky po lhůtě splatnosti</t>
  </si>
  <si>
    <t>Číslo účtu - Název účtu dle rozvahy</t>
  </si>
  <si>
    <t>Číslo faktury</t>
  </si>
  <si>
    <t>Dlužník; způsob vymáhání pohledávky po lhůtě spaltnosti (dosavadní/plánovaný)</t>
  </si>
  <si>
    <t>Organizace nemá žádné pohledávky po lhůtě splatnosti.</t>
  </si>
  <si>
    <t>4. Závazky po lhůtě splatnosti</t>
  </si>
  <si>
    <t>Příjemce; způsob úhrady závazku po lhůtě spaltnosti (dosavadní/plánovaný)</t>
  </si>
  <si>
    <t>Organizace nemá žádné závazky po lhůtě splatnosti.</t>
  </si>
  <si>
    <t>5. Přehled přijatých darů v I. pololetí roku 2018</t>
  </si>
  <si>
    <t>Přijato v roce 2018 (Kč)</t>
  </si>
  <si>
    <t>Čerpáno v roce 2018 (Kč)</t>
  </si>
  <si>
    <t>Účel</t>
  </si>
  <si>
    <t>Organizace nepřijala žádné finanční dary.</t>
  </si>
  <si>
    <t>6. Úpravy rozpočtu příspěvkové organizace v I. pololetí roku 2018 v hlavní činnosti</t>
  </si>
  <si>
    <t>Důvod úpravy</t>
  </si>
  <si>
    <t>Analytický účet</t>
  </si>
  <si>
    <t>Částka ± úpravy výnosů v Kč</t>
  </si>
  <si>
    <t>Částka ± úpravy nákladů v Kč</t>
  </si>
  <si>
    <t>Datum schválení úpravy</t>
  </si>
  <si>
    <t>Datum provedení úpravy</t>
  </si>
  <si>
    <t xml:space="preserve">Úprava nákladových položek plynoucích z přeúčtování nákladů z </t>
  </si>
  <si>
    <t>558/0880</t>
  </si>
  <si>
    <t>komeřních pronájmpů k 30. 6. 2018. Navýšené příjmy generují vyšší</t>
  </si>
  <si>
    <t>602/0880</t>
  </si>
  <si>
    <t>náklady.</t>
  </si>
  <si>
    <t>649/0880</t>
  </si>
  <si>
    <t>Úprava rozpočtu z důvodu účtování na nový nákladový a výnosový účet</t>
  </si>
  <si>
    <t>504/0880</t>
  </si>
  <si>
    <t xml:space="preserve"> - prodej programů.</t>
  </si>
  <si>
    <t>604/0880</t>
  </si>
  <si>
    <t>Celkem úpravy rozpočtu v Kč</t>
  </si>
  <si>
    <t>Úpravy rozpočtu v hlavní činnosti byl ohlášeny OŠKS.</t>
  </si>
  <si>
    <t>7. Úpravy rozpočtu příspěvkové organizace v I. pololetí roku 2018 v doplňkové činnosti</t>
  </si>
  <si>
    <t>Úprava nákladových položek plynoucí z přeúčtování nákladů z komerčních</t>
  </si>
  <si>
    <t>603/0280</t>
  </si>
  <si>
    <t>pronájmů k 30. 6. 2018. Navýšené příjmy generují vyšší náklady.</t>
  </si>
  <si>
    <t>649/0280</t>
  </si>
  <si>
    <t>501/0280</t>
  </si>
  <si>
    <t>518/0280</t>
  </si>
  <si>
    <t>549/0280</t>
  </si>
  <si>
    <t>551/0280</t>
  </si>
  <si>
    <t>Celkem rozpočtu plánu v Kč</t>
  </si>
  <si>
    <t>Úpravy rozpočtu v doplňkové činnosti jsou plně v kompetenci organizace.</t>
  </si>
  <si>
    <t>Z minulého kontrolního dne nebyla uložena žádná opatření.</t>
  </si>
  <si>
    <t>9. Ostatní závěry, popř. opatření, které vyplynuly z jednání kontrolního dne k výsledkům hospodaření za I. pololetí roku 2018</t>
  </si>
  <si>
    <t>Organizace na základě schválených usnesení  RMP ze dne 15. 5. 2018 č. 8418 a  ZMP ze dne 12.  6. 2018 č. 18101 provedla příděl do peněžních fondů ve výši 91.911,30 Kč tj. schváleného výsledku hospodaření za rok 2017, a to rezervnímu fondu částku 91.911,30 Kč.</t>
  </si>
  <si>
    <t>V Prostějově  31. 7. 2018</t>
  </si>
  <si>
    <t>Zpracovala: Jarmila Jašková, ekonomka</t>
  </si>
  <si>
    <t>PaedDr. Jana Maršálková, ředitelka</t>
  </si>
  <si>
    <t>Název organizace : Jesle sídliště Svobody v Prostějově , příspěvková organizace , IČO: 479 20 360</t>
  </si>
  <si>
    <t>Průběžný výsledek hospodaření v hlavní činnosti ve výši 151.301,60 je tvořen zejména vyšší úsporou v položce spotřeba energie .      Dále je tvořen i úsporou v ostatních nákladových položkách a také vyššími tržbami vlastními.</t>
  </si>
  <si>
    <t>Tvorba: příděl zlepšeného výsledku hospod.</t>
  </si>
  <si>
    <t>Rozdíl ve finančním krytí fondu :   tvorba     + 2 944,00 Kč - zák. příděl z mezd za červen, + 18,00 Kč bankovní poplatky,                      - 1 750,00 Kč příspěvek na stravu - červen</t>
  </si>
  <si>
    <t>Organizace nemá pohledávky po lhůtě splatnosti.</t>
  </si>
  <si>
    <t>Organizace nemá závazky po lhůtě splatnosti.</t>
  </si>
  <si>
    <t>Organizace v prvním pololetí nepřijala žádné dary.</t>
  </si>
  <si>
    <t>6. Úpravy finančního plánu příspěvkové organizace v I. pololetí roku 2018 v hlavní činnosti</t>
  </si>
  <si>
    <t>Celkem úpravy finančního plánu v Kč</t>
  </si>
  <si>
    <t>Organizace v prvním pololetí neprovedla žádné finanční úpravy plánu.</t>
  </si>
  <si>
    <t>7. Úpravy finančního plánu příspěvkové organizace v I. pololetí roku 2018 v doplňkové činnosti</t>
  </si>
  <si>
    <t>Oraganizaci na minulém kontrolním dni  nebylo uloženo žádné opatření.</t>
  </si>
  <si>
    <t>Organizace na základě schválených usnesení RMP č. 8418 ze dne 15.5.2018 a ZMP č. 18101 ze dne 11.6.2018 přidělila zákonným fondům schválený výsledek hospodaření za rok 2017 ve výši 90.061,55 Kč a to rezervnímu fondu částku 70.061,55 Kč</t>
  </si>
  <si>
    <t>a fondu odměn částku 20.000,00 Kč. Na kontrolní dni bylo konstatováno, že finanční prostředky , které organizace nárokovala na provoz  se  jeví jako dostačující.</t>
  </si>
  <si>
    <t>Zpracoval/a: Marie Bittnerová</t>
  </si>
  <si>
    <t>Datum: 31.7 2018</t>
  </si>
  <si>
    <t>Příspěvková organizace: KINO METRO 70 Prostějov, příspěvková organizace, Školní 3694/1, 79601 Prostějov, IČO:05592178</t>
  </si>
  <si>
    <t>Výše průběžného výsledku hospodaření za I. pololetí 2018 se jeví jako optimální. Nevíme, jak se bude v II. pololetí 2018 vyvíjet herní profil (návštěvnost diváků) a proto nedokážeme odhadnout výsledek hospodaření k 31.12.2018.</t>
  </si>
  <si>
    <t xml:space="preserve">Výše průběžného výsledku hospodaření za I. pololetí 2018 se jeví jako optimální. </t>
  </si>
  <si>
    <t>Zdrojem fondu je zlepšený VH roku 2017 a čerpání  fondu bylo použito ve výši 72 429,- Kč  na opravu a výměnu dveří v kině.</t>
  </si>
  <si>
    <t>Není</t>
  </si>
  <si>
    <t>Zdrojem IF jsou odpisy majetku a čerpání je odvod zřizovateli (odpis budovy). Bylo pořízeno NAS úložiště dat ve výši 58 759,- Kč a měsíční odpis ve výši 980,- Kč od 05/2018.</t>
  </si>
  <si>
    <t>Fond odměn bude čerpán v II. pololetí 2018.</t>
  </si>
  <si>
    <t>Zdrojem fondu je příděl z mezd 2%  a čerpání fondu je stravné zaměstnanců a do 30.3. 2018 bylo i penzijní pojištění zaměstnanců.</t>
  </si>
  <si>
    <t>Výnosy z prodeje služeb (prodej vstupenek)</t>
  </si>
  <si>
    <t>Spotřeb materiálu</t>
  </si>
  <si>
    <t>Ostatní služby</t>
  </si>
  <si>
    <t>Výnosy investiční fond (oprava a  výměna dveří)</t>
  </si>
  <si>
    <t>Opravy a udržování (oprava a výměna dveří)</t>
  </si>
  <si>
    <t>Ostatní výnosy (pojistná událost)</t>
  </si>
  <si>
    <t>Opravy a udržování (pojistná událost)</t>
  </si>
  <si>
    <t>Ostatní výnosy (kartyčky Fimového klubu))</t>
  </si>
  <si>
    <t>Spotřeba materiálu</t>
  </si>
  <si>
    <t>Náklady z DDHM</t>
  </si>
  <si>
    <t>Opravy a udržování</t>
  </si>
  <si>
    <t>Tvorba rezervy (žaloba)</t>
  </si>
  <si>
    <t>Výnosy z pronájmu</t>
  </si>
  <si>
    <t>Náklady z DDHM (PC popcorn)</t>
  </si>
  <si>
    <t>Mzdové náklady</t>
  </si>
  <si>
    <t>Výnosy z prodaného zboží</t>
  </si>
  <si>
    <t>Spotřeba energie</t>
  </si>
  <si>
    <t>Zákonné sociální náklady</t>
  </si>
  <si>
    <t>Nebylo</t>
  </si>
  <si>
    <t xml:space="preserve">Mzdové prostředky za rok 2018 se jeví jako nedostačující (příplatek za vedení ředitelky od 12/2017, OON - zvýšení minimální mzdy od 1.1 2018 - nebylo počítáno v rozpočtu na rok 2018). </t>
  </si>
  <si>
    <t>Zpracovala: Jaroslava Bočková</t>
  </si>
  <si>
    <t>Datum: 30. 7. 2018</t>
  </si>
  <si>
    <t xml:space="preserve">Průběžný VH za 1. pol. 2018 je ovlivněn faktem, že usnesením RMP č. 8489 ze dne 29.5.2018 byly organizaci převedeny finanční prostředky ve výši 645.000,- Kč na nákup vybavení dětského oddělelení a služby spojené se zpracováním projektu, stěhováním a instalací vybavení po přestěhování do zrekonstruovaných prostor na Vápenici, ale náklady budou čerpány až ve 2. pol. 2018. </t>
  </si>
  <si>
    <t>Organizace nemá doplňkovou činnost.</t>
  </si>
  <si>
    <t>Zdrojem fondu byl příděl z VH za rok 2017 dle usnesení RMP č. 8418 a Zastupitelstva MP č.18101. Čerpání tvořil odvod do fondu investic dle výše uvedených usnesení. 
Ve 2. pol. budou finanční prostředky z tohoto fondu použity pro další rozvoj činnosti organizace (obnovení výpočetní techniky, nákup knihovního fondu).</t>
  </si>
  <si>
    <t xml:space="preserve">Zdroj tvořily odpisy dlouhodobého majetku a převod z rezervního fondu dle usnesení RMP a Zastupitelstva MP (viz výše uvedená usnesení). Čerpání tvořil odvod odpisů budov za 1. pol. 2018 ve výši 150.500,- Kč a dále odvod na účet zřizovatele viz výše uvedená usnesení. 
Ve 2. pol. by organizace využila finanční prostředky z fondu investic dle aktuální potřeby na dovybavení podkrovního sálu nebo potřebný nákup výpočetní techniky. </t>
  </si>
  <si>
    <t>Zdrojem fondu odměn za 1. pololetí 2018 byl příděl z výsledku hospodaření za rok 2017 ve výši 20.000,- Kč. Čerpání fondu v 1. pololetí nebylo, finanční prostředky by byly čerpány ve 2. pololetí na posílení mzdových prostředků.</t>
  </si>
  <si>
    <t>Zdroj fondu tvoří 2% z objemu mzdových prostředků. Čerpání za 1. pol. 2018 tvořil příspěvek na stravné zaměstnancům. Peněžní krytí fondu ke dni 30.6.2018 je nižší o 11.162,- Kč z toho důvodu, že poplatky z běžného účtu ve výši 331,- Kč budou přeúčtovány až v červenci po obdržení výpisu transakcí z banky a příděl do FKSP ze mzdových prostředků za měsíc červen ve výši 10.831,- Kč byl proveden účetně a převod mezi běžnými účty bude proveden rovněž v měsíci červenci.</t>
  </si>
  <si>
    <t>311/0200 - odběratelé - čtenáři - 4.upomínky</t>
  </si>
  <si>
    <t xml:space="preserve">
Jmenovité seznamy dlužníků jsou uloženy v organizaci a pravidelně čtvrtletně zasílány na Magistrát města Prostějova. Veškeré pohledávky jsou vymáhány všemi možným dostupnými prostředky. Některé byly během1. pololetí uhrazeny, u jiných nebylo dosaženo kladného výsledku. Během pololetí byly zaúčtovány další neuhrazené upomínky. Všechny pohledávky budou i nadále vymáhány všemi dostupnými prostředky.</t>
  </si>
  <si>
    <t>Organizace neobdržela v 1. pololetí 2018 žádné finanční ani věcné dary.</t>
  </si>
  <si>
    <t>Navýšení příspěvku od zřizovatele - usnesení RMP č. 8169 - "ZM Pv"</t>
  </si>
  <si>
    <t>672/0500</t>
  </si>
  <si>
    <t>Navýšení účtu 501 (spotřeba materiálu) - náklady "Zdravé město Pv"</t>
  </si>
  <si>
    <t>501/0540</t>
  </si>
  <si>
    <t>Navýšení účtu 513 (náklady na reprezentaci) - občerstvení "ZM Pv"</t>
  </si>
  <si>
    <t>513/0300</t>
  </si>
  <si>
    <t>Navýšení příspěvku od zřizovatele - usnesení RMP č. 8469 - dětské odd.</t>
  </si>
  <si>
    <t>Navýšení účtu 501 (spotřeba materiálu) - OEM hmotný - dětské oddělení</t>
  </si>
  <si>
    <t>501/0430</t>
  </si>
  <si>
    <t>Navýšení účtu 518 (ostatní služby) - přestěhování dětského oddělení</t>
  </si>
  <si>
    <t>518/0510</t>
  </si>
  <si>
    <t>Navýšení účtu 558 (náklady z DDHM) - vybavení  dětského oddělení</t>
  </si>
  <si>
    <t>558/0300</t>
  </si>
  <si>
    <t>8. Plnění opatření z minulého kontrolního dne k výsledkům hospodaření za rok 2017</t>
  </si>
  <si>
    <t>Při kontrolním dnu k výsledkům hospodaření za rok 2017 nebylo organizaci uloženo žádné opatření.</t>
  </si>
  <si>
    <r>
      <t xml:space="preserve">1. Organizace na základě schválených usnesení Rady města Prostějova č. 8418 ze dne 15.5.2018 a Zastupitelstva města Prostějova č.18101 ze dne 19.6.2018 přidělila trvalým peněžním fondům část výsledku  hospodaření za rok 2017 ve výši </t>
    </r>
    <r>
      <rPr>
        <b/>
        <sz val="9"/>
        <rFont val="Times New Roman"/>
        <family val="1"/>
        <charset val="238"/>
      </rPr>
      <t>70.583,16 Kč</t>
    </r>
    <r>
      <rPr>
        <sz val="9"/>
        <rFont val="Times New Roman"/>
        <family val="1"/>
        <charset val="238"/>
      </rPr>
      <t xml:space="preserve"> následovně: rezervní fond - 50.583,16 Kč a fond odměn - 20.000,- Kč. Dále dle výše uvedených usnesení převedla do rezervního fondu část výsledku hospodaření za rok 2017 ve výši </t>
    </r>
    <r>
      <rPr>
        <b/>
        <sz val="9"/>
        <rFont val="Times New Roman"/>
        <family val="1"/>
        <charset val="238"/>
      </rPr>
      <t>17.496,- Kč,</t>
    </r>
    <r>
      <rPr>
        <sz val="9"/>
        <rFont val="Times New Roman"/>
        <family val="1"/>
        <charset val="238"/>
      </rPr>
      <t xml:space="preserve"> která byla následně převedena do fondu investic a poté byl proveden odvod  z fondu investic na  účet zřizovatele dne 22.6.2018.</t>
    </r>
  </si>
  <si>
    <t>2. Účastníci kontrolního dne zhodnotili hospodaření organizace za 1. pololetí 2018 vyplývající z rozbové zprávy - celkovou činnost Městské knihovny lze hodnotit pozitivně.</t>
  </si>
  <si>
    <t>3. Rozborová zpráva, předložené tabulky a předepsané výkazy - v pořádku, celkové náklady a výnosy jsou čerpány vyrovnaně v souladu se schváleným rozpočtem na rok 2018.</t>
  </si>
  <si>
    <t>4. Účastníci kontrolního dne probrali předpokládaný vývoj organizace ve 2. pololetí 2018. Bylo konstatováno, že pokud nenastanou nějaké nepředvídané situace nebo havárie, bude se celkové hospodaření vyvíjet pozitivně v souladu se schváleným rozpočtem na rok 2018.</t>
  </si>
  <si>
    <t>Zpracovala:     Jana Zatloukalová</t>
  </si>
  <si>
    <t>Datum:             30.7.2018</t>
  </si>
  <si>
    <t>Schválil:           MgA. Aleš Procházka, ředitel Městské knihovny Prostějov</t>
  </si>
  <si>
    <t>- došlo k výraznému čerpání pložky 511/0310 (oprava plotu Mor) a pol. 558 - DDHM (dětské šatní skříňky, odkládací skříň - Rais)
- byly zaúčtovány mzdové a účetní práce a FA vztahující se k 30. 6. 2018</t>
  </si>
  <si>
    <t xml:space="preserve"> Organizace neměla doplňkovou činnost v I. polol. 2018, bude probíhat ve II. pololetí 2018.</t>
  </si>
  <si>
    <t>Obnova nábytku (účelově vázáno, čerpání 
v  8/2018).</t>
  </si>
  <si>
    <t xml:space="preserve">Projekt OP VVV (šabloy) - čerpání dle
stanoveného rozpočtu. Finan. dary - dětské
zahradní zařízení, konstruktivní sstavebnice. 
</t>
  </si>
  <si>
    <t>FI byl čerpán v r. 2017, příp. na stavební
opravy.</t>
  </si>
  <si>
    <t>Případné dokrytí mezd, odměny 
zaměstnancům.</t>
  </si>
  <si>
    <t>Čerpání dle rozpočtu FKSP 2018.</t>
  </si>
  <si>
    <t>ORGANIZACE  NEMÁ  POHLEDÁVKY  PO  LHŮTĚ  SPLATNOSTI.</t>
  </si>
  <si>
    <t>ORGANIZACE  NEMÁ  ZÁVAZKY  PO  LHŮTĚ  SPLATNOSTI.</t>
  </si>
  <si>
    <t xml:space="preserve"> V I. POLOL. ROKU 2018 NEBYLY FINANČNÍ DARY ČERPÁNY.  PLÁN : DĚTSKÉ ZAHRADNÍ ZAŘÍZENÍ, KONSTRUKT. STAVEBNICE.</t>
  </si>
  <si>
    <t>Navýšení neinvestičního příspěvku zřizovatele na opravu zbývající
části plotu školní zahrady a venkovní terasy.
RMP čís. 8114 ze dne 6.2. 2018</t>
  </si>
  <si>
    <t>672</t>
  </si>
  <si>
    <t>Oprava zbývající části plotu a venkovní terasy -MŠ MOR.</t>
  </si>
  <si>
    <t>511/0310</t>
  </si>
  <si>
    <t>Úpravy FP v doplňkové činnosti organizace nebyly provedeny.</t>
  </si>
  <si>
    <t xml:space="preserve">
V roce 2017 organizace nepřekročila závazné ukazatele finančního plánu 2017. Z  KD  k  31. 12. 2017 nebyla organizaci uložena žádná opatření ani závěry. K tomuto
datu organizace neevidovala žádné pohledávky ani závazky.
Organizace na základě usnesení RMP čís. 8418 ze dne 15. 05. 2018 a schválením ZMP dne 12. 06. 2018 usnesením čís. 18101, rozdělila  ZVH roku 2017 ve výši
25 528,43 Kč takto: RF = 23 006,43 Kč (vázáno na obnovu nábytku), Fond odměn = 2 360,00 Kč. Částka 162 Kč byla odvedena zřizovateli v rámci finanč. vypořádání
roku 2017.
Příděl do fondů organizace a odvod zřizovateli byl proveden dne 25. 06. 2018 na základě písemného vyrozumnění OŠKS  MMPv. 
</t>
  </si>
  <si>
    <t>Ke dni  30. 06. 2018 organizace neeviduje žádné pohledávky ani závazky.
Na KD 1. 08. 2018 nebyla organizaci uložena žádná opatření ani závěry.
Organizace děkuji za zdárný průběh kontrolního dne.
V Prostějově dne 3. 08. 2018                                                                                                                                                            Zpracovala: PaedDr. Alena Hekalová, ředitelka školy</t>
  </si>
  <si>
    <r>
      <t>MATEŘSKA  ŠKOLA  PROSTĚJOV,  MORAVSKÁ  UL.  30,  PŘÍSPĚVKOVÁ  ORGANIZACE             IČ:  70982945</t>
    </r>
    <r>
      <rPr>
        <b/>
        <sz val="14"/>
        <rFont val="Times New Roman"/>
        <family val="1"/>
        <charset val="238"/>
      </rPr>
      <t xml:space="preserve">       </t>
    </r>
    <r>
      <rPr>
        <b/>
        <u/>
        <sz val="14"/>
        <rFont val="Times New Roman"/>
        <family val="1"/>
        <charset val="238"/>
      </rPr>
      <t xml:space="preserve"> </t>
    </r>
  </si>
  <si>
    <t>Název organizace: Mateřská škola Prostějov, Partyzánská ul. 34</t>
  </si>
  <si>
    <t>VH u položky 511 stav.opravy - plánovány na červenec a srpen a u položky 558 - DDHM - nákupy budou realizovány po ukončení stavebních oprav.</t>
  </si>
  <si>
    <t>Organizace nemá DČ.</t>
  </si>
  <si>
    <t>Posílení FI na opravy úložných prvků a nákup interaktivních tabulí.</t>
  </si>
  <si>
    <t>Dětský nábytek, didaktické pomůcky.</t>
  </si>
  <si>
    <t>Nákup herních prvků na školní zahradu.</t>
  </si>
  <si>
    <t>Bude využit na odměny zaměstnanců v roce 2018.</t>
  </si>
  <si>
    <t xml:space="preserve">Příspěvek na stravu, penzijní pojištění, pracovní a životní výročí, vitamínové balíčky pro zaměstnance. </t>
  </si>
  <si>
    <t>Dlužník; způsob vymáhání pohledávky po lhůtě splatnosti (dosavadní/plánovaný)</t>
  </si>
  <si>
    <t xml:space="preserve">Organizace nemá závazky po lhůtě splatnosti. </t>
  </si>
  <si>
    <t>Příjemce; způsob úhrady závazku po lhůtě splatnosti (dosavadní/plánovaný)</t>
  </si>
  <si>
    <t>Částka bude čerpána ve 2. pololetí 2018.</t>
  </si>
  <si>
    <t>Navýšení odpisů ( zhodnocení  MŠ A. Krále)</t>
  </si>
  <si>
    <t>672 500</t>
  </si>
  <si>
    <t>551 300</t>
  </si>
  <si>
    <t>Navýšení neinv.příspěvku - oprava pos.dveří</t>
  </si>
  <si>
    <t>Oprava posuvných dveří</t>
  </si>
  <si>
    <t>511 300</t>
  </si>
  <si>
    <t xml:space="preserve">Navýšení neinv. příspěvku - oprava podlah.krytin </t>
  </si>
  <si>
    <t>Oprava podlahových krytin</t>
  </si>
  <si>
    <t xml:space="preserve">Organizace nemá doplňkovou činnost. </t>
  </si>
  <si>
    <t>Organizace měla vázat částku 181665,46 Kč na opravu úložných prvků na lůžkoviny a pomůcky a nákup interaktivní tabule, vzhledem k opravám v objektu školy bude řešeno ve 2. pololetí 2018.</t>
  </si>
  <si>
    <t xml:space="preserve">1. Organizace splnila usnesení Rady města Prostějova ze dne 15.5.2018 č. 8418 - rozdělení ZHV za rok 2017 ve výši 196 965,46 Kč , do rezervního fondu 181 665,46 Kč, 15.300,- Kč do rezervního fondu, následně do fondu investičního a v rámci finančního vypořádání byla tato částka převedena na účet zřizovatele. </t>
  </si>
  <si>
    <t xml:space="preserve">2. Organizace bude ve 2. pololetí řešit opravu úložných prvků a  nákup interaktivní tabule zapojením rezervního fondu a fondu investic, vše až po ukončení oprav a rekonstrukcí. </t>
  </si>
  <si>
    <t>Zpracoval/a:  Mgr. Monika Zbudilová</t>
  </si>
  <si>
    <t>Datum: 2.8.2018</t>
  </si>
  <si>
    <t>Název organizace: Mateřská škola Prostějov, ul. Rumunská 23, 796 01 Prostějov</t>
  </si>
  <si>
    <t>Zlepšený hospodářský výsledek k 30. 6. 2018 je dosažený sníženými náklady na energie a úsporným a efektivním přístupem všech pracovníků.</t>
  </si>
  <si>
    <t>Organizace doplňkovou činnost nevykonává.</t>
  </si>
  <si>
    <r>
      <t xml:space="preserve">                                                                                                                                                                                                                                                                                                                                                                                                                           zdroj:                                                                                                                                                                                                                                                                                                                              - </t>
    </r>
    <r>
      <rPr>
        <sz val="8"/>
        <rFont val="Times New Roman"/>
        <family val="1"/>
        <charset val="238"/>
      </rPr>
      <t xml:space="preserve">usnesením RMP č. 18101 ze dne 12. 6. 2018 byl schválen příděl ze                                                                                                                                                                         zlepšeného VH za rok 2017 ve výši 12.936,61 Kč                                                                                      </t>
    </r>
    <r>
      <rPr>
        <b/>
        <sz val="8"/>
        <rFont val="Times New Roman"/>
        <family val="1"/>
        <charset val="238"/>
      </rPr>
      <t>čerpání:</t>
    </r>
    <r>
      <rPr>
        <sz val="8"/>
        <rFont val="Times New Roman"/>
        <family val="1"/>
        <charset val="238"/>
      </rPr>
      <t xml:space="preserve">                                                                                                                                               - nákup platformy SQL k programům GORDIC - 8.500,00 Kč                                                                           - zákonné odvody k finančním odměnám z FKSP celkem 3.700 Kč, z toho zákonné sociální pojištění - účet 524 - 3.400 Kč a  zákonné sociální náklady - účet 527 - 300,00 Kč                                                                                                                                                                                         </t>
    </r>
  </si>
  <si>
    <r>
      <t xml:space="preserve">                                                                                                                                                                                                                                                                                                                       zdroj:                                                                                                                                                                                                                                                                                        - </t>
    </r>
    <r>
      <rPr>
        <sz val="8"/>
        <rFont val="Times New Roman"/>
        <family val="1"/>
        <charset val="238"/>
      </rPr>
      <t xml:space="preserve">finanční dar - Textileco - ve výši 12.000 Kč účelově neurčený                                                                                                                                                                                                                                                                                                                                                                                             </t>
    </r>
    <r>
      <rPr>
        <b/>
        <sz val="10"/>
        <rFont val="Times New Roman"/>
        <family val="1"/>
        <charset val="238"/>
      </rPr>
      <t/>
    </r>
  </si>
  <si>
    <r>
      <t xml:space="preserve">Fond investic:                                                                                                                                                                                                                               zdroj:                                                                                                                                                                                                                                                                           </t>
    </r>
    <r>
      <rPr>
        <sz val="8"/>
        <rFont val="Times New Roman"/>
        <family val="1"/>
        <charset val="238"/>
      </rPr>
      <t xml:space="preserve">tvorba fondu z odpisů DHM ve výši 86.790,00 Kč                                                                                                                                                                                                                                                                                                                                                                 </t>
    </r>
    <r>
      <rPr>
        <b/>
        <sz val="8"/>
        <rFont val="Times New Roman"/>
        <family val="1"/>
        <charset val="238"/>
      </rPr>
      <t xml:space="preserve">čerpání:                                                                                                                                                                                                                                                                                                  </t>
    </r>
    <r>
      <rPr>
        <sz val="8"/>
        <rFont val="Times New Roman"/>
        <family val="1"/>
        <charset val="238"/>
      </rPr>
      <t xml:space="preserve">uložený odvod finančních prostředků zřizovateli ve výši 64.038,00 Kč                                                                                                                                                                                                                                                                                                                                                                                                                                                                                              </t>
    </r>
    <r>
      <rPr>
        <b/>
        <sz val="10"/>
        <rFont val="Times New Roman"/>
        <family val="1"/>
        <charset val="238"/>
      </rPr>
      <t/>
    </r>
  </si>
  <si>
    <t>Na fondu odměn není za 1. pololetí 2018 pohyb.</t>
  </si>
  <si>
    <r>
      <rPr>
        <sz val="8"/>
        <rFont val="Times New Roman"/>
        <family val="1"/>
        <charset val="238"/>
      </rPr>
      <t xml:space="preserve">             </t>
    </r>
    <r>
      <rPr>
        <b/>
        <sz val="8"/>
        <rFont val="Times New Roman"/>
        <family val="1"/>
        <charset val="238"/>
      </rPr>
      <t xml:space="preserve">                                                                                                                                                                                          </t>
    </r>
    <r>
      <rPr>
        <sz val="8"/>
        <rFont val="Times New Roman"/>
        <family val="1"/>
        <charset val="238"/>
      </rPr>
      <t xml:space="preserve">                                                                               </t>
    </r>
    <r>
      <rPr>
        <b/>
        <sz val="8"/>
        <rFont val="Times New Roman"/>
        <family val="1"/>
        <charset val="238"/>
      </rPr>
      <t xml:space="preserve">                                                                                                                                                                                                                                                                                  zdroj:                                                                                                                                                                                                                                                                               - </t>
    </r>
    <r>
      <rPr>
        <sz val="8"/>
        <rFont val="Times New Roman"/>
        <family val="1"/>
        <charset val="238"/>
      </rPr>
      <t xml:space="preserve">příděl 2 % z HM činí 46.045,00 Kč                                                                                                                                                                                                                  </t>
    </r>
    <r>
      <rPr>
        <b/>
        <sz val="8"/>
        <rFont val="Times New Roman"/>
        <family val="1"/>
        <charset val="238"/>
      </rPr>
      <t>čerpání:</t>
    </r>
    <r>
      <rPr>
        <sz val="8"/>
        <rFont val="Times New Roman"/>
        <family val="1"/>
        <charset val="238"/>
      </rPr>
      <t xml:space="preserve">                                                                                                                                                                                                                                                  - příspěvek na stravování            15.500,00 Kč                                                                                                                                                                                                         - peněžní dary                              10.000,00 Kč                                                                                                                                                                                                         - kultura, tělovýchova, sport         18.258,00 Kč                                                                                                                                                                                                                                                                                                                                                                                                                                                                                                                                                                                                                                                                                                                                                                                                                                                                               U účtu 243 a 412 - činí rozdíl 20.192,00 Kč, což je příděl z HM za červen                                                                                                                                                                                             2018 ve výši 8.366 Kč, příspěvek na stravování ve výši 5.300 Kč, finanční       dar ve výši 5.000 Kč, kulturní akce ve výši 18.258 Kč           </t>
    </r>
  </si>
  <si>
    <t>Organizace nemá v evidenci žádné pohledávky po lhůtě splatnosti</t>
  </si>
  <si>
    <t>Organizace nemá v evidenci žádné závazky po lhůtě splatnosti</t>
  </si>
  <si>
    <t>Finanční dar firmy Textileco - účelově neurčený</t>
  </si>
  <si>
    <t>RMP schválila navýšení oprav - oprava topení</t>
  </si>
  <si>
    <t>511/300</t>
  </si>
  <si>
    <t>12.1.2018</t>
  </si>
  <si>
    <t>RMP schválila navýšení neinv. příspěvku na opravu topení</t>
  </si>
  <si>
    <t>672/310</t>
  </si>
  <si>
    <t>Spotřeba materiálu - potraviny</t>
  </si>
  <si>
    <t>501/300</t>
  </si>
  <si>
    <t>30.6.2018</t>
  </si>
  <si>
    <t>Výnosy z prodeje služeb - stravování</t>
  </si>
  <si>
    <t>602/300</t>
  </si>
  <si>
    <t>Výnosy z prodeje služeb - školné</t>
  </si>
  <si>
    <t>602/310</t>
  </si>
  <si>
    <t>Ostatní služby - praní prádla</t>
  </si>
  <si>
    <t>518/445</t>
  </si>
  <si>
    <t>Výnosy spojené s nájemným</t>
  </si>
  <si>
    <t>602/380</t>
  </si>
  <si>
    <t>Ostatní služby - údržba SW + licence</t>
  </si>
  <si>
    <t>518/480</t>
  </si>
  <si>
    <t>Výnosy z prodeje materiálu - čipy</t>
  </si>
  <si>
    <t>644/300</t>
  </si>
  <si>
    <t>Prodaný materiál - čipy</t>
  </si>
  <si>
    <t>544/300</t>
  </si>
  <si>
    <t>Cestovné</t>
  </si>
  <si>
    <t>512/300</t>
  </si>
  <si>
    <t>Náklady na reprezentaci</t>
  </si>
  <si>
    <t>513/330</t>
  </si>
  <si>
    <t>Ostatní služby - školení a vzdělávání</t>
  </si>
  <si>
    <t>518/390</t>
  </si>
  <si>
    <t>Použití fondů - rezervní fond</t>
  </si>
  <si>
    <t>648/300</t>
  </si>
  <si>
    <t xml:space="preserve">Ostatní náklady z činnosti </t>
  </si>
  <si>
    <t>549/300</t>
  </si>
  <si>
    <t xml:space="preserve">Ostatní služby </t>
  </si>
  <si>
    <t>518/442</t>
  </si>
  <si>
    <t>558/300</t>
  </si>
  <si>
    <t>527/300</t>
  </si>
  <si>
    <t>Zákonné sociální pojištění</t>
  </si>
  <si>
    <t>524/300</t>
  </si>
  <si>
    <t>Žádné opatření z minulého kontrolního dne nebylo uloženo.</t>
  </si>
  <si>
    <t>Organizace na základě schváleného usnesení RMP č. 18101 ze dne 12. 6. 2018 provedla rozdělení zlepšeného hospodářského výsledku za rok 2017:  do rezervního fondu částku 12.936,61 Kč.                                                                                                                                                                                                                                                                                                                                               Z kontrolního dne nebylo uloženo žádné opatření.</t>
  </si>
  <si>
    <t>Zpracoval/a: Marie Šmejkalová</t>
  </si>
  <si>
    <t>Datum: 2. srpna 2018</t>
  </si>
  <si>
    <t xml:space="preserve">Průběžný VH ovlivněn úsporou plynu za I. pololetí. Organizace uskuteční plánované nákupy majetku až v II. pololetí tohoto roku. Vzhledem k termínu odevzdání rozborové zprávy nejsou v účetnictví zahrnuty veškeré náklady, související s měsícem červnem. Organizace má vyšší výnosy za školné - vyšší počet dětí, na které se vztahující poplatky za školné. Prostředky na opravy se budou čerpat o hlavních prázdninách. Za provozu opravy nelze provádět. </t>
  </si>
  <si>
    <t xml:space="preserve">Průběžný VH koresponduje s předchozím obdobím tj. s I. pololetí roku 2017. Plánované revize a opravy budou provedeny až v II. pololetí. </t>
  </si>
  <si>
    <t>provedený příděl za ZVH za rok 2017</t>
  </si>
  <si>
    <t>prostředky projetku</t>
  </si>
  <si>
    <t>zdroje fondu - odpisy, čerpání fodnu - odvod z odpisů, nákup řezačky masa</t>
  </si>
  <si>
    <t>nepřevedený příděl za 6/18</t>
  </si>
  <si>
    <t>Organizace v I. pololetí nepřijala žádný dar.</t>
  </si>
  <si>
    <t>navýšení neinvestičního příspěvku</t>
  </si>
  <si>
    <t>672 0500</t>
  </si>
  <si>
    <t>opravy majetku - plot</t>
  </si>
  <si>
    <t>511 0310</t>
  </si>
  <si>
    <t>navýšení výnosů - odevzdaný sběr</t>
  </si>
  <si>
    <t>649 0320</t>
  </si>
  <si>
    <t>náklady - propagace</t>
  </si>
  <si>
    <t>501 0480</t>
  </si>
  <si>
    <t xml:space="preserve">Organizace během I. pololetí neprovedla žádnou změnu rozpočtu v doplňkové činnosti. </t>
  </si>
  <si>
    <t>Nebyla uložena.</t>
  </si>
  <si>
    <t>Nebyly uloženy.</t>
  </si>
  <si>
    <t>Zpracoval/a:</t>
  </si>
  <si>
    <t>Jana Baarová</t>
  </si>
  <si>
    <t>Datum:</t>
  </si>
  <si>
    <t>Mateřská škola Prostějov, ul. Šárka 4a</t>
  </si>
  <si>
    <t>Průběžný výsledek hospodaření za I. pololetí roku 2018 je tvořen zejména nižším čerpáním v položkách energií a oprav. Opravy se uskuteční v době prázdninových provozů v měsíci červenci a srpnu 2018.</t>
  </si>
  <si>
    <t>Doplňkovou činnost organizace nemá.</t>
  </si>
  <si>
    <t>Do RF byl převeden zůstatek z projektu OP VVV (Šablony). Bude v roce 2018 následně čerpán. Dále byl na tento fond převeden VH za rok 2017 ve výši 177.633,48 Kč. Tyto finanční prostředky jsou účelově vázány na odvod zřizovateli a opravu chodby v MŠ Libušinka 18.</t>
  </si>
  <si>
    <t>Účet 414 obsahuje sponzorské dary.</t>
  </si>
  <si>
    <t>Ve fondu investic jsou finanční prostředky na vratky odpisů.</t>
  </si>
  <si>
    <t>Fond odměn bude organizací čerpán dle potřeby na mimořádné odměny zaměstnanců.</t>
  </si>
  <si>
    <t xml:space="preserve">Fond FKSP organizace čerpá dle směrnice školy na životní pojištění a na životní a pracovní výročí v souladu s platnou vyhláškou o FKSP. Rozdíl mezi konečným zůstatkem a finančním krytím je způsoben převodem 2% z hrubých mezd  a odvodů pojištění za zaměstnance, který bude na účtu FKSP v červenci 2018. </t>
  </si>
  <si>
    <t>Sponzorské dary budou použity na nákup tělocvičného náčiní.</t>
  </si>
  <si>
    <t>navýšení neinvestičního příspěvku - odpisy</t>
  </si>
  <si>
    <t>551</t>
  </si>
  <si>
    <t>navýšení neinvestičního příspěvku - oprava plotu 1. část MŠ Dvořákova 5</t>
  </si>
  <si>
    <t>oprava plotu 1. část Dvořákova 5</t>
  </si>
  <si>
    <t>511</t>
  </si>
  <si>
    <t>zadáno</t>
  </si>
  <si>
    <t>navýšení neinvestičního příspěvku - oprava dveří MŠ Žešov</t>
  </si>
  <si>
    <t>oprava dveří MŠ Žešov</t>
  </si>
  <si>
    <t>hračky, učební pom., pom. do VČ, PČ</t>
  </si>
  <si>
    <t>501</t>
  </si>
  <si>
    <t>čisticí prostředky</t>
  </si>
  <si>
    <t>ostatní poplatky</t>
  </si>
  <si>
    <t>518</t>
  </si>
  <si>
    <t>konzultační, poradenské a právní služby</t>
  </si>
  <si>
    <t>školení a vzdělávání</t>
  </si>
  <si>
    <t>servisní prohlídky</t>
  </si>
  <si>
    <t>údržby software, licence</t>
  </si>
  <si>
    <t>servis PC, ostatní služby spojené s internetem</t>
  </si>
  <si>
    <t>doprava dodavatelská</t>
  </si>
  <si>
    <t>ostatní služby</t>
  </si>
  <si>
    <t>deratizace</t>
  </si>
  <si>
    <t>Organizaci nebyla uložena žádná opatření z kontrolního dne.</t>
  </si>
  <si>
    <t>Organizace splnila usnesení RMP č. 18101 a přidělila dosažený výsledek hospodaření ve výši 177.633,48 za rok 2017 do RF organizace, následně do fondu investic. Finanční prostředky budou použity na vratku v rámci fin. vypořádání roku 2017 (2.000,00 Kč) a účelově použity na opravu chodby v MŠ Libušinka 18, částkou 175.633,48 Kč.</t>
  </si>
  <si>
    <t>:</t>
  </si>
  <si>
    <t>Mgr. Iveta Bittnerová, ředitel</t>
  </si>
  <si>
    <t xml:space="preserve"> Hospodaření v organizaci probíhá v souladu se školním rokem. Celkové náklady v hlavní činnosti (HČ) vzhledem ke zřizovateli jsou plněny na 56,05% finančního plánu, vykazovány jsou ke konci pololetí ve skutečné výši, snížené o náklady oddělené rozklíčováním do nákladů doplňkové činnosti na základě stanovených kalkulací. V nejvýznamějších položkách spotřeba materiálu je plnění 61,2% plánu.    V oblasti oprav a údržby budou další opravy, zejména opravy podlahových krytin a malování provedeny v období hlavních prázdnin, proto je čerpání na úrovni 47,32% proti plánu. Náklady na energie jsou čerpány ve výši 48,65% plánovaných nákladů a k překročení nákladů při stávajících cenách nedojde. 
Celkové výnosy (bez příspěvku zřizovatele)  jsou plněny ve výši 61,77% upraveného finančního plánu. Tyto výnosy jsou ovlivněny především výší stravného a jeho plněním na 60,53%. Do konce roku předpokládáme čerpání příspěvku zřizovatele v souladu s finančním plánem, v některých nákladových položkách bude potřeba upravit finanční plán.  </t>
  </si>
  <si>
    <t xml:space="preserve">Výsledek hospodaření v doplňkové činnosti (DČ) je na konci pololetí vytvořen z výnosů za stravování a především z pronájmů po odečtení konkrétních skutečných nákladů vztahujících se k jednotlivým činnostem (ke stravování) nebo k pronájmům (materiál a mzdové náklady na úklid v tělocvičné hale) a dále související náklady, které byly rozklíčovány poměrem k hlavní činnosti, zejména materiál, energie, služby, opravy, odpisy. Konečné náklady k celkovým pronájmům budou vyčísleny znovu na konci roku z celkových nákladů organizace a podle nastavených koeficientů. </t>
  </si>
  <si>
    <t xml:space="preserve">Na základě usnesení RMP a ZMP byl proveden příděl  ze zlepšeného výsledku hospodaření roku 2017 ve výši 35.280,93 Kč, které byly následně odvedeny zřizovateli přes Fond investic. Na účet rezervního fondu 413 byla přidělena  další část ze ZVH 146.793,44 Kč. Z rezervního fondu bylo v průběhu pololetí čerpáno 27.987 Kč na pořízení 2 ks dataprojektorů do výuky. </t>
  </si>
  <si>
    <t>V počátečním stavu rezervního fondu 414 jsou zahrnuty prostředky na projekty nespotřebované v předchozím roce ve výši 921.420,19 Kč, z nichž bylo čerpáno celkem 667.949,64 Kč na úhradu nákladů projektů. 
Na účet 414 byly připsány prostředky z finančních účelových darů 13.224 Kč od nadace Women for Women z projektu Obědy pro děti, z nichž bylo do konce pololetí čerpáno 12.226 Kč, nevyužité prostředky budou vráceny zpět nadaci. V konečném zůstatku ke 30.6. jsou zahrnuty projektové finanční prostředky ve výši 253.470,55 Kč.
Zbývající prostředky rezervního fondu by měly být do konce roku použity kromě financování projektů, zejména na obnovu vybavení ve škole, a to na obnovu ICT. Koncem pololetí bylo vysoutěženo a objednáno 33 ks počítačů do multimediální učebny.</t>
  </si>
  <si>
    <t xml:space="preserve">Fond investic byl tvořen průběžně odpisy ze stávajícího majetku ve výši 120.663 Kč (6*20.111 Kč) a odpisy z budov, převedených zřizovatelem k hospodaření, a to ve výši 464.016 Kč do konce června  (6*77.336 Kč). Na druhé straně byl zřizovatelem uložen odvod z ročního odpisu. Průběžně čtvrtletně je fond investic o odvod zřizovateli ponížen. V následujícím období bude z fondu investic potřeba pořídit do školní jídelny průmyslovou velkokapacitní tunelovou myčku (až 880 tis. Kč), a dále je za hranou životnosti sklopná plynová pánev (150 tis. Kč). 
</t>
  </si>
  <si>
    <t xml:space="preserve">K počátečnímu stavu fondu odměn ve výši 68.584 Kč byl dne 15. 5. 2018 usnesením RMP č. 8418 a dne 12.6.2018 usnesením ZMP č. 18101 schválen příděl ze zlepšeného výsledku hospodaření ve výši 30.000 Kč. Tyto prostředky byly čerpány ve výši 70.100 Kč na odměny zaměstnancům a do konce roku ještě budou čerpány. 
</t>
  </si>
  <si>
    <t xml:space="preserve">Na fond FKSP bylo až do června přijato 314.373 Kč jako 2% z objemu vyplacených hrubých mezd. Z fondu byly v průběhu jara čerpány průběžně příspěvky na stravování v celkové výši 84.440 Kč (10,- Kč na 1 oběd). Společné aktivity zaměstnanců, jako kulturní představení či posezení ke Dni učitelů s bývalými zaměstnanci a k ukončení školního roku společně stála 43.382 Kč. Další aktivity hrazené ze sociálního fondu byly zaměřeny na využití sportovní, tj. na utkání v kuželkách, celkem 3.500 Kč. Zaměstnancům byly poskytnuty odměny k životnímu nebo pracovnímu výročí dosud ve výši 21.000 Kč a dále jim byl poskytnut příspěvek na penzijní, příp. doplňkové penzijní pojištění ve výši 300 Kč měsíčně/1 zaměstnance. Celkem bylo z fondu vyplaceno na penzijní pojištění 126.300 Kč od počátku roku. 
Finanční krytí fondu bude vyrovnáno o 85.430 Kč odvodem příspěvků na stravné, na penzijní připojištění a za odměnu z FKSP k výročí za červen a úhradou faktury za vstupenky, splatné po 30.6. 2018.
</t>
  </si>
  <si>
    <t>K datu vydání rozborové zprávy nejsou ve škole pohledávky po lhůtě splatnosti evidovány.</t>
  </si>
  <si>
    <t>K datu vydání rozborové zprávy nejsou ve škole žádné závazky po lhůtě splatnosti  evidovány.</t>
  </si>
  <si>
    <t>Nadace Women for Women_projekt Obědy pro děti</t>
  </si>
  <si>
    <t>Účet 501 - spotřeba materiálu - výroba nábytku školník - třídy 1. stupně B0x</t>
  </si>
  <si>
    <t xml:space="preserve">501.0513 </t>
  </si>
  <si>
    <t>Účet 506 - aktivace dlouhodobého majetku -výroba nábytku školník</t>
  </si>
  <si>
    <t>506.0300</t>
  </si>
  <si>
    <t xml:space="preserve">Ostatní výnosy z činnosti - navýšení o úsporu z úroků </t>
  </si>
  <si>
    <t>662.0300</t>
  </si>
  <si>
    <t xml:space="preserve">Daně - srážková daň z úroku na bankovních účtech  </t>
  </si>
  <si>
    <t>591.0300</t>
  </si>
  <si>
    <t xml:space="preserve">Opravy a udržování – opravy movitého majetku </t>
  </si>
  <si>
    <t>511.0320</t>
  </si>
  <si>
    <t xml:space="preserve">Ostatní náklady z činnosti - technické zhodnocení - klimatizace </t>
  </si>
  <si>
    <t>549.0320</t>
  </si>
  <si>
    <t>Navýšení příspěvku zřizovatele  - na pořízení pomůcek pro žáky prvních tříd ve šk. roce 2018/2019;  RMP rozhodnutí č.8491</t>
  </si>
  <si>
    <t>672.0500</t>
  </si>
  <si>
    <t>Spotřeba materiálu  -  spotřební materiál pro žáky 1. tříd</t>
  </si>
  <si>
    <t>501.0330</t>
  </si>
  <si>
    <t xml:space="preserve">V doplňkové činnosti nebyl finanční plán do 30. 6. 2018 upravován. </t>
  </si>
  <si>
    <t xml:space="preserve">1. RMP a ZMP schválilo ponechání části výsledku hospodaření ve výši 176.793,44 Kč organizaci pro příděl do peněžních fondů organizace a na základě závěru z kontrolního dne následovně: do rezervního fondu bylo schváleno převést 146.793,44 Kč a do fondu odměn částku ve výši 30.000,00 Kč. Tento příděl organizace provedla k datu 21.6.2018. 
</t>
  </si>
  <si>
    <t xml:space="preserve">2. Doporučení pro odvod ZVH organizace na účet zřizovatele:
RMP a ZMP schválilo převést část výsledku hospodaření ve výši 35.280,93 Kč do rezervního fondu, následně do fondu investičního a dále odvést tuto částku na účet zřizovatele v rámci finančního vypořádání roku 2017. Tento odvod zřizovateli byl proveden 21.6.2018.
</t>
  </si>
  <si>
    <t xml:space="preserve">1. Nedostačující odvody k odměnám z fondu odměn a část sociálních nákladů hrazených z provozu za pracovníka z Úřadu práce - do konce roku úprava finančního plánu. </t>
  </si>
  <si>
    <t xml:space="preserve">2. Úprava odvodu z fondu investic ve výši části odpisů nemovitostí z HČ - žádost do Rady města Prostějova na snížení odvodu o tu část, která je tvořena z odpisů v DČ. </t>
  </si>
  <si>
    <t>Zpracoval/a: Ing. Jana Cesarová</t>
  </si>
  <si>
    <t>Datum: 27. 7. 2018</t>
  </si>
  <si>
    <t>Název organizace: Sportcentrum - dům dětí a mládeže Prostějov, příspěvková organizace</t>
  </si>
  <si>
    <t xml:space="preserve">Hlavní vliv na průběžný výsledek hospodaření rekonstrukce objektu Vápenice (náklady na vybavení se uskuteční na podzim roku 2018), rozdělení nákladů pro HČ a DČ. Taktéž ještě nebyly vyfakturovány všechny náklady k dopravním soutěžím - do výnosů bude zúčtováno na podzim 2018 po ukončení soutěží. Důležitá část plnění rozpočtu se promítne po prázdninovém vyúčtování táborů a akcí.  </t>
  </si>
  <si>
    <t>Hlavní vliv na průběžný výsledek hospodaření mělo vyfakturování většiny smluvených pronájmů již v průběhu května a června, dále stanovené rozúčtování nákladů mezi hlavní a doplňkovou činností.</t>
  </si>
  <si>
    <t xml:space="preserve">Rezervní fond je tvořen ze zlepšeného výsledku hospodaření z roku 2017 - v prvním pololetí roku 2018 nebylo z tohoto fondu zatím čerpáno. V druhém pololetí předpokládáme nákup vybavení do rekonstruovaného objektu na Vápenici. </t>
  </si>
  <si>
    <t xml:space="preserve">Zdrojem Rezervního fondu z ostatních titulů byl dar 30.000,00 Kč, tento byl vyčerpán na nákup nových kárek na DDC. </t>
  </si>
  <si>
    <t>Zdrojem Fondu reprodukce majetku, fondu investic jsou odpisy. Čerpání fondu - nákup nového devítimístného automobilu v hodnotě 773.914,00 Kč; vratky odpisů nemovitostí zřizovateli. Přes letní prázdniny 2018 měla být realizována oprava palubovky na Olympijské. Na tuto akci bude dofinancováno z IF ještě cca 500.000,00 Kč. Z časového hlediska bude tato akce realizována v roce 2019. V organizaci byla v roce 2017 realizována oprava osvětlení sportovní haly za 1.494.103,00 Kč. V roce 2018 je třeba ještě opravit nouzová osvětlení v objektu na Olympijské. Jedná se o související dodávku v hodnotě cca 360.000,00 Kč.</t>
  </si>
  <si>
    <t>Zdrojem Fondu odměn je ZVH z roku 2017. Čerpáno bylo v červnu 2018 na odměny zaměstnanců.</t>
  </si>
  <si>
    <t>Rozdíl mezi účtem 243 a účtem FKSP je způsoben časovým nesouladem převodů mezi jednotlivými bankovními účty a bude dorovnán v průběhu července roku 2018. Z FKSP bylo v prvním pololetí čerpáno na stravování zaměstnanců. Fond je tvořen 2 % z mezd.</t>
  </si>
  <si>
    <t>311 - Odběratelé</t>
  </si>
  <si>
    <t>faktury z let 2012 a 2013</t>
  </si>
  <si>
    <t>Prostějovský basketbal s.r.o. v likvidaci, Za Kosteleckou 49 Prostějov, IČ 269 06 104. Dlužník přiznal a odsouhlasil dlužnou částku. Na dohody o smíru však nereagoval. K pohledávce je v plné výši vytvořena opravná položka na účtu 194.</t>
  </si>
  <si>
    <t>K 30. 6. 2018 neeviduje organizace žádné závazky po lhůtě splatnosti.</t>
  </si>
  <si>
    <t xml:space="preserve">Dar nebyl účelově vázán. Použití daru bylo na nákup nových kárek na Dětské dopravní centrum. </t>
  </si>
  <si>
    <t>Úprava finančního plánu č. 1 - navýšení neinvestičního příspěvku na opravu palubovky</t>
  </si>
  <si>
    <t>511/0880</t>
  </si>
  <si>
    <t>672/0880</t>
  </si>
  <si>
    <t>Úprava finančního plánu č. 2 - čerpání fondů - FO a RF z daru na nákup kárek</t>
  </si>
  <si>
    <t>521/0880</t>
  </si>
  <si>
    <t>648/0880</t>
  </si>
  <si>
    <t>501/0880</t>
  </si>
  <si>
    <t>Úprava rozpočtu č. 3 - navýšení výnosů z pronájmů a úroků z prodlení souvztaženě k opravám a dálničním známkám u DČ</t>
  </si>
  <si>
    <t>641/0280</t>
  </si>
  <si>
    <t>511/0280</t>
  </si>
  <si>
    <t>538/0280</t>
  </si>
  <si>
    <t>Zpracování finančních plánů na vybavení nově rekonstruovaných prostor na ul. Vápenici - předložit žádost o dofinancování zřizovateli pro zasedání Rady města Prostějova v srpnu 2018.</t>
  </si>
  <si>
    <t xml:space="preserve">V souvislosti s plánovanou opravou palubovky v objektu na Olympisjké bylo uloženo zpracovat opakované výběrové řízení na dodávku služby na podzim roku 2018, tak aby oprava byla realizována v roce 2019. </t>
  </si>
  <si>
    <t>Dále bylo uloženo do konce roku 2018 realizovat opravu nouzového osvětlení v objektu na Olympijské v hodnotě cca 360.000,00 Kč bez DPH - financování z Fondu investic organizace. V součinnosti s nedávnou havárií vyvolanou přiválovým deštěm, který vykotlal podloží žulové dlažby na terase před budouvou na Olympijské ulici, bylo uloženo zahájit jednání s ORI MMPV o komplexním řešení prostoru před budovou, a to jak z pohledu svedení spadové vody (zejm. pak při přívalových deštích), tak i nového dláždění prostor a případného zmenšení terasy před budovou.</t>
  </si>
  <si>
    <t>Ing. Vlasta Pavlovská</t>
  </si>
  <si>
    <t>Schválil:</t>
  </si>
  <si>
    <t>Mgr. Ivan Nedvěd</t>
  </si>
  <si>
    <t>Základní škola a mateřská škola Jana Železného Prostějov, Sídliště svobody 3578/79</t>
  </si>
  <si>
    <t>Komentář k tvorbě průběžného výsledku hospodaření za I. pololetí roku 2016</t>
  </si>
  <si>
    <t>VH je tvořen z dotace zřizovatele, náklady budou čerpány v měsíci 7-8/2018.</t>
  </si>
  <si>
    <t xml:space="preserve">VH-jedná se převážně o zisk z pronájmů, a zisk z poskytnuté stravy pro ostatní subjekty. </t>
  </si>
  <si>
    <t>VH -vyšší čerrpání v závěru měsíce červen 2018-proplácení ukončení PP.</t>
  </si>
  <si>
    <t>Průběžný výsledek hospodaření v hlavní činnosti ve vztahu ke zřizovateli je ve výši 1 991 722,95 Kč. Je to dáno systémem účtování přijatých dotací, které jsou účtovány do výnosů. Náklady</t>
  </si>
  <si>
    <t>budou čerpány během měsíců července a srpna 2018.</t>
  </si>
  <si>
    <t>Rezervní fond tvořený ze ZVH (účet 413)</t>
  </si>
  <si>
    <t>Použití RF na nákup notebooku</t>
  </si>
  <si>
    <t>Rezervní fond tvořený z ostat.titulů (účet 414)</t>
  </si>
  <si>
    <t>Použití RF z přijatých darů</t>
  </si>
  <si>
    <t>Investiční fond (účet 416)</t>
  </si>
  <si>
    <t>Odvod odpisů z budov zřizovateli =čerpání fondu</t>
  </si>
  <si>
    <t>Fond odměn (účet 411)</t>
  </si>
  <si>
    <t>RMP schválila finanční odměnu z FO= čerpání</t>
  </si>
  <si>
    <t>FKSP (412)</t>
  </si>
  <si>
    <t>Rozdíl je tvořen nepřeved.částkou -tvorba FKSP 6/2018  .</t>
  </si>
  <si>
    <t>Využití Investičního fondu :</t>
  </si>
  <si>
    <t>Nákup a instalace informačních medií do vstupní haly školy</t>
  </si>
  <si>
    <t>315/0300 Pohledávky-stravné ŠJ</t>
  </si>
  <si>
    <t>Králová Vanesa</t>
  </si>
  <si>
    <t>Předáno upozornění sociálnímu odboru, nadále bude pokračovat vymáhání pohledávky.</t>
  </si>
  <si>
    <t>315/0400 Pohledávky-docházka MŠ</t>
  </si>
  <si>
    <t>315/300 Pohledávka -stravné MŠ</t>
  </si>
  <si>
    <t>Mikuš Marek</t>
  </si>
  <si>
    <t>Ve spolupríáci s MŠ Moravská bude pokračovat vymáhání pohledávky.</t>
  </si>
  <si>
    <t>315/0300 Pohledávka -stravné MŠ</t>
  </si>
  <si>
    <t>Mikušová Amálie</t>
  </si>
  <si>
    <t>Organizace nemá závazky po lhůtě splatnosti</t>
  </si>
  <si>
    <t>Peněžitý dar účelově neurčený, během I. pololetí 2018 plně vyčerpán na nákup učebních pomůcek.</t>
  </si>
  <si>
    <t>Příjem sponzhorské daru účelově neurčeného</t>
  </si>
  <si>
    <t>648/350</t>
  </si>
  <si>
    <t>501/340</t>
  </si>
  <si>
    <t>Příjem sponzorského daru účelově neurčeného</t>
  </si>
  <si>
    <t>648/0350</t>
  </si>
  <si>
    <t>Usnesení RMP č. 8194 ze dne 6.3.2018</t>
  </si>
  <si>
    <t>511/0300</t>
  </si>
  <si>
    <t>480 000-chodníky MŠ,300 000 dohledový kamerový systém</t>
  </si>
  <si>
    <t>300 000-průchodové dveře,300 000 oprava WC MŠ</t>
  </si>
  <si>
    <t>Úspora za Teplo a TUV za rok 2016-vyúčtování v 3/2018</t>
  </si>
  <si>
    <t>502/0330</t>
  </si>
  <si>
    <t>schválená žádost řídícím odborem</t>
  </si>
  <si>
    <t>zajištění oprav WC v MŠ,náku OEM</t>
  </si>
  <si>
    <t>Usnesení RMP č.8167 ze dne 6.3.2018</t>
  </si>
  <si>
    <t>501/0700</t>
  </si>
  <si>
    <t>navýšení nein.příspěvku - Projekt Zdravé město</t>
  </si>
  <si>
    <t>513/0700</t>
  </si>
  <si>
    <t>558/0305</t>
  </si>
  <si>
    <t>Usnesení RMP č.8491 ze dne 29.  5. 2018</t>
  </si>
  <si>
    <t>501/0333</t>
  </si>
  <si>
    <t>Navýšení neinvest.příspěvku -pomůcky I.třídy</t>
  </si>
  <si>
    <t>672/0550</t>
  </si>
  <si>
    <t>6.6.62018</t>
  </si>
  <si>
    <t>Usnesení RMP č. 8552 ze dne 13. 6. 2018</t>
  </si>
  <si>
    <t>Navýšení neinvestičního příspěvku na nákup vybavení</t>
  </si>
  <si>
    <t>nového pavilonu při ZŠ</t>
  </si>
  <si>
    <t>Usnesení RMP č.8578 ze dne 27.6.2018</t>
  </si>
  <si>
    <t>opravy podlah a krytů radiátorů-Jesle</t>
  </si>
  <si>
    <t>1. Rozdělení výsledku hospodaření za rok 2017 do fondů</t>
  </si>
  <si>
    <t>2. Při dalším TZ budovy - výtahy v MŠ - nahlásit p. Burešová (MMPv) změnu ocenění majetku.</t>
  </si>
  <si>
    <t xml:space="preserve">1. Organizace na základě schválených usnesení RMP  ze dne 15.5.2018 č. 8418 a ZMP ze dne 12. 6. 2018 č. 18101 přidělila trvalým peněžním fondům schválený výsledek hospodaření </t>
  </si>
  <si>
    <t xml:space="preserve">ve výši 156 425,01 Kč, a to rezervnímu fondu částku 146 425,01 Kč a fondu odměn částku 10 000,00 Kč. </t>
  </si>
  <si>
    <t>2. Na základě aktuálně vzniklé havárie-únik vody při stavbě 3.podlaží do ostatních prostor pavilonu "C" byly zapůjčeny MMPv vysoučeče. Byla přislíbena finanční pomoc pro zajištění úklidových prací a</t>
  </si>
  <si>
    <t>případných následných služeb - např. stěhování nábytku.</t>
  </si>
  <si>
    <t>V Prostějově 27.7.2018</t>
  </si>
  <si>
    <t>Jan Krchňavý</t>
  </si>
  <si>
    <t>Tesaříková</t>
  </si>
  <si>
    <t>ředitel školy</t>
  </si>
  <si>
    <t>Základní škola Prostějov, ul. Dr. Horáka 24</t>
  </si>
  <si>
    <t>HV je zkreslen dotací od zřizovatele na 3Q2018 (ve výši cca 1,1 mil. Kč) a chybí náklady za energie (plyn a el. energie 6/2018 -  faktury dodány pozdě). Zisk odpovídající skutečnosti je cca 98 tis. Kč.</t>
  </si>
  <si>
    <t>Výnosy jsou vyšší než v loňském roce, důvodem je zvýšený pronájem bazénu.</t>
  </si>
  <si>
    <t>Je tvořen kladným HV za rok 2017 a dotací na obědy pro děti WOMEN FOR WOMEN. Čerpání je tvořeno dotací na obědy pro děti, projektem a odvodem zřizovateli.</t>
  </si>
  <si>
    <t>Je tvořen HV za rok 2017 a odpisy DHM a budov. Čerpání je tvořeno vratkami odpisů zřizovateli a nákkupem mycího stroje.</t>
  </si>
  <si>
    <t>Byl dotován z HV za rok 2017.</t>
  </si>
  <si>
    <t>Rozdíl: 35.403,70 Kč (dotace fondu z HM 39258,70 Kč a čerpání na stravné 3855 Kč)</t>
  </si>
  <si>
    <t>nejsou</t>
  </si>
  <si>
    <t>nepřijaty</t>
  </si>
  <si>
    <t>Navýšení neinvestičního příspěvku - oprava venkovního hřiště s umělým povrchem. RMP usnesení č. 8264 ze dne 20.3.2018.</t>
  </si>
  <si>
    <t>672 0880</t>
  </si>
  <si>
    <t>511 0880</t>
  </si>
  <si>
    <t>Přesun z energií do oprav - souhlas vedoucího OŠKS ze dne 6.4.2018.</t>
  </si>
  <si>
    <t>502 0880</t>
  </si>
  <si>
    <t>Navýšení neinvestičního příspěvku - pomůcky 1. třída. RMP usnesení č. 8491 ze dne 29.5.2018.</t>
  </si>
  <si>
    <t>501 0880</t>
  </si>
  <si>
    <t>nebyla uložena</t>
  </si>
  <si>
    <t>Domluvit s vedoucím odd. nakládání s majetkem města Bc. Vladimírem Hofmanem vyřešení opravy venkovního hřiště s umělým povrchem, které není zaneseno v majetku zvlášť jako stavba. Dále vyřešit druhé venkovní hřiště a oplocení školy. Po provedených majetkových úpravách dojde k úpravám odpisů, které bude nezbytné řešit ve spolupráci s vedoucím OŠKS Mgr. Petrem Ivánkem.</t>
  </si>
  <si>
    <t>Název organizace: Základní škola a mateřská škola Prostějov, Kollárova ul. 4</t>
  </si>
  <si>
    <t>Čerpání rozpočtu se předpokládá v druhé polovině roku 2018, v první polovině roku byla prováděna úsporná opatření na všech položkách.</t>
  </si>
  <si>
    <t>Výsledek hospodaření je v souladu s plánem. Výsledek hospodaření je tvořen z pronájmů a ze školení.</t>
  </si>
  <si>
    <t>Finanční krytí na BÚ.</t>
  </si>
  <si>
    <t>Finanční krytí na BÚ. Čerpání daru od WOMEN &amp; WOMEN.</t>
  </si>
  <si>
    <t>Finanční krytí na BÚ. Pořízení herního prvku.</t>
  </si>
  <si>
    <t>Finanční krytí na BÚ. Použití na úhradu odměn.</t>
  </si>
  <si>
    <t>Rozdíl mezi účty 412 a 243 je způsoben časovým nesouladem. Použití: rekreace, pronájem sportovišť, kulturní akce.</t>
  </si>
  <si>
    <t>na stravování sociálně slabých žáků</t>
  </si>
  <si>
    <t>Účelově vázané prostředky na nákup učebních pomůcek pro I. třídu</t>
  </si>
  <si>
    <t>501/0345</t>
  </si>
  <si>
    <t>Navýšení položky výnosů - kopírování</t>
  </si>
  <si>
    <t>602/0360</t>
  </si>
  <si>
    <t>Navýšení položky výnosů - prodej čipy</t>
  </si>
  <si>
    <t>604/0400</t>
  </si>
  <si>
    <t>Navýšení položky nákladů - čipy (spotřeba)</t>
  </si>
  <si>
    <t>504/0300</t>
  </si>
  <si>
    <t xml:space="preserve">Navýšení položky výnosů-čerp. fondu FKSP </t>
  </si>
  <si>
    <t>648/0700</t>
  </si>
  <si>
    <t>Navýšení položky výnosů-za poškoz.učeb.</t>
  </si>
  <si>
    <t>649/0400</t>
  </si>
  <si>
    <t>Navýšení položky nákladů - mobil (volání)</t>
  </si>
  <si>
    <t>518/0411</t>
  </si>
  <si>
    <t>Navýšení položky výnosů-ostatní činnost</t>
  </si>
  <si>
    <t>649/0450</t>
  </si>
  <si>
    <t>Navýšení položky nákladů -ostatní poplatky</t>
  </si>
  <si>
    <t>518/0330</t>
  </si>
  <si>
    <t>Navýšení položky nákladů-školení a vzděl.</t>
  </si>
  <si>
    <t>518/0390</t>
  </si>
  <si>
    <t>Navýšení položky nákladů-údržba SW a lic.</t>
  </si>
  <si>
    <t>518/0480</t>
  </si>
  <si>
    <t>Navýšení položky nákladů-mobil volání</t>
  </si>
  <si>
    <t>Navýšení položky nákladů-TZH nem.maj.</t>
  </si>
  <si>
    <t>549/0310</t>
  </si>
  <si>
    <t>Navýšení položky nákladů-odvod za ZPS</t>
  </si>
  <si>
    <t>549/0340</t>
  </si>
  <si>
    <t>Snížení položky nákladů-příděl do FKSP</t>
  </si>
  <si>
    <t>527/0300</t>
  </si>
  <si>
    <t>Navýšení položky nákladů-prev.prohlídky</t>
  </si>
  <si>
    <t>527/0330</t>
  </si>
  <si>
    <t>Snížení položky nákladů-DDHM</t>
  </si>
  <si>
    <t>558/0330</t>
  </si>
  <si>
    <t>Snížení položky nákladů-léky a zdr.mat.</t>
  </si>
  <si>
    <t>501/0410</t>
  </si>
  <si>
    <t>Snížení položky nákladů-ostatní (úspora )</t>
  </si>
  <si>
    <t>501/0490</t>
  </si>
  <si>
    <t>Snížení položky nákladů-Konzult., práv.sl.</t>
  </si>
  <si>
    <t>518/0380</t>
  </si>
  <si>
    <t>Navýšení položky výnosů-úroky</t>
  </si>
  <si>
    <t>662/0300</t>
  </si>
  <si>
    <t>Navýšení neinv.přísp.na provoz - příspěvek na uč.pomůcky pro I. třídy</t>
  </si>
  <si>
    <t>672/0300</t>
  </si>
  <si>
    <t>Navýšení nákladů - školení</t>
  </si>
  <si>
    <t>518/0090</t>
  </si>
  <si>
    <t xml:space="preserve"> Snížení nákladů - osobní náklady</t>
  </si>
  <si>
    <t>521/0001, 524/0001, 524/0010, 527/0001</t>
  </si>
  <si>
    <t>Nebyla uložena opatření.</t>
  </si>
  <si>
    <t>Lenka Pluhařová</t>
  </si>
  <si>
    <t>Projevilo se vyšší plnění u výnosů z činnosti (61,83 %). Je to způsobeno tím, že poplatky za ŠD jsou v 1. pololetí za 6 měsíců a ve 2. pololetí budou jen za 4 měsíce. Dále jsme přijali finanční prostředky od žáků za zničené učebnice (642,- Kč) . Na účtu 513 - náklady na reprezentaci (71,80 %), zde jde jen o částku 2 tisíce Kč v rozpočtu, která bude dočerpaná ve 2. pololetí a rozpočet nepřekročíme. 518 - ostatní služby (67,65 %) - na tomto účtu jsou náklady, které jsou jednorázové a ve 2. pololetí se již neopakují (balíček GDPR, většina upgrade, zpracování přiznání k dani, školení pro zaměstnance ŠJ a zdravotníky zotavovacích akcí, servisní prohlídka a seřízení kotlů).   Ostatní náklady z činnosti - 60,60% - plnění FP - jedná se o pojištění, které se hradí 1x ročně.</t>
  </si>
  <si>
    <t>Naopak nízké plnění je u oprav a udržování  (4,90 %) zapříčiněno tím, že veškeré opravy a malování směřujeme na období hlavních prázdnin. V současnosti se maluje, budou provedeny elektroopravy a další naplánované akce. Proběhne údržba klimatizace, vzduchotechniky a výtahu. Navíc nevzniklo mnoho problémů, které by se musely řešit dodavatelsky. Přesto předpokládáme, že naplánovanou částku budeme čerpat na 100 % FP. U spotřeby materiálu (35,28 %) budeme realizovat nákupy kancelářských potřeb, tonerů, materiálu do ŠJ a ŠD, nákup OHEM, zbývající část na školní potřeby pro žáky 1. třídy, nákup na opravy a údržbu vnitřních i venkovních prostor až ve 2. pololetí, v období hlavních prázdnin a na začátku školního roku. V položce cestovného (0 %) se v 1. pololetí nečerpalo, ale naplánovanou částku 2 000,- Kč vyčerpáme ve 2. pololetí. Zákonné a jiné sociální pojištění  - nižší čerpání (39,46 % FP)  je způsobeno tím, že správce hřiště nastoupil až 1.4.2018, pracovní smlouvu má do 31.12.2018, pracuje přes prázdniny, čerpání bude na 100 % FP.  527 - zákonné a jiné sociální náklady (34,77 %) - není zde zohledněn příspěvek na stravování zaměstnanců za červen, chybí ještě provést některé preventivní prohlídky zaměstnanců. V porovnání se stejným obdobím roku 2017 je průběžný výsledek hospodaření v hlavní činnosti nepatrně nižší (o 27.894,99 Kč), což je převážně způsobeno vyšším čerpáním ve službách (o 55.019,- Kč), ale zase letošním malým čerpání v položce oprav a údržby (méně o 12.392,- Kč). V 1. pololetí 2017 jsme měli vyšší výnosy přibližně o 20 tis. Kč - přijali jsme dar a čerpali rezervní fond.  Výhled hospodaření do konce roku 2018 - budeme se snažit ve všech nákladových i výnosových položkách o plnění na 100 % finančního plánu.</t>
  </si>
  <si>
    <t>Zřizovatelem máme schválený procentní výpočet nákladů doplňkové činnosti, který se odvíjí od výnosů. V roce 2018 jsme naplánovali 28.950,- Kč výsledek hospodaření, kterého s největší pravděpodobností dosáhneme.</t>
  </si>
  <si>
    <t>Do fondu byl přidělen dosažený výsledek hospodaření z DČ roku 2017 ve výši 27.576,52 Kč a z HČ ve výši 4.406,- Kč. Dále Zastupitelstvo města Prostějova rozhodlo o převodu finanční částky 4.406,- Kč do rezervního fondu, následně o převodu z RF do fondu investic.</t>
  </si>
  <si>
    <t>Zdroje byly 0, čerpaly se nespotřebované dotace z rozpočtu Evropské unie ze dvou projektů ve výši 565.465,- Kč.</t>
  </si>
  <si>
    <t xml:space="preserve">V rámci finančního vypořádání roku 2017 byla do fondu převedena částka 4.406,- Kč z rezervního fondu a následně tato částka byla odvedena na účet zřizovatele. Tvorba fondu ve výši odpisů byla za 1. pololetí 624.156,- Kč. Rada města Prostějova uložila ředitelce školy odvod zřizovateli z fondu investic ve výši odpisů budov, t.j. 616.602,- Kč. </t>
  </si>
  <si>
    <t>V 1. pololetí se z fondu odměn nečerpalo.</t>
  </si>
  <si>
    <t xml:space="preserve">Do fondu byla přidělena 2 % z objemu hrubých prostředků, což činí 116.059,- Kč. Z fondu se přispívá v rámci individuálního příspěvku na rekreační a lázeňské pobyty, zájezdy a rehabilitace - za 1. pololetí zatím jen 4.000,- Kč. Dále se přispívá na stravování zaměstnanců - 24.505,- Kč (13,- Kč na jeden oběd, není zde zohledněn příspěvek zřizovatele za červen), na kulturní představení, tělovýchovné akce, setkání s důchodci školy apod. - za 1. pololetí to bylo 30.105,50 Kč. Byly poskytnuty 3 věcné dary pro naše důchodce k životním výročím. Rozdíl mezi účetním stavem (236.753,02 Kč) a finančním stavem (217.694,04 Kč) je 19.058,98 Kč. Je to rozdíl mezi přídělem z hrubých mezd za červen 2018 (18.781,- Kč), dále mezi poplatky za červen (290,- Kč) a připsanými úroky za červen (12,02 Kč). Z FKSP se majetek nepořizoval.  </t>
  </si>
  <si>
    <t>Neevidujeme pohledávky po lhůtě splatnosti.</t>
  </si>
  <si>
    <t>Neevidujeme závazky po lhůtě splatnosti.</t>
  </si>
  <si>
    <t>V 1. pololetí jsme nepřijali žádný finanční ani věcný dar.</t>
  </si>
  <si>
    <t>pořízení pomůcek pro žáky 1. třídy ve šk. roce 2017/2018</t>
  </si>
  <si>
    <t>501/0330</t>
  </si>
  <si>
    <t>ještě neukončeno</t>
  </si>
  <si>
    <t>RMP usnesením č. 8491 ze dne 29.5.2018 schválila účelové navýšení neinvestičního příspěvku na pořízení pomůcek pro žáky 1. třídy ve šk. roce 2018/2019.</t>
  </si>
  <si>
    <t>internet a související poplatky</t>
  </si>
  <si>
    <t>518/0310</t>
  </si>
  <si>
    <t>nájem bazénu</t>
  </si>
  <si>
    <t>518/0340</t>
  </si>
  <si>
    <t>Organizace provedla vnitřní úpravu finančního plánu, kterou schválila ředitelka školy. V souvislosti s GDPR musel být vyroben balíček, umožňující provoz www stránek a SSL certifikátu. Ve 2. pololetí již nebudeme plavat v městských lázních a ušetříme za pronájem bazénu.</t>
  </si>
  <si>
    <t>Upravovat finanční plán zatím nebudeme, protože už v 1. pololetí se mnoho nájemců předčasně odhlašovalo. Smlouvy jsme měli uzavřené do 30.6.2018, další budeme uzavírat podle zájmu od září.</t>
  </si>
  <si>
    <t>Na kontrolním dni k výsledků hospodaření za rok 2017 nevyplynula pro naši organizaci žádná opatření.</t>
  </si>
  <si>
    <t>Organizace na základě schválených usnesení č. 8418 Rady města Prostějova rozdělila dosažený výsledek hospodaření roku 2017. Do fondu rezervního byl proveden přídel ve výši 27.576,52 Kč. Dále byla převedena částka 4.406,- Kč do rezervního fondu oprganizace, následně převedena z rezervního fondu do fondu investic. V rámci finančního vypořádání byla částka 4.406,- Kč z fondu investic zaslána na účet zřizovatele.</t>
  </si>
  <si>
    <t>D. Kolínská</t>
  </si>
  <si>
    <t xml:space="preserve">Komentář k průběžnému výsledku hospodaření v hlavní činnosti celkem: VH ovlivnilo především navýšení NIV od zřizovatele v celkové výši 2.530.000,- Kč (z toho přijaté finance na pomůcky pro 1. třídy a na opravy zázemí u tělocvičny, opravy střechy, vybavení nového odd. MŠ Čechovice a opravu fasády v ZŠ Čechovcie). Nákupy a plánované opravy proběhnou ve 2. pololetí roku. VH je také ovlivněn vyššími příjmy za MŠ a ŠD, 1. pololetí vybíráme poplatky za 6 měsíců, v následujícím za měsíce 4. </t>
  </si>
  <si>
    <t>Komentář k průběžnému výsledku hospodaření v doplňkové činnosti celkem: VH je vyšší oproti plánu, protože jsme více pronajímali tělocvičnu o víkendech.</t>
  </si>
  <si>
    <t>Rezervní fond tvořený ze zlepšeného VH byl posílen o 239.978,29 Kč jako zlepšený VH r. 2017; čerpání fondu nebylo.</t>
  </si>
  <si>
    <t>Rezervní fond z ostatních titulů byl posílen o částku 11.115,- Kč jako dar nadace Women for Women na obědy pro 4 žáky školy; čerpání fondu ve výši: 8.084,- Kč na Obědy pro děti, dále bylo převedeno 1.301.309,47 Kč jako dotace ÚZ 33063 Projekty Pojďme se vzdělávat společně a Pracujeme na sobě - nedočerpané dotace v roce 2017.</t>
  </si>
  <si>
    <t>Fond investic je tvořen odpisy ve výši 494.268,- Kč; čerpání fondu ve výši 452.288,- Kč bylo nařízeným odvodem převedeno zpět zřizovateli.</t>
  </si>
  <si>
    <t>Fond odměn byl posílen o 25.000,- Kč ze zlepšeného VH za rok 2017; čerpání fondu: v 1. pololetí nebylo.</t>
  </si>
  <si>
    <t>Fond FKSP je tvořen povinnými příděly = 278.180,- Kč; částka 69.480,- Kč byla použita jako příspěvek na obědy zaměstnanců (výše 20,- Kč za jeden oběd/stravenku), dále na občerstvení ke Dni učitelů a exkurzi pro zaměstnance ve výši 51.940,- Kč a odměny k výročím částkou 19.500,- Kč; rozdíl mezi účetním a finančním stavem na fondu vznikl povinným přídělem za 06/2018 ve výši 49.697,- Kč a obědy pro zaměstnace -13.500,- Kč = rozdíl činí 36.197,- Kč.</t>
  </si>
  <si>
    <t xml:space="preserve"> neevidujeme žádné pohledávky po lhůtě splatnosti</t>
  </si>
  <si>
    <t>neevidujeme žádné závazky po lhůtě splatnosti</t>
  </si>
  <si>
    <t>účelový finanční dar Women For Women - Obědy pro děti na období leden - červen 2018, nedočerpání vráceno v 07/2018</t>
  </si>
  <si>
    <r>
      <t>usnesením RM č. 71287/2017</t>
    </r>
    <r>
      <rPr>
        <sz val="9"/>
        <color indexed="8"/>
        <rFont val="Times New Roman"/>
        <family val="1"/>
        <charset val="238"/>
      </rPr>
      <t xml:space="preserve"> byl posílen účet 648.0300 - čerpání fondů - RF a účet 549.0360 - ostatní náklady z činnosti = Obědy pro děti 01-06/2018</t>
    </r>
  </si>
  <si>
    <t>648.0300</t>
  </si>
  <si>
    <t>549.0360</t>
  </si>
  <si>
    <t>plnění pojistné události poškození sgrafit na štítu budovy ZŠ Čechovice - oprava bude provedena ve 2. pololetí</t>
  </si>
  <si>
    <t>649.0300</t>
  </si>
  <si>
    <t>511.0310</t>
  </si>
  <si>
    <r>
      <t>usnesením RM č. 8195</t>
    </r>
    <r>
      <rPr>
        <sz val="9"/>
        <color indexed="8"/>
        <rFont val="Times New Roman"/>
        <family val="1"/>
        <charset val="238"/>
      </rPr>
      <t xml:space="preserve"> byl posílen účet 672.0510 - navýšení NIV a účet 511.0310 - opravy soc.zařízení u velké TV</t>
    </r>
  </si>
  <si>
    <t>672.0510</t>
  </si>
  <si>
    <r>
      <t>usnesením RM č. 8196</t>
    </r>
    <r>
      <rPr>
        <sz val="9"/>
        <color indexed="8"/>
        <rFont val="Times New Roman"/>
        <family val="1"/>
        <charset val="238"/>
      </rPr>
      <t xml:space="preserve"> byl posílen účet 672.0510 - navýšení NIV a účet 511.0310 - oprava střechy na MŠ Mánesova</t>
    </r>
  </si>
  <si>
    <r>
      <t>usnesením RM č. 8197</t>
    </r>
    <r>
      <rPr>
        <sz val="9"/>
        <color indexed="8"/>
        <rFont val="Times New Roman"/>
        <family val="1"/>
        <charset val="238"/>
      </rPr>
      <t xml:space="preserve"> byl posílen účet 672.0510 - navýšení NIV a účet 511.0310 - oprava sgrafit na štítu budovy ZŠ Čechovice</t>
    </r>
  </si>
  <si>
    <r>
      <t>usnesením RM č. 8198</t>
    </r>
    <r>
      <rPr>
        <sz val="9"/>
        <color indexed="8"/>
        <rFont val="Times New Roman"/>
        <family val="1"/>
        <charset val="238"/>
      </rPr>
      <t xml:space="preserve"> byl posílen účet 672.0510 - navýšení NIV a účet 511.0310 - oprava havárie potrubí a podlahy v ZŠ Čechovice</t>
    </r>
  </si>
  <si>
    <r>
      <t>usnesením RM č. 8374</t>
    </r>
    <r>
      <rPr>
        <sz val="9"/>
        <color indexed="8"/>
        <rFont val="Times New Roman"/>
        <family val="1"/>
        <charset val="238"/>
      </rPr>
      <t xml:space="preserve"> byl posílen účet 649.0310 - ostatní výnosy - DARY a účet 558.0300-DDHM = odpočinkový koutek Čtverec (MŠ Čechovice) </t>
    </r>
  </si>
  <si>
    <t>649.0310</t>
  </si>
  <si>
    <t>558.0300</t>
  </si>
  <si>
    <r>
      <t>usnesením RM č. 8377</t>
    </r>
    <r>
      <rPr>
        <sz val="9"/>
        <color indexed="8"/>
        <rFont val="Times New Roman"/>
        <family val="1"/>
        <charset val="238"/>
      </rPr>
      <t xml:space="preserve"> byl posílen účet 672.0510 - navýšení NIV a účet 511.0310 - oprava šatny a části soc.zařízení u velké TV</t>
    </r>
  </si>
  <si>
    <r>
      <t xml:space="preserve">usnesením RM č. 8491 </t>
    </r>
    <r>
      <rPr>
        <sz val="9"/>
        <color indexed="8"/>
        <rFont val="Times New Roman"/>
        <family val="1"/>
        <charset val="238"/>
      </rPr>
      <t>bylo schváleno navýšení NIV příspěvku KAP.20 na 1. třídy</t>
    </r>
  </si>
  <si>
    <r>
      <t>usnesením RM č. 8487</t>
    </r>
    <r>
      <rPr>
        <sz val="9"/>
        <color indexed="8"/>
        <rFont val="Times New Roman"/>
        <family val="1"/>
        <charset val="238"/>
      </rPr>
      <t xml:space="preserve"> byl posílen účet 649.0310 - ostatní výnosy - DARY a účet 558.0300-DDHM = 1x koberec a účet 501.0430 - OEM = 2x koberec (MŠ Čechovice)</t>
    </r>
  </si>
  <si>
    <t>501.0430</t>
  </si>
  <si>
    <t>usnesením RM č. 8490 byl posílen účet 672.0510 - navýšení NIV a účet 501.0430 - nákupy OEM a účet 558.0300 - nákupy DDHM = na vybavení nového odd. MŠ Čechovice</t>
  </si>
  <si>
    <t>V 1. pololetí jsme neprovedli žádné úpravy FP v DČ.</t>
  </si>
  <si>
    <t>Nebylo uloženo.</t>
  </si>
  <si>
    <t xml:space="preserve">1. Organizace na základě schválených usnesení RMP ze dne 15. 5. 2018 č. 8418 a ZMP ze dne 12. 6. 2018 č. 18101 přidělila trvalým peněžním fondům schválený výsledek hospodaření ve výši 264.978,29 Kč, a to rezervnímu fondu částku 239.9780,29 Kč a fondu odměn částku 25.000,- Kč. </t>
  </si>
  <si>
    <t>Zpracovala: Veronika Kocourková, v.r.</t>
  </si>
  <si>
    <t>Název organizace: Základní škola Prostějov, ul. E. Valenty 52, 796 03 Prostějov</t>
  </si>
  <si>
    <t>Zlepšený hospodářský výsledek k 30. 6. 2018 je dosažený sníženými náklady na energie.</t>
  </si>
  <si>
    <t>V doplňkové činnosti se daří plnit výnosy a k tomu náležijící náklady podle finančního plánu.</t>
  </si>
  <si>
    <r>
      <t xml:space="preserve">                                                                                                                                                                                                                                                                                                                                                                                                                             </t>
    </r>
    <r>
      <rPr>
        <b/>
        <sz val="8"/>
        <rFont val="Times New Roman"/>
        <family val="1"/>
        <charset val="238"/>
      </rPr>
      <t xml:space="preserve">zdroj:                                                                                                                                                                                                                                                                                                                              - </t>
    </r>
    <r>
      <rPr>
        <sz val="8"/>
        <rFont val="Times New Roman"/>
        <family val="1"/>
        <charset val="238"/>
      </rPr>
      <t xml:space="preserve">příděl ze zlepšeného VH za rok 2017 ve výši 130.785,96 Kč                                                                                                                                                                                  </t>
    </r>
    <r>
      <rPr>
        <b/>
        <sz val="8"/>
        <rFont val="Times New Roman"/>
        <family val="1"/>
        <charset val="238"/>
      </rPr>
      <t xml:space="preserve">čerpání:                                                                                                                                                                                                                                                      </t>
    </r>
    <r>
      <rPr>
        <sz val="8"/>
        <rFont val="Times New Roman"/>
        <family val="1"/>
        <charset val="238"/>
      </rPr>
      <t xml:space="preserve"> </t>
    </r>
    <r>
      <rPr>
        <b/>
        <sz val="8"/>
        <rFont val="Times New Roman"/>
        <family val="1"/>
        <charset val="238"/>
      </rPr>
      <t>-</t>
    </r>
    <r>
      <rPr>
        <sz val="8"/>
        <rFont val="Times New Roman"/>
        <family val="1"/>
        <charset val="238"/>
      </rPr>
      <t xml:space="preserve"> převod prostředků ve výši 42.360,00 Kč do fondu investic                                     </t>
    </r>
    <r>
      <rPr>
        <b/>
        <sz val="8"/>
        <rFont val="Times New Roman"/>
        <family val="1"/>
        <charset val="238"/>
      </rPr>
      <t xml:space="preserve">           - </t>
    </r>
    <r>
      <rPr>
        <sz val="8"/>
        <rFont val="Times New Roman"/>
        <family val="1"/>
        <charset val="238"/>
      </rPr>
      <t>z rezervního fondu byl nakoupen notebook za 17.472,00 Kč</t>
    </r>
    <r>
      <rPr>
        <b/>
        <sz val="8"/>
        <rFont val="Times New Roman"/>
        <family val="1"/>
        <charset val="238"/>
      </rPr>
      <t xml:space="preserve">             </t>
    </r>
  </si>
  <si>
    <r>
      <t xml:space="preserve">                                                                                                                                                     </t>
    </r>
    <r>
      <rPr>
        <sz val="8"/>
        <rFont val="Times New Roman"/>
        <family val="1"/>
        <charset val="238"/>
      </rPr>
      <t xml:space="preserve">                                                                                                                                                                                                                          </t>
    </r>
    <r>
      <rPr>
        <b/>
        <sz val="8"/>
        <rFont val="Times New Roman"/>
        <family val="1"/>
        <charset val="238"/>
      </rPr>
      <t xml:space="preserve">čerpání:                                                                                                                                                                                                                                                                                                                  </t>
    </r>
    <r>
      <rPr>
        <sz val="8"/>
        <rFont val="Times New Roman"/>
        <family val="1"/>
        <charset val="238"/>
      </rPr>
      <t xml:space="preserve"> - přeúčtování nespotřebované části zálohy na projekt ve výši 707.657,20 Kč,                                                                                                                                                                               která byla zaúčtována za RF koncem roku 2017                                                                                                                                                                           </t>
    </r>
  </si>
  <si>
    <r>
      <rPr>
        <b/>
        <sz val="8"/>
        <rFont val="Times New Roman"/>
        <family val="1"/>
        <charset val="238"/>
      </rPr>
      <t xml:space="preserve">zdroj:                                                                                                                                                                                                                                                                               </t>
    </r>
    <r>
      <rPr>
        <sz val="8"/>
        <rFont val="Times New Roman"/>
        <family val="1"/>
        <charset val="238"/>
      </rPr>
      <t xml:space="preserve">tvorba fondu z odpisů DHM ve výši 537.282,00 Kč                                                                                                                                                                           usnesením RMP č. 18101 ze dne 12. 6. 2018 byl schválen převod prostředků                                                                                                                                     ve výši 42.360,00 Kč z rezervního fondu                                                                                                                                                                                                        </t>
    </r>
    <r>
      <rPr>
        <b/>
        <sz val="8"/>
        <rFont val="Times New Roman"/>
        <family val="1"/>
        <charset val="238"/>
      </rPr>
      <t xml:space="preserve">čerpání:                                                                                                                                                                                                                                                                                                  </t>
    </r>
    <r>
      <rPr>
        <sz val="8"/>
        <rFont val="Times New Roman"/>
        <family val="1"/>
        <charset val="238"/>
      </rPr>
      <t xml:space="preserve">uložený odvod finančních prostředků zřizovateli ve výši 393.012,00 Kč,                                                                                                                                                                                                           uložený odvod z VH roku 2017 ve výši 42.360 Kč                                                                                                                       </t>
    </r>
    <r>
      <rPr>
        <sz val="10"/>
        <rFont val="Times New Roman"/>
        <family val="1"/>
        <charset val="238"/>
      </rPr>
      <t xml:space="preserve">                                                                                                                                                                                                                                                                                                                                                                   </t>
    </r>
    <r>
      <rPr>
        <b/>
        <sz val="10"/>
        <rFont val="Times New Roman"/>
        <family val="1"/>
        <charset val="238"/>
      </rPr>
      <t/>
    </r>
  </si>
  <si>
    <t>Příděl ze zlepšeného hospodářského výsledku za rok 2017 ve výši 10.000 Kč</t>
  </si>
  <si>
    <r>
      <rPr>
        <sz val="10"/>
        <rFont val="Times New Roman"/>
        <family val="1"/>
        <charset val="238"/>
      </rPr>
      <t xml:space="preserve">             </t>
    </r>
    <r>
      <rPr>
        <b/>
        <sz val="10"/>
        <rFont val="Times New Roman"/>
        <family val="1"/>
        <charset val="238"/>
      </rPr>
      <t xml:space="preserve">                                                                                                                                                                                          </t>
    </r>
    <r>
      <rPr>
        <sz val="10"/>
        <rFont val="Times New Roman"/>
        <family val="1"/>
        <charset val="238"/>
      </rPr>
      <t xml:space="preserve">                                                                               </t>
    </r>
    <r>
      <rPr>
        <b/>
        <sz val="10"/>
        <rFont val="Times New Roman"/>
        <family val="1"/>
        <charset val="238"/>
      </rPr>
      <t xml:space="preserve">                                                                                                                                                                                                                                                                      </t>
    </r>
    <r>
      <rPr>
        <b/>
        <sz val="8"/>
        <rFont val="Times New Roman"/>
        <family val="1"/>
        <charset val="238"/>
      </rPr>
      <t xml:space="preserve">zdroj:                                                                                                                                                                                                                                 </t>
    </r>
    <r>
      <rPr>
        <sz val="8"/>
        <rFont val="Times New Roman"/>
        <family val="1"/>
        <charset val="238"/>
      </rPr>
      <t xml:space="preserve">příděl 2 % z HM činí 204.685,00 Kč                                                                                                                                                                                                                                                 </t>
    </r>
    <r>
      <rPr>
        <b/>
        <sz val="8"/>
        <rFont val="Times New Roman"/>
        <family val="1"/>
        <charset val="238"/>
      </rPr>
      <t>čerpání:</t>
    </r>
    <r>
      <rPr>
        <sz val="8"/>
        <rFont val="Times New Roman"/>
        <family val="1"/>
        <charset val="238"/>
      </rPr>
      <t xml:space="preserve">                                                                                                                                                                                                                                                                                                                                   - příspěvek na stravování             48.450,00 Kč                                                                                                                                                                                                       - rekreace                                     86.000,00 Kč                                                                                                                                                                                                                 - kultura, tělovýchova, sport          39.387,00 Kč                                                                                                                                                                                            - poskytnuté finanční dary             22.500,00 Kč                                                                                                                                                                                                        - ostatní užití fondu                        1.323,00 Kč - kávovar pro zaměstnance                                                                                                                                                                                                                                                                                                                                                                                                                                                                                                                                                                                                                                                            U účtu 412 - FKSP činí rozdíl zůstatky půjček z FKSP ve výši 21.934 Kč                                                                                                                                                           a příděl z mezd za měsíc červen 2018 ve  výši  33.018,00 Kč.            </t>
    </r>
  </si>
  <si>
    <t>V 1. pololetí 2018 nebyly přijaty žádné dary</t>
  </si>
  <si>
    <t>Usnesením RMP č. 8057 - navýšení příspěvku na opravy</t>
  </si>
  <si>
    <t>672/320</t>
  </si>
  <si>
    <t>511/310</t>
  </si>
  <si>
    <t>Usnesením RMP č. 8491 - navýšení příspěvku na pomůcky</t>
  </si>
  <si>
    <t>Použití fondů - čerpání rezervního fondu</t>
  </si>
  <si>
    <t>648/320</t>
  </si>
  <si>
    <t>Výnosy z prodeje služeb - ŠD</t>
  </si>
  <si>
    <t>Spotřeba materiálu - spotřební materiál pro ŠD</t>
  </si>
  <si>
    <t>501/360</t>
  </si>
  <si>
    <t>Výnosy z prodeje služeb - výnosy spojené s nájemným</t>
  </si>
  <si>
    <t>Ostatní služby - údržba SW a licence</t>
  </si>
  <si>
    <t>Výnosy z prodeje služeb - opis vysvědčení</t>
  </si>
  <si>
    <t>602/360</t>
  </si>
  <si>
    <t>Ostatní výnosy z činnosti - poškozené učebnice</t>
  </si>
  <si>
    <t>649/400</t>
  </si>
  <si>
    <t>549/350</t>
  </si>
  <si>
    <t>Spotřeba materiálu - ostatní spotřební materiál</t>
  </si>
  <si>
    <t>501/490</t>
  </si>
  <si>
    <t>Jiné sociální pojištění</t>
  </si>
  <si>
    <t>525/300</t>
  </si>
  <si>
    <t>Ostatní služby - ostatní poplatky</t>
  </si>
  <si>
    <t>518/330</t>
  </si>
  <si>
    <t>602/001</t>
  </si>
  <si>
    <t>Výnosy z pronájmu - třída</t>
  </si>
  <si>
    <t>603/003</t>
  </si>
  <si>
    <t>558/001</t>
  </si>
  <si>
    <t>Spotřeba materiálu - ostatní</t>
  </si>
  <si>
    <t>501/161</t>
  </si>
  <si>
    <t>521/001</t>
  </si>
  <si>
    <t>524/001</t>
  </si>
  <si>
    <t>Organizace na základě schváleného usnesení RMP č. 18101 ze dne 12. 6. 2018 provedla rozdělení zlepšeného hospodářského výsledku za rok 2017:  do fondu odměn přidělila částku 10.000 Kč, do rezervního fondu částku 130.785,99 Kč. Dále byl tímto usnesením schválen převod prostředků z rezervního fondu do fondu investic ve výši 42.360 Kč a tato částky byla uložena jako odvod z fondu investic.                                                                                                                                                                                                                                                                                                                                              Z kontrolního dne nebylo uloženo žádné opatření.</t>
  </si>
  <si>
    <t>Datum: 25. července 2018</t>
  </si>
  <si>
    <t>V nákladech se v II. pololetí 2018 promítně oprava budov, nákup materiálu pro výuku.</t>
  </si>
  <si>
    <t>V nákladech se v II. pololetí 2018 promítně spotřeba energií, výměna těsnění oken a servis plynového kotle ve školním bytě.</t>
  </si>
  <si>
    <t>Rádi bychom čerpali RF na pořízení klimatizace v roce 2019,</t>
  </si>
  <si>
    <t>Fond investic budeme čerpat podle potřeb organizace.</t>
  </si>
  <si>
    <t>FKSP čerpání průběžně , dle potřeb zaměstnanců.</t>
  </si>
  <si>
    <t>Organizace nepřijala žádný dar.</t>
  </si>
  <si>
    <t>Oprava zaúčtování pořízení dálniční známky</t>
  </si>
  <si>
    <t>538</t>
  </si>
  <si>
    <t>Náklady na reprezentaci, vyšší čerpání festivalů PDH a MEDart</t>
  </si>
  <si>
    <t>513</t>
  </si>
  <si>
    <t>Pokuty a penále - kontrola VZP</t>
  </si>
  <si>
    <t>649</t>
  </si>
  <si>
    <t>541</t>
  </si>
  <si>
    <t>Vyšší plnění výnosů PDH, MEDart, finanční prostředky bychom rádi</t>
  </si>
  <si>
    <t>použili na nákup DDHM</t>
  </si>
  <si>
    <t>558</t>
  </si>
  <si>
    <t>Nebyly provedeny úpravy finančního plánu.</t>
  </si>
  <si>
    <t>S.Sogelová</t>
  </si>
  <si>
    <t>Mateřská škola Prostějov, Moravská ul.30, příspěvková organizace  IČO 70982945</t>
  </si>
  <si>
    <t xml:space="preserve">Název organizace: </t>
  </si>
  <si>
    <t>Úspora v položce energií 192 tis. Kč. Čerpání podle plánu bude realizováno v 2.pol. 2018.</t>
  </si>
  <si>
    <t xml:space="preserve">V souladu s plánem. </t>
  </si>
  <si>
    <t>Finančně kryto na bú. Bude použito na pořízení nábytku a vybavení do sborovny.</t>
  </si>
  <si>
    <t>Finančně kryto na bú. Bude použito na čerpání daru fy. Women and women.</t>
  </si>
  <si>
    <t>Finančně kryto na bú. Bude použito na pořízení dlouhodobého hmotného majetku - kotel pro školní jídelnu</t>
  </si>
  <si>
    <t xml:space="preserve">Finančně kryto na bú. Bude použito na financování odměn stanovených z fondu odměn. </t>
  </si>
  <si>
    <t>Finanční rozdíl mezi účetním stavem a finančním stavem tvoří časový nesoulad (příděl do FKSP za 06/2018). Bude použito na čerpání za rekreace zaměstnanců, kulturní a společenské akce</t>
  </si>
  <si>
    <t>Finanční dar na financování stravy pro sociálně znevýhodněné žáky.</t>
  </si>
  <si>
    <t xml:space="preserve">navýšení položky nákladů - materiál ostatní </t>
  </si>
  <si>
    <t>501/0500</t>
  </si>
  <si>
    <t>snížení položky nákladů - cestovné (školení) - úspora na položce</t>
  </si>
  <si>
    <t>512/0300</t>
  </si>
  <si>
    <t>navýšení položky nákladů - cestovné (ostatní) - převod z jiné nákladové položky s úsporou</t>
  </si>
  <si>
    <t>512/0310</t>
  </si>
  <si>
    <t>snížení položky nákladů - DDHM - úspora na položce</t>
  </si>
  <si>
    <t>navýšení položky nákladů - technické zhodnocení majetku - převod z jiné nákladové položky s úsporou</t>
  </si>
  <si>
    <t>549/0320</t>
  </si>
  <si>
    <t>navýšení položky výnosů - čerpání fondů</t>
  </si>
  <si>
    <t>648/0300</t>
  </si>
  <si>
    <t>navýšení položky výnosů - výnosy z prodeje (sběr)</t>
  </si>
  <si>
    <t>649/0320</t>
  </si>
  <si>
    <t>navýšení položky výnosů - výnosy z prodeje čipů</t>
  </si>
  <si>
    <t>649/0340</t>
  </si>
  <si>
    <t>navýšení položky výnosů - výnosy za prodeje poškozené učebnice</t>
  </si>
  <si>
    <t>navýšení položky výnosů  - Dotace na provoz UZ 33353</t>
  </si>
  <si>
    <t>672/510</t>
  </si>
  <si>
    <t>navýšení položky nákladů - prostředky na platy UZ 33353</t>
  </si>
  <si>
    <t>521/300</t>
  </si>
  <si>
    <t>navýšení položky výnosů - Dotace na podporu výuky plavání UZ33070</t>
  </si>
  <si>
    <t>navýšení položky nákladů - doprava UZ33070</t>
  </si>
  <si>
    <t>518/0500</t>
  </si>
  <si>
    <t>navýšení položky výnosů  - čerpání prostředků projektu UZ33063</t>
  </si>
  <si>
    <t>672/0350</t>
  </si>
  <si>
    <t>navýšení položky nákladů materiál  - čerpání prostředků UZ 33063, UZ 33353</t>
  </si>
  <si>
    <t>501/0340, 501/0430, 501/0500</t>
  </si>
  <si>
    <t>navýšení položky nákladů cestovné  - čerpání prostředků UZ 33063, UZ 33353</t>
  </si>
  <si>
    <t>512/0300, 512/0310</t>
  </si>
  <si>
    <t>navýšení položky nákladů služby  - čerpání prostředků UZ 33063, UZ 33353</t>
  </si>
  <si>
    <t>navýšení položky nákladů mzdové náklady - čerpání prostředků UZ 33063, UZ 33353</t>
  </si>
  <si>
    <t>521/0303, 521/0333</t>
  </si>
  <si>
    <t>navýšení položky nákladů  - čerpání prostředků UZ 33063, UZ 33353</t>
  </si>
  <si>
    <t>524/0300, 524/0310, 525/0300</t>
  </si>
  <si>
    <t>navýšení položky výnosů - Dotace z ÚP</t>
  </si>
  <si>
    <t>672/0301</t>
  </si>
  <si>
    <t xml:space="preserve">navýšení položky nákladů - materiál </t>
  </si>
  <si>
    <t>501/010, 501/020, 501/090, 501/160, 501/170</t>
  </si>
  <si>
    <t>navýšení položky nákladů - platy ÚP</t>
  </si>
  <si>
    <t>521/0033</t>
  </si>
  <si>
    <t>navýšení položky nákladů - sociální  pojištění</t>
  </si>
  <si>
    <t>524/0001</t>
  </si>
  <si>
    <t>navýšení položky nákladů - zdravotní pojištění</t>
  </si>
  <si>
    <t>524/0010</t>
  </si>
  <si>
    <t>navýšení položky nákladů - zákonné pojištění odpovědnosti za zaměstnance</t>
  </si>
  <si>
    <t>525/0001</t>
  </si>
  <si>
    <t>navýšení položky nákladů - základní příděl do FKSP</t>
  </si>
  <si>
    <t>527/0001</t>
  </si>
  <si>
    <t>navýšení výnosů - dotace ÚP</t>
  </si>
  <si>
    <t>672/0101</t>
  </si>
  <si>
    <t>snížení položky nákladů - spotřeba tepla</t>
  </si>
  <si>
    <t>502/0030</t>
  </si>
  <si>
    <t>Pokračující úkol - nákup nábytku do sborovny z kladného hospodářského výsledku za rok 2017 (zahrnutí pořízení do plánovaného čerpání rezervního fondu)</t>
  </si>
  <si>
    <t xml:space="preserve">Pokračující úkol - nákup nábytku do sborovny z kladného hospodářského výsledku za rok 2017 (zahrnutí pořízení do plánovaného čerpání rezervního fondu). Probíhá realizace nákupu. </t>
  </si>
  <si>
    <t xml:space="preserve">Podat žádost o přesun úspory z položky energií na účtu 502 na účet 501 a 558 za účelem pořízení nábytku a vybavení do kabinetů pro pedagogy. </t>
  </si>
  <si>
    <t>Blanka Černošková</t>
  </si>
  <si>
    <t>Vztah k Olomouckému kraji, popř. SR ČR apod.</t>
  </si>
  <si>
    <t>541, 542 - Pokuty, úroky z prodlení  a penále</t>
  </si>
  <si>
    <t>Výsledek hospodaření po zdanění</t>
  </si>
  <si>
    <t>poznámka ONIV:734000</t>
  </si>
  <si>
    <t>Nebyla uložena. VH za rok 2017 má být použit na opravu terasy - probíhá ve II. pololetí 2018.</t>
  </si>
  <si>
    <t>VH za rok 2017 byl účelově vázán na opravu chodby na MŠ Libušinka - bude provedeno ve II. pololetí 2018.</t>
  </si>
  <si>
    <t>8. Plnění opatření z minulého kontrolního dne k výsledkům hospodaření za rok 20187</t>
  </si>
  <si>
    <t>Rozdělení výsledku hospodaření za rok 2017 do fondů bylo provedeno.</t>
  </si>
  <si>
    <t>Prostředky přidělené v rámci rozdělení VH za rok 2017 do rezervního fondu byly účelově vázány na pořízení klimatizace - bude provedeno během roku 2019.</t>
  </si>
  <si>
    <t>Výsledek hospodaření za rok 2017 byl účelově vázán na zprovoznění kavárny - plánuje se realizace.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</si>
</sst>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K_č_-;\-* #,##0.00\ _K_č_-;_-* &quot;-&quot;??\ _K_č_-;_-@_-"/>
    <numFmt numFmtId="164" formatCode="_-* #,##0\ _K_č_-;\-* #,##0\ _K_č_-;_-* &quot;-&quot;??\ _K_č_-;_-@_-"/>
    <numFmt numFmtId="165" formatCode="#,##0.00_ ;\-#,##0.00\ "/>
    <numFmt numFmtId="166" formatCode="dd/mm/yy;@"/>
  </numFmts>
  <fonts count="78" x14ac:knownFonts="1">
    <font>
      <sz val="11"/>
      <color theme="1"/>
      <name val="Calibri"/>
      <family val="2"/>
      <charset val="238"/>
      <scheme val="minor"/>
    </font>
    <font>
      <sz val="5"/>
      <name val="Times New Roman"/>
      <family val="1"/>
      <charset val="238"/>
    </font>
    <font>
      <sz val="6"/>
      <name val="Times New Roman"/>
      <family val="1"/>
      <charset val="238"/>
    </font>
    <font>
      <sz val="10"/>
      <color theme="1"/>
      <name val="Times New Roman"/>
      <family val="1"/>
      <charset val="238"/>
    </font>
    <font>
      <sz val="10"/>
      <color indexed="8"/>
      <name val="Times New Roman"/>
      <family val="1"/>
      <charset val="238"/>
    </font>
    <font>
      <sz val="11"/>
      <color theme="1"/>
      <name val="Calibri"/>
      <family val="2"/>
      <charset val="238"/>
      <scheme val="minor"/>
    </font>
    <font>
      <b/>
      <sz val="12"/>
      <name val="Times New Roman"/>
      <family val="1"/>
      <charset val="238"/>
    </font>
    <font>
      <b/>
      <sz val="6"/>
      <name val="Times New Roman"/>
      <family val="1"/>
      <charset val="238"/>
    </font>
    <font>
      <b/>
      <sz val="6"/>
      <name val="Times New Roman CE"/>
      <family val="1"/>
      <charset val="238"/>
    </font>
    <font>
      <b/>
      <sz val="6"/>
      <name val="Times New Roman CE"/>
      <charset val="238"/>
    </font>
    <font>
      <b/>
      <i/>
      <sz val="6"/>
      <name val="Times New Roman"/>
      <family val="1"/>
      <charset val="238"/>
    </font>
    <font>
      <b/>
      <i/>
      <sz val="6"/>
      <name val="Times New Roman CE"/>
      <family val="1"/>
      <charset val="238"/>
    </font>
    <font>
      <i/>
      <sz val="6"/>
      <name val="Times New Roman"/>
      <family val="1"/>
      <charset val="238"/>
    </font>
    <font>
      <i/>
      <sz val="6"/>
      <name val="Times New Roman CE"/>
      <charset val="238"/>
    </font>
    <font>
      <b/>
      <sz val="9"/>
      <color indexed="81"/>
      <name val="Tahoma"/>
      <charset val="1"/>
    </font>
    <font>
      <sz val="9"/>
      <color indexed="81"/>
      <name val="Tahoma"/>
      <charset val="1"/>
    </font>
    <font>
      <b/>
      <i/>
      <sz val="6"/>
      <name val="Times New Roman CE"/>
      <charset val="238"/>
    </font>
    <font>
      <b/>
      <u/>
      <sz val="14"/>
      <name val="Times New Roman"/>
      <family val="1"/>
      <charset val="238"/>
    </font>
    <font>
      <b/>
      <sz val="14"/>
      <color theme="1"/>
      <name val="Times New Roman"/>
      <family val="1"/>
      <charset val="238"/>
    </font>
    <font>
      <b/>
      <u/>
      <sz val="8"/>
      <color theme="1"/>
      <name val="Times New Roman"/>
      <family val="1"/>
      <charset val="238"/>
    </font>
    <font>
      <sz val="8"/>
      <color theme="1"/>
      <name val="Times New Roman"/>
      <family val="1"/>
      <charset val="238"/>
    </font>
    <font>
      <b/>
      <sz val="6"/>
      <color theme="1"/>
      <name val="Times New Roman"/>
      <family val="1"/>
      <charset val="238"/>
    </font>
    <font>
      <b/>
      <sz val="8"/>
      <color theme="1"/>
      <name val="Times New Roman"/>
      <family val="1"/>
      <charset val="238"/>
    </font>
    <font>
      <sz val="8"/>
      <color theme="1"/>
      <name val="Calibri"/>
      <family val="2"/>
      <charset val="238"/>
      <scheme val="minor"/>
    </font>
    <font>
      <sz val="8"/>
      <name val="Times New Roman"/>
      <family val="1"/>
      <charset val="238"/>
    </font>
    <font>
      <sz val="8"/>
      <color rgb="FFFF0000"/>
      <name val="Times New Roman"/>
      <family val="1"/>
      <charset val="238"/>
    </font>
    <font>
      <u/>
      <sz val="8"/>
      <color theme="1"/>
      <name val="Times New Roman"/>
      <family val="1"/>
      <charset val="238"/>
    </font>
    <font>
      <sz val="6"/>
      <color theme="1"/>
      <name val="Times New Roman"/>
      <family val="1"/>
      <charset val="238"/>
    </font>
    <font>
      <b/>
      <sz val="9"/>
      <color theme="1"/>
      <name val="Times New Roman"/>
      <family val="1"/>
      <charset val="238"/>
    </font>
    <font>
      <i/>
      <sz val="9"/>
      <color theme="1"/>
      <name val="Times New Roman"/>
      <family val="1"/>
      <charset val="238"/>
    </font>
    <font>
      <i/>
      <sz val="9"/>
      <name val="Times New Roman"/>
      <family val="1"/>
      <charset val="238"/>
    </font>
    <font>
      <sz val="6"/>
      <color rgb="FFFF0000"/>
      <name val="Times New Roman"/>
      <family val="1"/>
      <charset val="238"/>
    </font>
    <font>
      <b/>
      <sz val="7"/>
      <color theme="1"/>
      <name val="Times New Roman"/>
      <family val="1"/>
      <charset val="238"/>
    </font>
    <font>
      <sz val="11"/>
      <color theme="1"/>
      <name val="Times New Roman"/>
      <family val="1"/>
      <charset val="238"/>
    </font>
    <font>
      <sz val="9"/>
      <name val="Times New Roman"/>
      <family val="1"/>
      <charset val="238"/>
    </font>
    <font>
      <b/>
      <sz val="9"/>
      <name val="Times New Roman"/>
      <family val="1"/>
      <charset val="238"/>
    </font>
    <font>
      <b/>
      <u/>
      <sz val="8"/>
      <name val="Times New Roman"/>
      <family val="1"/>
      <charset val="238"/>
    </font>
    <font>
      <sz val="10"/>
      <name val="Times New Roman"/>
      <family val="1"/>
      <charset val="238"/>
    </font>
    <font>
      <b/>
      <sz val="14"/>
      <name val="Times New Roman"/>
      <family val="1"/>
      <charset val="238"/>
    </font>
    <font>
      <b/>
      <sz val="9"/>
      <color rgb="FFFF0000"/>
      <name val="Times New Roman"/>
      <family val="1"/>
      <charset val="238"/>
    </font>
    <font>
      <b/>
      <sz val="10"/>
      <color rgb="FFFF0000"/>
      <name val="Times New Roman"/>
      <family val="1"/>
      <charset val="238"/>
    </font>
    <font>
      <b/>
      <sz val="8"/>
      <color rgb="FFFF0000"/>
      <name val="Times New Roman"/>
      <family val="1"/>
      <charset val="238"/>
    </font>
    <font>
      <b/>
      <sz val="8"/>
      <name val="Times New Roman"/>
      <family val="1"/>
      <charset val="238"/>
    </font>
    <font>
      <b/>
      <sz val="10"/>
      <name val="Times New Roman"/>
      <family val="1"/>
      <charset val="238"/>
    </font>
    <font>
      <b/>
      <sz val="7"/>
      <name val="Times New Roman"/>
      <family val="1"/>
      <charset val="238"/>
    </font>
    <font>
      <i/>
      <sz val="8"/>
      <name val="Times New Roman"/>
      <family val="1"/>
      <charset val="238"/>
    </font>
    <font>
      <sz val="8"/>
      <name val="Calibri"/>
      <family val="2"/>
      <charset val="238"/>
      <scheme val="minor"/>
    </font>
    <font>
      <sz val="9"/>
      <color theme="1"/>
      <name val="Times New Roman"/>
      <family val="1"/>
      <charset val="238"/>
    </font>
    <font>
      <b/>
      <u/>
      <sz val="14"/>
      <color theme="1"/>
      <name val="Times New Roman"/>
      <family val="1"/>
      <charset val="238"/>
    </font>
    <font>
      <b/>
      <u/>
      <sz val="14"/>
      <color rgb="FFFF0000"/>
      <name val="Times New Roman"/>
      <family val="1"/>
      <charset val="238"/>
    </font>
    <font>
      <b/>
      <sz val="9"/>
      <color indexed="8"/>
      <name val="Times New Roman"/>
      <family val="1"/>
      <charset val="238"/>
    </font>
    <font>
      <i/>
      <sz val="9"/>
      <color indexed="8"/>
      <name val="Times New Roman"/>
      <family val="1"/>
      <charset val="238"/>
    </font>
    <font>
      <sz val="8"/>
      <color indexed="8"/>
      <name val="Times New Roman"/>
      <family val="1"/>
      <charset val="238"/>
    </font>
    <font>
      <b/>
      <sz val="7"/>
      <color theme="0"/>
      <name val="Times New Roman"/>
      <family val="1"/>
      <charset val="238"/>
    </font>
    <font>
      <b/>
      <sz val="8"/>
      <color theme="0"/>
      <name val="Times New Roman"/>
      <family val="1"/>
      <charset val="238"/>
    </font>
    <font>
      <sz val="7"/>
      <color theme="1"/>
      <name val="Times New Roman"/>
      <family val="1"/>
      <charset val="238"/>
    </font>
    <font>
      <sz val="7"/>
      <color indexed="8"/>
      <name val="Times New Roman"/>
      <family val="1"/>
      <charset val="238"/>
    </font>
    <font>
      <b/>
      <sz val="7"/>
      <color indexed="8"/>
      <name val="Times New Roman"/>
      <family val="1"/>
      <charset val="238"/>
    </font>
    <font>
      <sz val="9"/>
      <color indexed="8"/>
      <name val="Times New Roman"/>
      <family val="1"/>
      <charset val="238"/>
    </font>
    <font>
      <b/>
      <sz val="14"/>
      <color indexed="8"/>
      <name val="Times New Roman"/>
      <family val="1"/>
      <charset val="238"/>
    </font>
    <font>
      <b/>
      <u/>
      <sz val="8"/>
      <color indexed="8"/>
      <name val="Times New Roman"/>
      <family val="1"/>
      <charset val="238"/>
    </font>
    <font>
      <b/>
      <sz val="6"/>
      <color indexed="8"/>
      <name val="Times New Roman"/>
      <family val="1"/>
      <charset val="238"/>
    </font>
    <font>
      <b/>
      <sz val="8"/>
      <color indexed="8"/>
      <name val="Times New Roman"/>
      <family val="1"/>
      <charset val="238"/>
    </font>
    <font>
      <sz val="8"/>
      <color indexed="8"/>
      <name val="Calibri"/>
      <family val="2"/>
      <charset val="238"/>
    </font>
    <font>
      <sz val="8"/>
      <color indexed="10"/>
      <name val="Times New Roman"/>
      <family val="1"/>
      <charset val="238"/>
    </font>
    <font>
      <u/>
      <sz val="8"/>
      <color indexed="8"/>
      <name val="Times New Roman"/>
      <family val="1"/>
      <charset val="238"/>
    </font>
    <font>
      <sz val="6"/>
      <color indexed="8"/>
      <name val="Times New Roman"/>
      <family val="1"/>
      <charset val="238"/>
    </font>
    <font>
      <sz val="6"/>
      <color indexed="10"/>
      <name val="Times New Roman"/>
      <family val="1"/>
      <charset val="238"/>
    </font>
    <font>
      <sz val="11"/>
      <color indexed="8"/>
      <name val="Times New Roman"/>
      <family val="1"/>
      <charset val="238"/>
    </font>
    <font>
      <sz val="9"/>
      <color indexed="8"/>
      <name val="Calibri"/>
      <family val="2"/>
      <charset val="238"/>
    </font>
    <font>
      <sz val="11"/>
      <color indexed="8"/>
      <name val="Calibri"/>
      <family val="2"/>
      <charset val="238"/>
    </font>
    <font>
      <i/>
      <sz val="8"/>
      <color indexed="8"/>
      <name val="Times New Roman"/>
      <family val="1"/>
      <charset val="238"/>
    </font>
    <font>
      <b/>
      <sz val="5.5"/>
      <name val="Times New Roman CE"/>
      <family val="1"/>
      <charset val="238"/>
    </font>
    <font>
      <b/>
      <i/>
      <u/>
      <sz val="6"/>
      <name val="Times New Roman"/>
      <family val="1"/>
      <charset val="238"/>
    </font>
    <font>
      <b/>
      <sz val="5"/>
      <name val="Times New Roman"/>
      <family val="1"/>
      <charset val="238"/>
    </font>
    <font>
      <b/>
      <sz val="9"/>
      <color indexed="81"/>
      <name val="Tahoma"/>
      <family val="2"/>
      <charset val="238"/>
    </font>
    <font>
      <sz val="9"/>
      <color indexed="81"/>
      <name val="Tahoma"/>
      <family val="2"/>
      <charset val="238"/>
    </font>
    <font>
      <sz val="6"/>
      <color theme="1"/>
      <name val="Calibri"/>
      <family val="2"/>
      <charset val="238"/>
      <scheme val="minor"/>
    </font>
  </fonts>
  <fills count="1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theme="6" tint="0.79998168889431442"/>
        <bgColor indexed="64"/>
      </patternFill>
    </fill>
    <fill>
      <patternFill patternType="solid">
        <fgColor indexed="13"/>
        <bgColor indexed="64"/>
      </patternFill>
    </fill>
    <fill>
      <patternFill patternType="solid">
        <fgColor indexed="51"/>
        <bgColor indexed="64"/>
      </patternFill>
    </fill>
    <fill>
      <patternFill patternType="solid">
        <fgColor indexed="9"/>
        <bgColor indexed="64"/>
      </patternFill>
    </fill>
    <fill>
      <patternFill patternType="solid">
        <fgColor rgb="FFFFC000"/>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indexed="8"/>
        <bgColor indexed="64"/>
      </patternFill>
    </fill>
    <fill>
      <patternFill patternType="solid">
        <fgColor theme="1"/>
        <bgColor indexed="64"/>
      </patternFill>
    </fill>
    <fill>
      <patternFill patternType="solid">
        <fgColor indexed="50"/>
        <bgColor indexed="64"/>
      </patternFill>
    </fill>
    <fill>
      <patternFill patternType="solid">
        <fgColor indexed="23"/>
        <bgColor indexed="64"/>
      </patternFill>
    </fill>
    <fill>
      <patternFill patternType="solid">
        <fgColor rgb="FFFFCC00"/>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style="hair">
        <color auto="1"/>
      </top>
      <bottom style="hair">
        <color auto="1"/>
      </bottom>
      <diagonal/>
    </border>
    <border>
      <left/>
      <right style="thin">
        <color indexed="64"/>
      </right>
      <top style="hair">
        <color auto="1"/>
      </top>
      <bottom style="hair">
        <color auto="1"/>
      </bottom>
      <diagonal/>
    </border>
    <border>
      <left style="thin">
        <color indexed="64"/>
      </left>
      <right style="thin">
        <color indexed="64"/>
      </right>
      <top style="hair">
        <color auto="1"/>
      </top>
      <bottom style="hair">
        <color auto="1"/>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auto="1"/>
      </top>
      <bottom style="thin">
        <color indexed="64"/>
      </bottom>
      <diagonal/>
    </border>
    <border>
      <left style="thin">
        <color indexed="64"/>
      </left>
      <right style="thin">
        <color indexed="64"/>
      </right>
      <top style="hair">
        <color auto="1"/>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style="medium">
        <color indexed="64"/>
      </left>
      <right/>
      <top style="hair">
        <color indexed="64"/>
      </top>
      <bottom style="hair">
        <color indexed="64"/>
      </bottom>
      <diagonal/>
    </border>
    <border>
      <left/>
      <right/>
      <top style="hair">
        <color auto="1"/>
      </top>
      <bottom style="hair">
        <color auto="1"/>
      </bottom>
      <diagonal/>
    </border>
    <border>
      <left style="medium">
        <color indexed="64"/>
      </left>
      <right/>
      <top style="hair">
        <color indexed="64"/>
      </top>
      <bottom/>
      <diagonal/>
    </border>
    <border>
      <left style="thin">
        <color indexed="64"/>
      </left>
      <right style="thin">
        <color indexed="64"/>
      </right>
      <top style="hair">
        <color indexed="64"/>
      </top>
      <bottom/>
      <diagonal/>
    </border>
    <border>
      <left/>
      <right/>
      <top style="hair">
        <color indexed="64"/>
      </top>
      <bottom/>
      <diagonal/>
    </border>
    <border>
      <left/>
      <right/>
      <top style="hair">
        <color auto="1"/>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hair">
        <color auto="1"/>
      </left>
      <right/>
      <top style="thin">
        <color indexed="64"/>
      </top>
      <bottom style="hair">
        <color auto="1"/>
      </bottom>
      <diagonal/>
    </border>
    <border>
      <left/>
      <right style="hair">
        <color auto="1"/>
      </right>
      <top style="thin">
        <color indexed="64"/>
      </top>
      <bottom style="hair">
        <color auto="1"/>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style="hair">
        <color auto="1"/>
      </left>
      <right style="hair">
        <color auto="1"/>
      </right>
      <top/>
      <bottom style="hair">
        <color auto="1"/>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thin">
        <color indexed="64"/>
      </right>
      <top style="thin">
        <color indexed="64"/>
      </top>
      <bottom style="hair">
        <color auto="1"/>
      </bottom>
      <diagonal/>
    </border>
    <border>
      <left style="thin">
        <color indexed="64"/>
      </left>
      <right style="hair">
        <color auto="1"/>
      </right>
      <top/>
      <bottom style="hair">
        <color auto="1"/>
      </bottom>
      <diagonal/>
    </border>
    <border>
      <left style="hair">
        <color auto="1"/>
      </left>
      <right style="thin">
        <color indexed="64"/>
      </right>
      <top/>
      <bottom style="hair">
        <color auto="1"/>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hair">
        <color indexed="64"/>
      </bottom>
      <diagonal/>
    </border>
    <border>
      <left style="hair">
        <color indexed="64"/>
      </left>
      <right style="hair">
        <color indexed="64"/>
      </right>
      <top style="hair">
        <color indexed="64"/>
      </top>
      <bottom/>
      <diagonal/>
    </border>
    <border>
      <left style="hair">
        <color auto="1"/>
      </left>
      <right/>
      <top/>
      <bottom style="hair">
        <color auto="1"/>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top style="hair">
        <color auto="1"/>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hair">
        <color indexed="64"/>
      </left>
      <right style="thin">
        <color indexed="64"/>
      </right>
      <top style="hair">
        <color indexed="64"/>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right style="thin">
        <color indexed="64"/>
      </right>
      <top style="hair">
        <color auto="1"/>
      </top>
      <bottom/>
      <diagonal/>
    </border>
    <border>
      <left/>
      <right style="thin">
        <color indexed="64"/>
      </right>
      <top/>
      <bottom style="hair">
        <color auto="1"/>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auto="1"/>
      </left>
      <right/>
      <top style="hair">
        <color auto="1"/>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diagonal/>
    </border>
    <border>
      <left/>
      <right style="hair">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style="hair">
        <color indexed="64"/>
      </top>
      <bottom/>
      <diagonal/>
    </border>
    <border>
      <left style="thin">
        <color indexed="64"/>
      </left>
      <right style="thin">
        <color indexed="64"/>
      </right>
      <top style="thin">
        <color indexed="64"/>
      </top>
      <bottom style="hair">
        <color indexed="64"/>
      </bottom>
      <diagonal/>
    </border>
  </borders>
  <cellStyleXfs count="3">
    <xf numFmtId="0" fontId="0" fillId="0" borderId="0"/>
    <xf numFmtId="43" fontId="5" fillId="0" borderId="0" applyFont="0" applyFill="0" applyBorder="0" applyAlignment="0" applyProtection="0"/>
    <xf numFmtId="3" fontId="1" fillId="0" borderId="0"/>
  </cellStyleXfs>
  <cellXfs count="1216">
    <xf numFmtId="0" fontId="0" fillId="0" borderId="0" xfId="0"/>
    <xf numFmtId="0" fontId="2" fillId="0" borderId="0" xfId="0" applyFont="1" applyAlignment="1">
      <alignment vertical="top"/>
    </xf>
    <xf numFmtId="0" fontId="0" fillId="0" borderId="0" xfId="0" applyAlignment="1">
      <alignment horizontal="center" vertical="top"/>
    </xf>
    <xf numFmtId="0" fontId="0" fillId="0" borderId="0" xfId="0" applyAlignment="1">
      <alignment vertical="top"/>
    </xf>
    <xf numFmtId="0" fontId="3" fillId="0" borderId="0" xfId="0" applyFont="1"/>
    <xf numFmtId="0" fontId="4" fillId="0" borderId="0" xfId="0" applyFont="1"/>
    <xf numFmtId="0" fontId="6" fillId="0" borderId="0" xfId="0" applyFont="1" applyAlignment="1">
      <alignment horizontal="center" vertical="top"/>
    </xf>
    <xf numFmtId="3" fontId="7" fillId="0" borderId="0" xfId="2" applyFont="1" applyFill="1" applyBorder="1"/>
    <xf numFmtId="3" fontId="7" fillId="0" borderId="0" xfId="2" applyFont="1" applyFill="1" applyBorder="1" applyAlignment="1">
      <alignment horizontal="center"/>
    </xf>
    <xf numFmtId="49" fontId="7" fillId="2" borderId="1" xfId="2" applyNumberFormat="1" applyFont="1" applyFill="1" applyBorder="1" applyAlignment="1">
      <alignment horizontal="center"/>
    </xf>
    <xf numFmtId="49" fontId="7" fillId="0" borderId="0" xfId="2" applyNumberFormat="1" applyFont="1" applyFill="1" applyBorder="1" applyAlignment="1">
      <alignment horizontal="center"/>
    </xf>
    <xf numFmtId="3" fontId="8" fillId="3" borderId="1" xfId="2" applyFont="1" applyFill="1" applyBorder="1" applyAlignment="1">
      <alignment horizontal="center"/>
    </xf>
    <xf numFmtId="49" fontId="8" fillId="3" borderId="1" xfId="2" applyNumberFormat="1" applyFont="1" applyFill="1" applyBorder="1" applyAlignment="1">
      <alignment horizontal="center"/>
    </xf>
    <xf numFmtId="3" fontId="8" fillId="3" borderId="1" xfId="2" applyNumberFormat="1" applyFont="1" applyFill="1" applyBorder="1"/>
    <xf numFmtId="4" fontId="7" fillId="3" borderId="1" xfId="2" applyNumberFormat="1" applyFont="1" applyFill="1" applyBorder="1"/>
    <xf numFmtId="3" fontId="8" fillId="0" borderId="1" xfId="2" applyFont="1" applyBorder="1" applyAlignment="1">
      <alignment horizontal="center"/>
    </xf>
    <xf numFmtId="49" fontId="8" fillId="0" borderId="1" xfId="2" applyNumberFormat="1" applyFont="1" applyFill="1" applyBorder="1" applyAlignment="1">
      <alignment horizontal="center"/>
    </xf>
    <xf numFmtId="3" fontId="7" fillId="0" borderId="1" xfId="2" applyNumberFormat="1" applyFont="1" applyBorder="1" applyAlignment="1">
      <alignment horizontal="right"/>
    </xf>
    <xf numFmtId="4" fontId="7" fillId="0" borderId="1" xfId="2" applyNumberFormat="1" applyFont="1" applyFill="1" applyBorder="1"/>
    <xf numFmtId="3" fontId="7" fillId="0" borderId="1" xfId="2" applyNumberFormat="1" applyFont="1" applyBorder="1"/>
    <xf numFmtId="3" fontId="9" fillId="0" borderId="1" xfId="2" applyFont="1" applyBorder="1" applyAlignment="1">
      <alignment horizontal="center"/>
    </xf>
    <xf numFmtId="3" fontId="8" fillId="0" borderId="1" xfId="2" applyFont="1" applyBorder="1" applyAlignment="1">
      <alignment horizontal="left"/>
    </xf>
    <xf numFmtId="3" fontId="9" fillId="0" borderId="1" xfId="2" applyFont="1" applyBorder="1" applyAlignment="1">
      <alignment horizontal="left"/>
    </xf>
    <xf numFmtId="3" fontId="7" fillId="3" borderId="1" xfId="2" applyNumberFormat="1" applyFont="1" applyFill="1" applyBorder="1" applyAlignment="1">
      <alignment horizontal="right"/>
    </xf>
    <xf numFmtId="3" fontId="8" fillId="3" borderId="1" xfId="2" applyNumberFormat="1" applyFont="1" applyFill="1" applyBorder="1" applyAlignment="1">
      <alignment horizontal="right"/>
    </xf>
    <xf numFmtId="3" fontId="7" fillId="0" borderId="1" xfId="2" applyNumberFormat="1" applyFont="1" applyFill="1" applyBorder="1"/>
    <xf numFmtId="3" fontId="7" fillId="0" borderId="1" xfId="2" applyNumberFormat="1" applyFont="1" applyFill="1" applyBorder="1" applyAlignment="1">
      <alignment horizontal="right"/>
    </xf>
    <xf numFmtId="3" fontId="7" fillId="0" borderId="1" xfId="2" applyNumberFormat="1" applyFont="1" applyBorder="1" applyAlignment="1"/>
    <xf numFmtId="3" fontId="7" fillId="0" borderId="0" xfId="2" applyFont="1" applyFill="1" applyBorder="1" applyAlignment="1"/>
    <xf numFmtId="4" fontId="10" fillId="0" borderId="1" xfId="2" applyNumberFormat="1" applyFont="1" applyFill="1" applyBorder="1"/>
    <xf numFmtId="3" fontId="10" fillId="0" borderId="0" xfId="2" applyFont="1" applyFill="1" applyBorder="1"/>
    <xf numFmtId="4" fontId="10" fillId="0" borderId="0" xfId="2" applyNumberFormat="1" applyFont="1" applyFill="1" applyBorder="1"/>
    <xf numFmtId="3" fontId="7" fillId="0" borderId="1" xfId="0" applyNumberFormat="1" applyFont="1" applyBorder="1" applyAlignment="1">
      <alignment horizontal="right" vertical="top"/>
    </xf>
    <xf numFmtId="3" fontId="7" fillId="0" borderId="1" xfId="0" applyNumberFormat="1" applyFont="1" applyBorder="1" applyAlignment="1">
      <alignment vertical="top"/>
    </xf>
    <xf numFmtId="0" fontId="7" fillId="0" borderId="0" xfId="0" applyFont="1" applyAlignment="1">
      <alignment vertical="top"/>
    </xf>
    <xf numFmtId="3" fontId="8" fillId="3" borderId="1" xfId="2" applyFont="1" applyFill="1" applyBorder="1" applyAlignment="1">
      <alignment horizontal="left"/>
    </xf>
    <xf numFmtId="4" fontId="10" fillId="3" borderId="1" xfId="2" applyNumberFormat="1" applyFont="1" applyFill="1" applyBorder="1"/>
    <xf numFmtId="3" fontId="11" fillId="0" borderId="1" xfId="2" applyFont="1" applyBorder="1" applyAlignment="1">
      <alignment horizontal="center"/>
    </xf>
    <xf numFmtId="49" fontId="11" fillId="0" borderId="1" xfId="2" applyNumberFormat="1" applyFont="1" applyBorder="1" applyAlignment="1">
      <alignment horizontal="center"/>
    </xf>
    <xf numFmtId="3" fontId="11" fillId="4" borderId="1" xfId="2" applyNumberFormat="1" applyFont="1" applyFill="1" applyBorder="1" applyAlignment="1"/>
    <xf numFmtId="4" fontId="11" fillId="0" borderId="1" xfId="2" applyNumberFormat="1" applyFont="1" applyBorder="1" applyAlignment="1">
      <alignment horizontal="center"/>
    </xf>
    <xf numFmtId="43" fontId="2" fillId="0" borderId="1" xfId="1" applyNumberFormat="1" applyFont="1" applyBorder="1" applyAlignment="1">
      <alignment horizontal="right" vertical="top"/>
    </xf>
    <xf numFmtId="3" fontId="8" fillId="0" borderId="1" xfId="2" applyNumberFormat="1" applyFont="1" applyBorder="1"/>
    <xf numFmtId="3" fontId="9" fillId="0" borderId="1" xfId="2" applyNumberFormat="1" applyFont="1" applyBorder="1" applyAlignment="1">
      <alignment horizontal="right"/>
    </xf>
    <xf numFmtId="3" fontId="8" fillId="0" borderId="1" xfId="2" applyNumberFormat="1" applyFont="1" applyBorder="1" applyAlignment="1">
      <alignment horizontal="right"/>
    </xf>
    <xf numFmtId="3" fontId="8" fillId="0" borderId="1" xfId="2" applyNumberFormat="1" applyFont="1" applyBorder="1" applyAlignment="1"/>
    <xf numFmtId="3" fontId="10" fillId="0" borderId="1" xfId="2" applyNumberFormat="1" applyFont="1" applyFill="1" applyBorder="1" applyAlignment="1">
      <alignment horizontal="center"/>
    </xf>
    <xf numFmtId="3" fontId="8" fillId="0" borderId="1" xfId="2" applyNumberFormat="1" applyFont="1" applyFill="1" applyBorder="1"/>
    <xf numFmtId="3" fontId="12" fillId="0" borderId="1" xfId="0" applyNumberFormat="1" applyFont="1" applyBorder="1" applyAlignment="1">
      <alignment vertical="top"/>
    </xf>
    <xf numFmtId="3" fontId="11" fillId="4" borderId="1" xfId="2" applyNumberFormat="1" applyFont="1" applyFill="1" applyBorder="1" applyAlignment="1">
      <alignment horizontal="right"/>
    </xf>
    <xf numFmtId="3" fontId="10" fillId="0" borderId="1" xfId="0" applyNumberFormat="1" applyFont="1" applyBorder="1" applyAlignment="1">
      <alignment vertical="top"/>
    </xf>
    <xf numFmtId="3" fontId="11" fillId="4" borderId="1" xfId="2" applyNumberFormat="1" applyFont="1" applyFill="1" applyBorder="1" applyAlignment="1">
      <alignment horizontal="center"/>
    </xf>
    <xf numFmtId="3" fontId="8" fillId="3" borderId="1" xfId="2" applyNumberFormat="1" applyFont="1" applyFill="1" applyBorder="1" applyProtection="1">
      <protection locked="0"/>
    </xf>
    <xf numFmtId="4" fontId="7" fillId="3" borderId="1" xfId="2" applyNumberFormat="1" applyFont="1" applyFill="1" applyBorder="1" applyProtection="1">
      <protection locked="0"/>
    </xf>
    <xf numFmtId="3" fontId="8" fillId="3" borderId="1" xfId="2" applyNumberFormat="1" applyFont="1" applyFill="1" applyBorder="1" applyProtection="1"/>
    <xf numFmtId="3" fontId="7" fillId="0" borderId="1" xfId="2" applyNumberFormat="1" applyFont="1" applyBorder="1" applyAlignment="1" applyProtection="1">
      <alignment horizontal="right"/>
      <protection locked="0"/>
    </xf>
    <xf numFmtId="4" fontId="7" fillId="0" borderId="1" xfId="2" applyNumberFormat="1" applyFont="1" applyFill="1" applyBorder="1" applyProtection="1">
      <protection locked="0"/>
    </xf>
    <xf numFmtId="3" fontId="7" fillId="0" borderId="1" xfId="2" applyNumberFormat="1" applyFont="1" applyBorder="1" applyAlignment="1" applyProtection="1">
      <alignment horizontal="right"/>
    </xf>
    <xf numFmtId="3" fontId="8" fillId="0" borderId="1" xfId="2" applyNumberFormat="1" applyFont="1" applyBorder="1" applyProtection="1"/>
    <xf numFmtId="3" fontId="7" fillId="0" borderId="1" xfId="2" applyNumberFormat="1" applyFont="1" applyBorder="1" applyProtection="1">
      <protection locked="0"/>
    </xf>
    <xf numFmtId="3" fontId="7" fillId="0" borderId="1" xfId="2" applyNumberFormat="1" applyFont="1" applyBorder="1" applyProtection="1"/>
    <xf numFmtId="3" fontId="7" fillId="0" borderId="2" xfId="2" applyNumberFormat="1" applyFont="1" applyBorder="1" applyProtection="1"/>
    <xf numFmtId="3" fontId="9" fillId="0" borderId="1" xfId="2" applyNumberFormat="1" applyFont="1" applyBorder="1" applyAlignment="1" applyProtection="1">
      <alignment horizontal="right"/>
    </xf>
    <xf numFmtId="3" fontId="7" fillId="0" borderId="3" xfId="2" applyNumberFormat="1" applyFont="1" applyBorder="1" applyAlignment="1" applyProtection="1">
      <alignment horizontal="right"/>
    </xf>
    <xf numFmtId="3" fontId="7" fillId="0" borderId="4" xfId="2" applyNumberFormat="1" applyFont="1" applyBorder="1" applyAlignment="1" applyProtection="1">
      <alignment horizontal="right"/>
    </xf>
    <xf numFmtId="3" fontId="7" fillId="3" borderId="1" xfId="2" applyNumberFormat="1" applyFont="1" applyFill="1" applyBorder="1" applyAlignment="1" applyProtection="1">
      <alignment horizontal="right"/>
      <protection locked="0"/>
    </xf>
    <xf numFmtId="3" fontId="7" fillId="3" borderId="1" xfId="2" applyNumberFormat="1" applyFont="1" applyFill="1" applyBorder="1" applyAlignment="1" applyProtection="1">
      <alignment horizontal="right"/>
    </xf>
    <xf numFmtId="3" fontId="8" fillId="3" borderId="1" xfId="2" applyNumberFormat="1" applyFont="1" applyFill="1" applyBorder="1" applyAlignment="1" applyProtection="1">
      <alignment horizontal="right"/>
    </xf>
    <xf numFmtId="3" fontId="8" fillId="0" borderId="1" xfId="2" applyNumberFormat="1" applyFont="1" applyBorder="1" applyAlignment="1" applyProtection="1">
      <alignment horizontal="right"/>
    </xf>
    <xf numFmtId="3" fontId="7" fillId="0" borderId="1" xfId="2" applyNumberFormat="1" applyFont="1" applyFill="1" applyBorder="1" applyProtection="1">
      <protection locked="0"/>
    </xf>
    <xf numFmtId="3" fontId="7" fillId="0" borderId="5" xfId="2" applyNumberFormat="1" applyFont="1" applyFill="1" applyBorder="1" applyProtection="1"/>
    <xf numFmtId="3" fontId="7" fillId="0" borderId="1" xfId="2" applyNumberFormat="1" applyFont="1" applyFill="1" applyBorder="1" applyProtection="1"/>
    <xf numFmtId="3" fontId="7" fillId="0" borderId="6" xfId="2" applyNumberFormat="1" applyFont="1" applyBorder="1" applyAlignment="1" applyProtection="1">
      <alignment horizontal="right"/>
    </xf>
    <xf numFmtId="3" fontId="7" fillId="0" borderId="7" xfId="2" applyNumberFormat="1" applyFont="1" applyBorder="1" applyAlignment="1" applyProtection="1">
      <alignment horizontal="right"/>
    </xf>
    <xf numFmtId="3" fontId="7" fillId="0" borderId="8" xfId="2" applyNumberFormat="1" applyFont="1" applyBorder="1" applyAlignment="1" applyProtection="1">
      <alignment horizontal="right"/>
    </xf>
    <xf numFmtId="3" fontId="8" fillId="0" borderId="1" xfId="2" applyNumberFormat="1" applyFont="1" applyBorder="1" applyAlignment="1" applyProtection="1"/>
    <xf numFmtId="3" fontId="7" fillId="0" borderId="1" xfId="2" applyNumberFormat="1" applyFont="1" applyBorder="1" applyAlignment="1" applyProtection="1"/>
    <xf numFmtId="3" fontId="7" fillId="0" borderId="1" xfId="2" applyNumberFormat="1" applyFont="1" applyBorder="1" applyAlignment="1" applyProtection="1">
      <protection locked="0"/>
    </xf>
    <xf numFmtId="3" fontId="7" fillId="0" borderId="6" xfId="2" applyNumberFormat="1" applyFont="1" applyBorder="1" applyAlignment="1" applyProtection="1"/>
    <xf numFmtId="3" fontId="7" fillId="0" borderId="8" xfId="2" applyNumberFormat="1" applyFont="1" applyFill="1" applyBorder="1" applyProtection="1"/>
    <xf numFmtId="3" fontId="7" fillId="0" borderId="1" xfId="2" applyNumberFormat="1" applyFont="1" applyFill="1" applyBorder="1" applyAlignment="1" applyProtection="1">
      <alignment horizontal="right"/>
      <protection locked="0"/>
    </xf>
    <xf numFmtId="3" fontId="7" fillId="0" borderId="3" xfId="2" applyNumberFormat="1" applyFont="1" applyFill="1" applyBorder="1" applyAlignment="1" applyProtection="1">
      <alignment horizontal="right"/>
    </xf>
    <xf numFmtId="3" fontId="7" fillId="0" borderId="1" xfId="2" applyNumberFormat="1" applyFont="1" applyFill="1" applyBorder="1" applyAlignment="1" applyProtection="1">
      <alignment horizontal="right"/>
    </xf>
    <xf numFmtId="3" fontId="7" fillId="0" borderId="7" xfId="2" applyNumberFormat="1" applyFont="1" applyFill="1" applyBorder="1" applyAlignment="1" applyProtection="1">
      <alignment horizontal="right"/>
    </xf>
    <xf numFmtId="3" fontId="7" fillId="0" borderId="6" xfId="2" applyNumberFormat="1" applyFont="1" applyFill="1" applyBorder="1" applyAlignment="1" applyProtection="1">
      <alignment horizontal="right"/>
    </xf>
    <xf numFmtId="3" fontId="7" fillId="0" borderId="8" xfId="2" applyNumberFormat="1" applyFont="1" applyFill="1" applyBorder="1" applyAlignment="1" applyProtection="1">
      <alignment horizontal="right"/>
    </xf>
    <xf numFmtId="3" fontId="7" fillId="0" borderId="1" xfId="0" applyNumberFormat="1" applyFont="1" applyBorder="1" applyAlignment="1" applyProtection="1">
      <alignment horizontal="right" vertical="top"/>
      <protection locked="0"/>
    </xf>
    <xf numFmtId="3" fontId="7" fillId="0" borderId="1" xfId="0" applyNumberFormat="1" applyFont="1" applyBorder="1" applyAlignment="1" applyProtection="1">
      <alignment horizontal="right" vertical="top"/>
    </xf>
    <xf numFmtId="3" fontId="7" fillId="0" borderId="1" xfId="0" applyNumberFormat="1" applyFont="1" applyBorder="1" applyAlignment="1" applyProtection="1">
      <alignment vertical="top"/>
    </xf>
    <xf numFmtId="3" fontId="8" fillId="0" borderId="1" xfId="2" applyNumberFormat="1" applyFont="1" applyFill="1" applyBorder="1" applyProtection="1"/>
    <xf numFmtId="3" fontId="7" fillId="0" borderId="1" xfId="0" applyNumberFormat="1" applyFont="1" applyBorder="1" applyAlignment="1" applyProtection="1">
      <alignment vertical="top"/>
      <protection locked="0"/>
    </xf>
    <xf numFmtId="3" fontId="7" fillId="0" borderId="9" xfId="0" applyNumberFormat="1" applyFont="1" applyBorder="1" applyAlignment="1" applyProtection="1">
      <alignment vertical="top"/>
    </xf>
    <xf numFmtId="3" fontId="7" fillId="0" borderId="10" xfId="0" applyNumberFormat="1" applyFont="1" applyBorder="1" applyAlignment="1" applyProtection="1">
      <alignment vertical="top"/>
    </xf>
    <xf numFmtId="4" fontId="10" fillId="0" borderId="1" xfId="2" applyNumberFormat="1" applyFont="1" applyFill="1" applyBorder="1" applyProtection="1">
      <protection locked="0"/>
    </xf>
    <xf numFmtId="3" fontId="12" fillId="0" borderId="1" xfId="0" applyNumberFormat="1" applyFont="1" applyBorder="1" applyAlignment="1" applyProtection="1">
      <alignment vertical="top"/>
    </xf>
    <xf numFmtId="4" fontId="7" fillId="3" borderId="1" xfId="2" applyNumberFormat="1" applyFont="1" applyFill="1" applyBorder="1" applyAlignment="1">
      <alignment horizontal="right"/>
    </xf>
    <xf numFmtId="3" fontId="12" fillId="0" borderId="9" xfId="0" applyNumberFormat="1" applyFont="1" applyBorder="1" applyAlignment="1" applyProtection="1">
      <alignment vertical="top"/>
    </xf>
    <xf numFmtId="0" fontId="0" fillId="0" borderId="0" xfId="0" applyAlignment="1">
      <alignment horizontal="center" vertical="top"/>
    </xf>
    <xf numFmtId="4" fontId="7" fillId="4" borderId="1" xfId="2" applyNumberFormat="1" applyFont="1" applyFill="1" applyBorder="1"/>
    <xf numFmtId="3" fontId="8" fillId="5" borderId="1" xfId="2" applyFont="1" applyFill="1" applyBorder="1" applyAlignment="1">
      <alignment horizontal="center"/>
    </xf>
    <xf numFmtId="3" fontId="8" fillId="5" borderId="1" xfId="2" applyFont="1" applyFill="1" applyBorder="1" applyAlignment="1">
      <alignment horizontal="left"/>
    </xf>
    <xf numFmtId="49" fontId="8" fillId="5" borderId="1" xfId="2" applyNumberFormat="1" applyFont="1" applyFill="1" applyBorder="1" applyAlignment="1">
      <alignment horizontal="center"/>
    </xf>
    <xf numFmtId="3" fontId="7" fillId="5" borderId="1" xfId="2" applyNumberFormat="1" applyFont="1" applyFill="1" applyBorder="1" applyAlignment="1">
      <alignment horizontal="right"/>
    </xf>
    <xf numFmtId="4" fontId="7" fillId="5" borderId="1" xfId="2" applyNumberFormat="1" applyFont="1" applyFill="1" applyBorder="1"/>
    <xf numFmtId="3" fontId="8" fillId="5" borderId="1" xfId="2" applyNumberFormat="1" applyFont="1" applyFill="1" applyBorder="1" applyAlignment="1">
      <alignment horizontal="right"/>
    </xf>
    <xf numFmtId="3" fontId="8" fillId="5" borderId="1" xfId="2" applyNumberFormat="1" applyFont="1" applyFill="1" applyBorder="1" applyAlignment="1"/>
    <xf numFmtId="3" fontId="7" fillId="5" borderId="1" xfId="2" applyNumberFormat="1" applyFont="1" applyFill="1" applyBorder="1" applyAlignment="1"/>
    <xf numFmtId="4" fontId="10" fillId="5" borderId="1" xfId="2" applyNumberFormat="1" applyFont="1" applyFill="1" applyBorder="1"/>
    <xf numFmtId="3" fontId="7" fillId="5" borderId="1" xfId="2" applyNumberFormat="1" applyFont="1" applyFill="1" applyBorder="1" applyAlignment="1">
      <alignment horizontal="center"/>
    </xf>
    <xf numFmtId="3" fontId="10" fillId="5" borderId="1" xfId="2" applyNumberFormat="1" applyFont="1" applyFill="1" applyBorder="1" applyAlignment="1">
      <alignment horizontal="center"/>
    </xf>
    <xf numFmtId="3" fontId="8" fillId="3" borderId="11" xfId="2" applyNumberFormat="1" applyFont="1" applyFill="1" applyBorder="1"/>
    <xf numFmtId="3" fontId="8" fillId="3" borderId="12" xfId="2" applyNumberFormat="1" applyFont="1" applyFill="1" applyBorder="1"/>
    <xf numFmtId="3" fontId="8" fillId="3" borderId="13" xfId="2" applyNumberFormat="1" applyFont="1" applyFill="1" applyBorder="1"/>
    <xf numFmtId="3" fontId="7" fillId="0" borderId="11" xfId="2" applyNumberFormat="1" applyFont="1" applyBorder="1" applyAlignment="1">
      <alignment horizontal="right"/>
    </xf>
    <xf numFmtId="3" fontId="8" fillId="0" borderId="12" xfId="2" applyNumberFormat="1" applyFont="1" applyBorder="1"/>
    <xf numFmtId="3" fontId="7" fillId="0" borderId="11" xfId="2" applyNumberFormat="1" applyFont="1" applyBorder="1"/>
    <xf numFmtId="3" fontId="7" fillId="0" borderId="13" xfId="2" applyNumberFormat="1" applyFont="1" applyBorder="1"/>
    <xf numFmtId="3" fontId="9" fillId="0" borderId="12" xfId="2" applyNumberFormat="1" applyFont="1" applyBorder="1" applyAlignment="1">
      <alignment horizontal="right"/>
    </xf>
    <xf numFmtId="3" fontId="7" fillId="0" borderId="13" xfId="2" applyNumberFormat="1" applyFont="1" applyBorder="1" applyAlignment="1">
      <alignment horizontal="right"/>
    </xf>
    <xf numFmtId="3" fontId="7" fillId="3" borderId="11" xfId="2" applyNumberFormat="1" applyFont="1" applyFill="1" applyBorder="1" applyAlignment="1">
      <alignment horizontal="right"/>
    </xf>
    <xf numFmtId="3" fontId="8" fillId="3" borderId="12" xfId="2" applyNumberFormat="1" applyFont="1" applyFill="1" applyBorder="1" applyAlignment="1">
      <alignment horizontal="right"/>
    </xf>
    <xf numFmtId="3" fontId="7" fillId="3" borderId="13" xfId="2" applyNumberFormat="1" applyFont="1" applyFill="1" applyBorder="1" applyAlignment="1">
      <alignment horizontal="right"/>
    </xf>
    <xf numFmtId="3" fontId="8" fillId="0" borderId="12" xfId="2" applyNumberFormat="1" applyFont="1" applyBorder="1" applyAlignment="1">
      <alignment horizontal="right"/>
    </xf>
    <xf numFmtId="3" fontId="7" fillId="0" borderId="11" xfId="2" applyNumberFormat="1" applyFont="1" applyFill="1" applyBorder="1" applyAlignment="1">
      <alignment horizontal="right"/>
    </xf>
    <xf numFmtId="3" fontId="7" fillId="0" borderId="13" xfId="2" applyNumberFormat="1" applyFont="1" applyFill="1" applyBorder="1"/>
    <xf numFmtId="3" fontId="7" fillId="0" borderId="11" xfId="2" applyNumberFormat="1" applyFont="1" applyFill="1" applyBorder="1"/>
    <xf numFmtId="3" fontId="8" fillId="0" borderId="12" xfId="2" applyNumberFormat="1" applyFont="1" applyBorder="1" applyAlignment="1"/>
    <xf numFmtId="3" fontId="7" fillId="0" borderId="13" xfId="2" applyNumberFormat="1" applyFont="1" applyBorder="1" applyAlignment="1"/>
    <xf numFmtId="3" fontId="7" fillId="0" borderId="13" xfId="2" applyNumberFormat="1" applyFont="1" applyFill="1" applyBorder="1" applyAlignment="1">
      <alignment horizontal="right"/>
    </xf>
    <xf numFmtId="3" fontId="7" fillId="0" borderId="11" xfId="0" applyNumberFormat="1" applyFont="1" applyBorder="1" applyAlignment="1">
      <alignment horizontal="right" vertical="top"/>
    </xf>
    <xf numFmtId="3" fontId="7" fillId="0" borderId="13" xfId="0" applyNumberFormat="1" applyFont="1" applyBorder="1" applyAlignment="1">
      <alignment horizontal="right" vertical="top"/>
    </xf>
    <xf numFmtId="3" fontId="8" fillId="0" borderId="12" xfId="2" applyNumberFormat="1" applyFont="1" applyFill="1" applyBorder="1"/>
    <xf numFmtId="3" fontId="7" fillId="0" borderId="11" xfId="0" applyNumberFormat="1" applyFont="1" applyBorder="1" applyAlignment="1">
      <alignment vertical="top"/>
    </xf>
    <xf numFmtId="3" fontId="7" fillId="0" borderId="13" xfId="0" applyNumberFormat="1" applyFont="1" applyBorder="1" applyAlignment="1">
      <alignment vertical="top"/>
    </xf>
    <xf numFmtId="3" fontId="12" fillId="0" borderId="11" xfId="0" applyNumberFormat="1" applyFont="1" applyBorder="1" applyAlignment="1">
      <alignment vertical="top"/>
    </xf>
    <xf numFmtId="3" fontId="11" fillId="0" borderId="12" xfId="2" applyNumberFormat="1" applyFont="1" applyFill="1" applyBorder="1" applyAlignment="1"/>
    <xf numFmtId="3" fontId="11" fillId="4" borderId="11" xfId="2" applyNumberFormat="1" applyFont="1" applyFill="1" applyBorder="1" applyAlignment="1"/>
    <xf numFmtId="3" fontId="11" fillId="4" borderId="13" xfId="2" applyNumberFormat="1" applyFont="1" applyFill="1" applyBorder="1" applyAlignment="1"/>
    <xf numFmtId="3" fontId="11" fillId="0" borderId="13" xfId="2" applyNumberFormat="1" applyFont="1" applyFill="1" applyBorder="1" applyAlignment="1"/>
    <xf numFmtId="3" fontId="11" fillId="4" borderId="12" xfId="2" applyNumberFormat="1" applyFont="1" applyFill="1" applyBorder="1" applyAlignment="1"/>
    <xf numFmtId="3" fontId="7" fillId="0" borderId="1" xfId="2" applyNumberFormat="1" applyFont="1" applyFill="1" applyBorder="1" applyAlignment="1">
      <alignment horizontal="center"/>
    </xf>
    <xf numFmtId="3" fontId="13" fillId="4" borderId="1" xfId="2" applyNumberFormat="1" applyFont="1" applyFill="1" applyBorder="1" applyAlignment="1">
      <alignment horizontal="center" vertical="center"/>
    </xf>
    <xf numFmtId="0" fontId="0" fillId="0" borderId="0" xfId="0" applyFill="1" applyAlignment="1">
      <alignment vertical="top"/>
    </xf>
    <xf numFmtId="3" fontId="11" fillId="0" borderId="1" xfId="2" applyNumberFormat="1" applyFont="1" applyFill="1" applyBorder="1" applyAlignment="1"/>
    <xf numFmtId="4" fontId="12" fillId="0" borderId="1" xfId="0" applyNumberFormat="1" applyFont="1" applyBorder="1" applyAlignment="1">
      <alignment vertical="top"/>
    </xf>
    <xf numFmtId="4" fontId="11" fillId="4" borderId="1" xfId="2" applyNumberFormat="1" applyFont="1" applyFill="1" applyBorder="1" applyAlignment="1"/>
    <xf numFmtId="49" fontId="7" fillId="6" borderId="1" xfId="2" applyNumberFormat="1" applyFont="1" applyFill="1" applyBorder="1" applyAlignment="1">
      <alignment horizontal="center"/>
    </xf>
    <xf numFmtId="3" fontId="8" fillId="7" borderId="1" xfId="2" applyFont="1" applyFill="1" applyBorder="1" applyAlignment="1">
      <alignment horizontal="center"/>
    </xf>
    <xf numFmtId="49" fontId="8" fillId="7" borderId="1" xfId="2" applyNumberFormat="1" applyFont="1" applyFill="1" applyBorder="1" applyAlignment="1">
      <alignment horizontal="center"/>
    </xf>
    <xf numFmtId="3" fontId="8" fillId="7" borderId="1" xfId="2" applyNumberFormat="1" applyFont="1" applyFill="1" applyBorder="1"/>
    <xf numFmtId="4" fontId="7" fillId="7" borderId="1" xfId="2" applyNumberFormat="1" applyFont="1" applyFill="1" applyBorder="1"/>
    <xf numFmtId="3" fontId="7" fillId="7" borderId="1" xfId="2" applyNumberFormat="1" applyFont="1" applyFill="1" applyBorder="1" applyAlignment="1">
      <alignment horizontal="right"/>
    </xf>
    <xf numFmtId="3" fontId="8" fillId="7" borderId="1" xfId="2" applyNumberFormat="1" applyFont="1" applyFill="1" applyBorder="1" applyAlignment="1">
      <alignment horizontal="right"/>
    </xf>
    <xf numFmtId="3" fontId="8" fillId="7" borderId="1" xfId="2" applyFont="1" applyFill="1" applyBorder="1" applyAlignment="1">
      <alignment horizontal="left"/>
    </xf>
    <xf numFmtId="4" fontId="10" fillId="7" borderId="1" xfId="2" applyNumberFormat="1" applyFont="1" applyFill="1" applyBorder="1"/>
    <xf numFmtId="3" fontId="11" fillId="8" borderId="1" xfId="2" applyNumberFormat="1" applyFont="1" applyFill="1" applyBorder="1" applyAlignment="1">
      <alignment horizontal="right"/>
    </xf>
    <xf numFmtId="3" fontId="11" fillId="8" borderId="1" xfId="2" applyNumberFormat="1" applyFont="1" applyFill="1" applyBorder="1" applyAlignment="1"/>
    <xf numFmtId="3" fontId="16" fillId="8" borderId="1" xfId="2" applyNumberFormat="1" applyFont="1" applyFill="1" applyBorder="1" applyAlignment="1">
      <alignment horizontal="right"/>
    </xf>
    <xf numFmtId="3" fontId="11" fillId="8" borderId="1" xfId="2" applyNumberFormat="1" applyFont="1" applyFill="1" applyBorder="1" applyAlignment="1">
      <alignment horizontal="center"/>
    </xf>
    <xf numFmtId="3" fontId="7" fillId="0" borderId="14" xfId="2" applyNumberFormat="1" applyFont="1" applyBorder="1"/>
    <xf numFmtId="3" fontId="7" fillId="0" borderId="15" xfId="2" applyNumberFormat="1" applyFont="1" applyBorder="1" applyAlignment="1">
      <alignment horizontal="right"/>
    </xf>
    <xf numFmtId="3" fontId="7" fillId="0" borderId="4" xfId="2" applyNumberFormat="1" applyFont="1" applyBorder="1" applyAlignment="1">
      <alignment horizontal="right"/>
    </xf>
    <xf numFmtId="3" fontId="7" fillId="0" borderId="14" xfId="2" applyNumberFormat="1" applyFont="1" applyFill="1" applyBorder="1"/>
    <xf numFmtId="3" fontId="7" fillId="0" borderId="15" xfId="2" applyNumberFormat="1" applyFont="1" applyBorder="1" applyAlignment="1"/>
    <xf numFmtId="3" fontId="7" fillId="0" borderId="15" xfId="2" applyNumberFormat="1" applyFont="1" applyFill="1" applyBorder="1"/>
    <xf numFmtId="3" fontId="10" fillId="0" borderId="15" xfId="2" applyNumberFormat="1" applyFont="1" applyFill="1" applyBorder="1" applyAlignment="1">
      <alignment horizontal="center"/>
    </xf>
    <xf numFmtId="3" fontId="7" fillId="0" borderId="15" xfId="0" applyNumberFormat="1" applyFont="1" applyBorder="1" applyAlignment="1">
      <alignment vertical="top"/>
    </xf>
    <xf numFmtId="3" fontId="7" fillId="0" borderId="4" xfId="0" applyNumberFormat="1" applyFont="1" applyBorder="1" applyAlignment="1">
      <alignment vertical="top"/>
    </xf>
    <xf numFmtId="0" fontId="18" fillId="0" borderId="0" xfId="0" applyFont="1"/>
    <xf numFmtId="0" fontId="19" fillId="0" borderId="0" xfId="0" applyFont="1"/>
    <xf numFmtId="0" fontId="20" fillId="0" borderId="0" xfId="0" applyFont="1"/>
    <xf numFmtId="0" fontId="21" fillId="3" borderId="1" xfId="0" applyFont="1" applyFill="1" applyBorder="1" applyAlignment="1">
      <alignment horizontal="center"/>
    </xf>
    <xf numFmtId="0" fontId="21" fillId="0" borderId="0" xfId="0" applyFont="1" applyAlignment="1">
      <alignment horizontal="center"/>
    </xf>
    <xf numFmtId="4" fontId="22" fillId="2" borderId="19" xfId="0" applyNumberFormat="1" applyFont="1" applyFill="1" applyBorder="1" applyAlignment="1">
      <alignment vertical="top" wrapText="1"/>
    </xf>
    <xf numFmtId="0" fontId="22" fillId="0" borderId="0" xfId="0" applyFont="1"/>
    <xf numFmtId="4" fontId="22" fillId="2" borderId="27" xfId="0" applyNumberFormat="1" applyFont="1" applyFill="1" applyBorder="1" applyAlignment="1">
      <alignment vertical="top" wrapText="1"/>
    </xf>
    <xf numFmtId="4" fontId="20" fillId="0" borderId="0" xfId="0" applyNumberFormat="1" applyFont="1" applyAlignment="1"/>
    <xf numFmtId="0" fontId="26" fillId="0" borderId="0" xfId="0" applyFont="1"/>
    <xf numFmtId="0" fontId="22" fillId="3" borderId="31" xfId="0" applyFont="1" applyFill="1" applyBorder="1" applyAlignment="1">
      <alignment horizontal="center" vertical="center" wrapText="1"/>
    </xf>
    <xf numFmtId="0" fontId="22" fillId="3" borderId="32" xfId="0" applyFont="1" applyFill="1" applyBorder="1" applyAlignment="1">
      <alignment horizontal="center" vertical="center" wrapText="1"/>
    </xf>
    <xf numFmtId="0" fontId="22" fillId="3" borderId="33" xfId="0" applyFont="1" applyFill="1" applyBorder="1" applyAlignment="1">
      <alignment horizontal="center" vertical="center" wrapText="1"/>
    </xf>
    <xf numFmtId="0" fontId="27" fillId="0" borderId="0" xfId="0" applyFont="1"/>
    <xf numFmtId="0" fontId="28" fillId="0" borderId="34" xfId="0" applyFont="1" applyBorder="1" applyAlignment="1">
      <alignment vertical="center" wrapText="1"/>
    </xf>
    <xf numFmtId="4" fontId="29" fillId="0" borderId="34" xfId="0" applyNumberFormat="1" applyFont="1" applyBorder="1" applyAlignment="1">
      <alignment horizontal="center" vertical="center" wrapText="1"/>
    </xf>
    <xf numFmtId="4" fontId="29" fillId="0" borderId="35" xfId="0" applyNumberFormat="1" applyFont="1" applyBorder="1" applyAlignment="1">
      <alignment horizontal="center" vertical="center" wrapText="1"/>
    </xf>
    <xf numFmtId="4" fontId="30" fillId="0" borderId="36" xfId="0" applyNumberFormat="1" applyFont="1" applyBorder="1" applyAlignment="1">
      <alignment horizontal="center" vertical="center" wrapText="1"/>
    </xf>
    <xf numFmtId="0" fontId="28" fillId="4" borderId="38" xfId="0" applyFont="1" applyFill="1" applyBorder="1" applyAlignment="1">
      <alignment vertical="center" wrapText="1"/>
    </xf>
    <xf numFmtId="4" fontId="29" fillId="4" borderId="38" xfId="0" applyNumberFormat="1" applyFont="1" applyFill="1" applyBorder="1" applyAlignment="1">
      <alignment horizontal="center" vertical="center" wrapText="1"/>
    </xf>
    <xf numFmtId="4" fontId="29" fillId="4" borderId="19" xfId="0" applyNumberFormat="1" applyFont="1" applyFill="1" applyBorder="1" applyAlignment="1">
      <alignment horizontal="center" vertical="center" wrapText="1"/>
    </xf>
    <xf numFmtId="4" fontId="29" fillId="4" borderId="39" xfId="0" applyNumberFormat="1" applyFont="1" applyFill="1" applyBorder="1" applyAlignment="1">
      <alignment horizontal="center" vertical="center" wrapText="1"/>
    </xf>
    <xf numFmtId="0" fontId="28" fillId="0" borderId="38" xfId="0" applyFont="1" applyBorder="1" applyAlignment="1">
      <alignment vertical="center" wrapText="1"/>
    </xf>
    <xf numFmtId="4" fontId="29" fillId="0" borderId="38" xfId="0" applyNumberFormat="1" applyFont="1" applyBorder="1" applyAlignment="1">
      <alignment horizontal="center" vertical="center" wrapText="1"/>
    </xf>
    <xf numFmtId="4" fontId="29" fillId="0" borderId="19" xfId="0" applyNumberFormat="1" applyFont="1" applyBorder="1" applyAlignment="1">
      <alignment horizontal="center" vertical="center" wrapText="1"/>
    </xf>
    <xf numFmtId="4" fontId="29" fillId="0" borderId="39" xfId="0" applyNumberFormat="1" applyFont="1" applyBorder="1" applyAlignment="1">
      <alignment horizontal="center" vertical="center" wrapText="1"/>
    </xf>
    <xf numFmtId="0" fontId="28" fillId="0" borderId="40" xfId="0" applyFont="1" applyBorder="1" applyAlignment="1">
      <alignment vertical="center" wrapText="1"/>
    </xf>
    <xf numFmtId="4" fontId="29" fillId="0" borderId="40" xfId="0" applyNumberFormat="1" applyFont="1" applyBorder="1" applyAlignment="1">
      <alignment horizontal="center" vertical="center" wrapText="1"/>
    </xf>
    <xf numFmtId="4" fontId="29" fillId="0" borderId="41" xfId="0" applyNumberFormat="1" applyFont="1" applyBorder="1" applyAlignment="1">
      <alignment horizontal="center" vertical="center" wrapText="1"/>
    </xf>
    <xf numFmtId="4" fontId="29" fillId="0" borderId="42" xfId="0" applyNumberFormat="1" applyFont="1" applyBorder="1" applyAlignment="1">
      <alignment horizontal="center" vertical="center" wrapText="1"/>
    </xf>
    <xf numFmtId="0" fontId="28" fillId="2" borderId="44" xfId="0" applyFont="1" applyFill="1" applyBorder="1" applyAlignment="1">
      <alignment vertical="center" wrapText="1"/>
    </xf>
    <xf numFmtId="4" fontId="28" fillId="2" borderId="44" xfId="0" applyNumberFormat="1" applyFont="1" applyFill="1" applyBorder="1" applyAlignment="1">
      <alignment horizontal="center" vertical="center" wrapText="1"/>
    </xf>
    <xf numFmtId="4" fontId="28" fillId="2" borderId="45" xfId="0" applyNumberFormat="1" applyFont="1" applyFill="1" applyBorder="1" applyAlignment="1">
      <alignment horizontal="center" vertical="center" wrapText="1"/>
    </xf>
    <xf numFmtId="4" fontId="28" fillId="2" borderId="46" xfId="0" applyNumberFormat="1" applyFont="1" applyFill="1" applyBorder="1" applyAlignment="1">
      <alignment horizontal="center" vertical="center" wrapText="1"/>
    </xf>
    <xf numFmtId="0" fontId="21" fillId="11" borderId="16" xfId="0" applyFont="1" applyFill="1" applyBorder="1" applyAlignment="1">
      <alignment horizontal="center" vertical="center"/>
    </xf>
    <xf numFmtId="0" fontId="21" fillId="11" borderId="13" xfId="0" applyFont="1" applyFill="1" applyBorder="1" applyAlignment="1">
      <alignment horizontal="center" vertical="center"/>
    </xf>
    <xf numFmtId="0" fontId="20" fillId="0" borderId="0" xfId="0" applyFont="1" applyFill="1"/>
    <xf numFmtId="4" fontId="20" fillId="0" borderId="0" xfId="0" applyNumberFormat="1" applyFont="1" applyFill="1" applyAlignment="1"/>
    <xf numFmtId="4" fontId="21" fillId="3" borderId="1" xfId="0" applyNumberFormat="1" applyFont="1" applyFill="1" applyBorder="1" applyAlignment="1">
      <alignment horizontal="center"/>
    </xf>
    <xf numFmtId="0" fontId="25" fillId="0" borderId="5" xfId="0" applyFont="1" applyBorder="1" applyAlignment="1">
      <alignment horizontal="left" vertical="top"/>
    </xf>
    <xf numFmtId="4" fontId="20" fillId="0" borderId="14" xfId="0" applyNumberFormat="1" applyFont="1" applyBorder="1" applyAlignment="1">
      <alignment horizontal="right" vertical="top" wrapText="1"/>
    </xf>
    <xf numFmtId="0" fontId="20" fillId="0" borderId="14" xfId="0" applyNumberFormat="1" applyFont="1" applyBorder="1" applyAlignment="1">
      <alignment vertical="top" wrapText="1"/>
    </xf>
    <xf numFmtId="0" fontId="22" fillId="2" borderId="1" xfId="0" applyFont="1" applyFill="1" applyBorder="1"/>
    <xf numFmtId="4" fontId="22" fillId="2" borderId="1" xfId="0" applyNumberFormat="1" applyFont="1" applyFill="1" applyBorder="1"/>
    <xf numFmtId="4" fontId="20" fillId="0" borderId="0" xfId="0" applyNumberFormat="1" applyFont="1"/>
    <xf numFmtId="4" fontId="20" fillId="0" borderId="14" xfId="0" applyNumberFormat="1" applyFont="1" applyBorder="1" applyAlignment="1">
      <alignment vertical="top" wrapText="1"/>
    </xf>
    <xf numFmtId="4" fontId="22" fillId="2" borderId="1" xfId="0" applyNumberFormat="1" applyFont="1" applyFill="1" applyBorder="1" applyAlignment="1">
      <alignment vertical="top" wrapText="1"/>
    </xf>
    <xf numFmtId="0" fontId="22" fillId="3" borderId="1" xfId="0" applyFont="1" applyFill="1" applyBorder="1" applyAlignment="1">
      <alignment horizontal="center" vertical="center" wrapText="1"/>
    </xf>
    <xf numFmtId="0" fontId="33" fillId="0" borderId="0" xfId="0" applyFont="1"/>
    <xf numFmtId="49" fontId="34" fillId="0" borderId="6" xfId="0" applyNumberFormat="1" applyFont="1" applyBorder="1" applyAlignment="1">
      <alignment horizontal="center" vertical="center" wrapText="1"/>
    </xf>
    <xf numFmtId="2" fontId="34" fillId="0" borderId="53" xfId="0" applyNumberFormat="1" applyFont="1" applyBorder="1" applyAlignment="1">
      <alignment horizontal="center" vertical="center" wrapText="1"/>
    </xf>
    <xf numFmtId="4" fontId="34" fillId="0" borderId="6" xfId="0" applyNumberFormat="1" applyFont="1" applyBorder="1" applyAlignment="1">
      <alignment horizontal="center" vertical="center" wrapText="1"/>
    </xf>
    <xf numFmtId="14" fontId="34" fillId="0" borderId="6" xfId="0" applyNumberFormat="1" applyFont="1" applyBorder="1" applyAlignment="1">
      <alignment horizontal="center" vertical="center" wrapText="1"/>
    </xf>
    <xf numFmtId="14" fontId="34" fillId="0" borderId="52" xfId="0" applyNumberFormat="1" applyFont="1" applyBorder="1" applyAlignment="1">
      <alignment horizontal="center" vertical="center" wrapText="1"/>
    </xf>
    <xf numFmtId="49" fontId="34" fillId="0" borderId="54" xfId="0" applyNumberFormat="1" applyFont="1" applyBorder="1" applyAlignment="1">
      <alignment horizontal="center" vertical="center" wrapText="1"/>
    </xf>
    <xf numFmtId="2" fontId="34" fillId="0" borderId="0" xfId="0" applyNumberFormat="1" applyFont="1" applyBorder="1" applyAlignment="1">
      <alignment horizontal="center" vertical="center" wrapText="1"/>
    </xf>
    <xf numFmtId="4" fontId="34" fillId="0" borderId="54" xfId="0" applyNumberFormat="1" applyFont="1" applyBorder="1" applyAlignment="1">
      <alignment horizontal="center" vertical="center" wrapText="1"/>
    </xf>
    <xf numFmtId="14" fontId="34" fillId="0" borderId="54" xfId="0" applyNumberFormat="1" applyFont="1" applyBorder="1" applyAlignment="1">
      <alignment horizontal="center" vertical="center" wrapText="1"/>
    </xf>
    <xf numFmtId="14" fontId="34" fillId="0" borderId="21" xfId="0" applyNumberFormat="1" applyFont="1" applyBorder="1" applyAlignment="1">
      <alignment horizontal="center" vertical="center" wrapText="1"/>
    </xf>
    <xf numFmtId="49" fontId="34" fillId="0" borderId="7" xfId="0" applyNumberFormat="1" applyFont="1" applyBorder="1" applyAlignment="1">
      <alignment horizontal="center" vertical="center" wrapText="1"/>
    </xf>
    <xf numFmtId="2" fontId="34" fillId="0" borderId="29" xfId="0" applyNumberFormat="1" applyFont="1" applyBorder="1" applyAlignment="1">
      <alignment horizontal="center" vertical="center" wrapText="1"/>
    </xf>
    <xf numFmtId="4" fontId="34" fillId="0" borderId="7" xfId="0" applyNumberFormat="1" applyFont="1" applyBorder="1" applyAlignment="1">
      <alignment horizontal="center" vertical="center" wrapText="1"/>
    </xf>
    <xf numFmtId="14" fontId="34" fillId="0" borderId="7" xfId="0" applyNumberFormat="1" applyFont="1" applyBorder="1" applyAlignment="1">
      <alignment horizontal="center" vertical="center" wrapText="1"/>
    </xf>
    <xf numFmtId="14" fontId="34" fillId="0" borderId="30" xfId="0" applyNumberFormat="1" applyFont="1" applyBorder="1" applyAlignment="1">
      <alignment horizontal="center" vertical="center" wrapText="1"/>
    </xf>
    <xf numFmtId="0" fontId="34" fillId="0" borderId="29" xfId="0" applyNumberFormat="1" applyFont="1" applyBorder="1" applyAlignment="1">
      <alignment horizontal="center" vertical="center" wrapText="1"/>
    </xf>
    <xf numFmtId="0" fontId="22" fillId="11" borderId="1" xfId="0" applyFont="1" applyFill="1" applyBorder="1" applyAlignment="1">
      <alignment vertical="center" wrapText="1"/>
    </xf>
    <xf numFmtId="4" fontId="22" fillId="2" borderId="1" xfId="0" applyNumberFormat="1" applyFont="1" applyFill="1" applyBorder="1" applyAlignment="1">
      <alignment horizontal="right" vertical="center" wrapText="1"/>
    </xf>
    <xf numFmtId="0" fontId="20" fillId="0" borderId="0" xfId="0" applyFont="1" applyBorder="1" applyAlignment="1">
      <alignment horizontal="left" vertical="top" wrapText="1"/>
    </xf>
    <xf numFmtId="0" fontId="20" fillId="0" borderId="14" xfId="0" applyFont="1" applyBorder="1" applyAlignment="1">
      <alignment horizontal="center" vertical="top"/>
    </xf>
    <xf numFmtId="4" fontId="20" fillId="0" borderId="56" xfId="0" applyNumberFormat="1" applyFont="1" applyBorder="1" applyAlignment="1">
      <alignment horizontal="right" vertical="top"/>
    </xf>
    <xf numFmtId="14" fontId="24" fillId="0" borderId="56" xfId="0" applyNumberFormat="1" applyFont="1" applyBorder="1" applyAlignment="1">
      <alignment horizontal="center" vertical="top"/>
    </xf>
    <xf numFmtId="0" fontId="24" fillId="0" borderId="3" xfId="0" applyFont="1" applyBorder="1" applyAlignment="1">
      <alignment horizontal="center" vertical="top"/>
    </xf>
    <xf numFmtId="4" fontId="24" fillId="0" borderId="3" xfId="0" applyNumberFormat="1" applyFont="1" applyBorder="1" applyAlignment="1">
      <alignment horizontal="right" vertical="top"/>
    </xf>
    <xf numFmtId="0" fontId="24" fillId="0" borderId="9" xfId="0" applyFont="1" applyBorder="1" applyAlignment="1">
      <alignment horizontal="center" vertical="top"/>
    </xf>
    <xf numFmtId="4" fontId="24" fillId="0" borderId="9" xfId="0" applyNumberFormat="1" applyFont="1" applyBorder="1" applyAlignment="1">
      <alignment horizontal="right" vertical="top"/>
    </xf>
    <xf numFmtId="0" fontId="20" fillId="0" borderId="4" xfId="0" applyFont="1" applyBorder="1" applyAlignment="1">
      <alignment horizontal="center" vertical="top"/>
    </xf>
    <xf numFmtId="4" fontId="20" fillId="0" borderId="4" xfId="0" applyNumberFormat="1" applyFont="1" applyBorder="1" applyAlignment="1">
      <alignment horizontal="right" vertical="top"/>
    </xf>
    <xf numFmtId="0" fontId="25" fillId="0" borderId="4" xfId="0" applyFont="1" applyBorder="1" applyAlignment="1">
      <alignment horizontal="center" vertical="top"/>
    </xf>
    <xf numFmtId="0" fontId="37" fillId="0" borderId="0" xfId="0" applyFont="1"/>
    <xf numFmtId="0" fontId="25" fillId="0" borderId="56" xfId="0" applyFont="1" applyBorder="1" applyAlignment="1">
      <alignment horizontal="center" vertical="top"/>
    </xf>
    <xf numFmtId="49" fontId="34" fillId="0" borderId="52" xfId="0" applyNumberFormat="1" applyFont="1" applyBorder="1" applyAlignment="1">
      <alignment horizontal="center" vertical="center" wrapText="1"/>
    </xf>
    <xf numFmtId="49" fontId="34" fillId="0" borderId="21" xfId="0" applyNumberFormat="1" applyFont="1" applyBorder="1" applyAlignment="1">
      <alignment horizontal="center" vertical="center" wrapText="1"/>
    </xf>
    <xf numFmtId="49" fontId="34" fillId="0" borderId="30" xfId="0" applyNumberFormat="1" applyFont="1" applyBorder="1" applyAlignment="1">
      <alignment horizontal="center" vertical="center" wrapText="1"/>
    </xf>
    <xf numFmtId="0" fontId="24" fillId="0" borderId="5" xfId="0" applyFont="1" applyBorder="1" applyAlignment="1">
      <alignment horizontal="left" vertical="top"/>
    </xf>
    <xf numFmtId="43" fontId="34" fillId="0" borderId="53" xfId="1" applyFont="1" applyBorder="1" applyAlignment="1">
      <alignment horizontal="right" vertical="center" wrapText="1"/>
    </xf>
    <xf numFmtId="4" fontId="34" fillId="0" borderId="6" xfId="0" applyNumberFormat="1" applyFont="1" applyBorder="1" applyAlignment="1">
      <alignment horizontal="right" vertical="center" wrapText="1"/>
    </xf>
    <xf numFmtId="43" fontId="34" fillId="0" borderId="6" xfId="1" applyFont="1" applyBorder="1" applyAlignment="1">
      <alignment horizontal="right" vertical="center" wrapText="1"/>
    </xf>
    <xf numFmtId="0" fontId="22" fillId="3" borderId="1" xfId="0" applyFont="1" applyFill="1" applyBorder="1" applyAlignment="1">
      <alignment horizontal="center"/>
    </xf>
    <xf numFmtId="4" fontId="22" fillId="3" borderId="1" xfId="0" applyNumberFormat="1" applyFont="1" applyFill="1" applyBorder="1" applyAlignment="1">
      <alignment horizontal="center"/>
    </xf>
    <xf numFmtId="49" fontId="35" fillId="0" borderId="6" xfId="0" applyNumberFormat="1" applyFont="1" applyBorder="1" applyAlignment="1">
      <alignment horizontal="center" vertical="center" wrapText="1"/>
    </xf>
    <xf numFmtId="43" fontId="35" fillId="0" borderId="53" xfId="1" applyFont="1" applyBorder="1" applyAlignment="1">
      <alignment horizontal="center" vertical="center" wrapText="1"/>
    </xf>
    <xf numFmtId="4" fontId="35" fillId="0" borderId="6" xfId="0" applyNumberFormat="1" applyFont="1" applyBorder="1" applyAlignment="1">
      <alignment horizontal="center" vertical="center" wrapText="1"/>
    </xf>
    <xf numFmtId="14" fontId="35" fillId="0" borderId="6" xfId="0" applyNumberFormat="1" applyFont="1" applyBorder="1" applyAlignment="1">
      <alignment horizontal="center" vertical="center" wrapText="1"/>
    </xf>
    <xf numFmtId="14" fontId="35" fillId="0" borderId="52" xfId="0" applyNumberFormat="1" applyFont="1" applyBorder="1" applyAlignment="1">
      <alignment horizontal="center" vertical="center" wrapText="1"/>
    </xf>
    <xf numFmtId="49" fontId="35" fillId="0" borderId="7" xfId="0" applyNumberFormat="1" applyFont="1" applyBorder="1" applyAlignment="1">
      <alignment horizontal="center" vertical="center" wrapText="1"/>
    </xf>
    <xf numFmtId="0" fontId="35" fillId="0" borderId="29" xfId="0" applyNumberFormat="1" applyFont="1" applyBorder="1" applyAlignment="1">
      <alignment horizontal="center" vertical="center" wrapText="1"/>
    </xf>
    <xf numFmtId="4" fontId="35" fillId="0" borderId="7" xfId="0" applyNumberFormat="1" applyFont="1" applyBorder="1" applyAlignment="1">
      <alignment horizontal="center" vertical="center" wrapText="1"/>
    </xf>
    <xf numFmtId="14" fontId="35" fillId="0" borderId="7" xfId="0" applyNumberFormat="1" applyFont="1" applyBorder="1" applyAlignment="1">
      <alignment horizontal="center" vertical="center" wrapText="1"/>
    </xf>
    <xf numFmtId="14" fontId="35" fillId="0" borderId="30" xfId="0" applyNumberFormat="1" applyFont="1" applyBorder="1" applyAlignment="1">
      <alignment horizontal="center" vertical="center" wrapText="1"/>
    </xf>
    <xf numFmtId="0" fontId="22" fillId="0" borderId="14" xfId="0" applyFont="1" applyBorder="1" applyAlignment="1">
      <alignment horizontal="center" vertical="top"/>
    </xf>
    <xf numFmtId="4" fontId="41" fillId="0" borderId="56" xfId="0" applyNumberFormat="1" applyFont="1" applyBorder="1" applyAlignment="1">
      <alignment horizontal="right" vertical="top"/>
    </xf>
    <xf numFmtId="14" fontId="41" fillId="0" borderId="56" xfId="0" applyNumberFormat="1" applyFont="1" applyBorder="1" applyAlignment="1">
      <alignment horizontal="center" vertical="top"/>
    </xf>
    <xf numFmtId="0" fontId="34" fillId="0" borderId="51" xfId="0" applyFont="1" applyBorder="1" applyAlignment="1">
      <alignment horizontal="left" vertical="center" wrapText="1"/>
    </xf>
    <xf numFmtId="0" fontId="34" fillId="0" borderId="52" xfId="0" applyFont="1" applyBorder="1" applyAlignment="1">
      <alignment horizontal="left" vertical="center" wrapText="1"/>
    </xf>
    <xf numFmtId="0" fontId="34" fillId="0" borderId="20" xfId="0" applyFont="1" applyBorder="1" applyAlignment="1">
      <alignment horizontal="center" vertical="center" wrapText="1"/>
    </xf>
    <xf numFmtId="0" fontId="34" fillId="0" borderId="21" xfId="0" applyFont="1" applyBorder="1" applyAlignment="1">
      <alignment horizontal="center" vertical="center" wrapText="1"/>
    </xf>
    <xf numFmtId="0" fontId="34" fillId="0" borderId="20" xfId="0" applyFont="1" applyBorder="1" applyAlignment="1">
      <alignment horizontal="left" vertical="center" wrapText="1"/>
    </xf>
    <xf numFmtId="0" fontId="34" fillId="0" borderId="21" xfId="0" applyFont="1" applyBorder="1" applyAlignment="1">
      <alignment horizontal="left" vertical="center" wrapText="1"/>
    </xf>
    <xf numFmtId="0" fontId="34" fillId="4" borderId="28" xfId="0" applyFont="1" applyFill="1" applyBorder="1" applyAlignment="1">
      <alignment horizontal="left" vertical="center" wrapText="1"/>
    </xf>
    <xf numFmtId="0" fontId="34" fillId="4" borderId="30" xfId="0" applyFont="1" applyFill="1" applyBorder="1" applyAlignment="1">
      <alignment horizontal="left" vertical="center" wrapText="1"/>
    </xf>
    <xf numFmtId="0" fontId="21" fillId="3" borderId="1" xfId="0" applyFont="1" applyFill="1" applyBorder="1" applyAlignment="1">
      <alignment horizontal="center" vertical="center"/>
    </xf>
    <xf numFmtId="0" fontId="21" fillId="3" borderId="6" xfId="0" applyFont="1" applyFill="1" applyBorder="1" applyAlignment="1">
      <alignment vertical="center"/>
    </xf>
    <xf numFmtId="0" fontId="21" fillId="3" borderId="51" xfId="0" applyFont="1" applyFill="1" applyBorder="1" applyAlignment="1">
      <alignment vertical="center"/>
    </xf>
    <xf numFmtId="0" fontId="21" fillId="3" borderId="53" xfId="0" applyFont="1" applyFill="1" applyBorder="1" applyAlignment="1">
      <alignment vertical="center"/>
    </xf>
    <xf numFmtId="0" fontId="21" fillId="3" borderId="52" xfId="0" applyFont="1" applyFill="1" applyBorder="1" applyAlignment="1">
      <alignment vertical="center"/>
    </xf>
    <xf numFmtId="4" fontId="22" fillId="2" borderId="17" xfId="0" applyNumberFormat="1" applyFont="1" applyFill="1" applyBorder="1" applyAlignment="1">
      <alignment vertical="center" wrapText="1"/>
    </xf>
    <xf numFmtId="0" fontId="22" fillId="0" borderId="0" xfId="0" applyFont="1" applyBorder="1" applyAlignment="1">
      <alignment vertical="center" wrapText="1"/>
    </xf>
    <xf numFmtId="4" fontId="22" fillId="2" borderId="19" xfId="0" applyNumberFormat="1" applyFont="1" applyFill="1" applyBorder="1" applyAlignment="1">
      <alignment vertical="center" wrapText="1"/>
    </xf>
    <xf numFmtId="0" fontId="26" fillId="0" borderId="0" xfId="0" applyFont="1" applyBorder="1"/>
    <xf numFmtId="0" fontId="20" fillId="0" borderId="0" xfId="0" applyFont="1" applyBorder="1"/>
    <xf numFmtId="0" fontId="27" fillId="0" borderId="0" xfId="0" applyFont="1" applyBorder="1"/>
    <xf numFmtId="4" fontId="30" fillId="0" borderId="15" xfId="0" applyNumberFormat="1" applyFont="1" applyFill="1" applyBorder="1" applyAlignment="1">
      <alignment horizontal="right" vertical="center" wrapText="1"/>
    </xf>
    <xf numFmtId="4" fontId="29" fillId="0" borderId="14" xfId="0" applyNumberFormat="1" applyFont="1" applyBorder="1" applyAlignment="1">
      <alignment horizontal="center" vertical="center" wrapText="1"/>
    </xf>
    <xf numFmtId="0" fontId="42" fillId="0" borderId="0" xfId="0" applyFont="1" applyFill="1" applyBorder="1" applyAlignment="1">
      <alignment vertical="center" wrapText="1"/>
    </xf>
    <xf numFmtId="4" fontId="30" fillId="0" borderId="68" xfId="0" applyNumberFormat="1" applyFont="1" applyFill="1" applyBorder="1" applyAlignment="1">
      <alignment horizontal="right" vertical="center" wrapText="1"/>
    </xf>
    <xf numFmtId="4" fontId="29" fillId="0" borderId="36" xfId="0" applyNumberFormat="1" applyFont="1" applyBorder="1" applyAlignment="1">
      <alignment horizontal="center" vertical="center" wrapText="1"/>
    </xf>
    <xf numFmtId="0" fontId="42" fillId="0" borderId="0" xfId="0" applyFont="1" applyFill="1" applyBorder="1" applyAlignment="1">
      <alignment vertical="top" wrapText="1"/>
    </xf>
    <xf numFmtId="4" fontId="30" fillId="0" borderId="56" xfId="0" applyNumberFormat="1" applyFont="1" applyFill="1" applyBorder="1" applyAlignment="1">
      <alignment horizontal="right" vertical="center" wrapText="1"/>
    </xf>
    <xf numFmtId="4" fontId="29" fillId="0" borderId="15" xfId="0" applyNumberFormat="1" applyFont="1" applyBorder="1" applyAlignment="1">
      <alignment horizontal="center" vertical="center" wrapText="1"/>
    </xf>
    <xf numFmtId="4" fontId="29" fillId="0" borderId="4" xfId="0" applyNumberFormat="1" applyFont="1" applyBorder="1" applyAlignment="1">
      <alignment horizontal="center" vertical="center" wrapText="1"/>
    </xf>
    <xf numFmtId="0" fontId="21" fillId="11" borderId="74" xfId="0" applyFont="1" applyFill="1" applyBorder="1" applyAlignment="1">
      <alignment horizontal="center" vertical="center"/>
    </xf>
    <xf numFmtId="0" fontId="21" fillId="11" borderId="75" xfId="0" applyFont="1" applyFill="1" applyBorder="1" applyAlignment="1">
      <alignment horizontal="center" vertical="center"/>
    </xf>
    <xf numFmtId="0" fontId="24" fillId="0" borderId="5" xfId="0" applyFont="1" applyBorder="1" applyAlignment="1">
      <alignment horizontal="left" vertical="top" wrapText="1"/>
    </xf>
    <xf numFmtId="4" fontId="20" fillId="0" borderId="0" xfId="0" applyNumberFormat="1" applyFont="1" applyAlignment="1">
      <alignment vertical="center"/>
    </xf>
    <xf numFmtId="4" fontId="20" fillId="0" borderId="14" xfId="0" applyNumberFormat="1" applyFont="1" applyBorder="1" applyAlignment="1">
      <alignment horizontal="right" vertical="center" wrapText="1"/>
    </xf>
    <xf numFmtId="0" fontId="34" fillId="0" borderId="15" xfId="0" applyFont="1" applyFill="1" applyBorder="1" applyAlignment="1">
      <alignment horizontal="center" vertical="center" wrapText="1"/>
    </xf>
    <xf numFmtId="49" fontId="34" fillId="0" borderId="15" xfId="0" applyNumberFormat="1" applyFont="1" applyFill="1" applyBorder="1" applyAlignment="1">
      <alignment horizontal="center" vertical="center" wrapText="1"/>
    </xf>
    <xf numFmtId="49" fontId="34" fillId="0" borderId="76" xfId="0" applyNumberFormat="1" applyFont="1" applyFill="1" applyBorder="1" applyAlignment="1">
      <alignment horizontal="center" vertical="center" wrapText="1"/>
    </xf>
    <xf numFmtId="49" fontId="34" fillId="0" borderId="18" xfId="0" applyNumberFormat="1" applyFont="1" applyFill="1" applyBorder="1" applyAlignment="1">
      <alignment horizontal="center" vertical="center" wrapText="1"/>
    </xf>
    <xf numFmtId="49" fontId="34" fillId="0" borderId="79" xfId="0" applyNumberFormat="1" applyFont="1" applyFill="1" applyBorder="1" applyAlignment="1">
      <alignment horizontal="center" vertical="center" wrapText="1"/>
    </xf>
    <xf numFmtId="0" fontId="34" fillId="0" borderId="56" xfId="0" applyFont="1" applyFill="1" applyBorder="1" applyAlignment="1">
      <alignment horizontal="center" vertical="center" wrapText="1"/>
    </xf>
    <xf numFmtId="49" fontId="34" fillId="0" borderId="56" xfId="0" applyNumberFormat="1" applyFont="1" applyFill="1" applyBorder="1" applyAlignment="1">
      <alignment horizontal="center" vertical="center" wrapText="1"/>
    </xf>
    <xf numFmtId="49" fontId="34" fillId="0" borderId="4" xfId="0" applyNumberFormat="1" applyFont="1" applyFill="1" applyBorder="1" applyAlignment="1">
      <alignment horizontal="center" vertical="center" wrapText="1"/>
    </xf>
    <xf numFmtId="4" fontId="30" fillId="0" borderId="4" xfId="0" applyNumberFormat="1" applyFont="1" applyFill="1" applyBorder="1" applyAlignment="1">
      <alignment horizontal="right" vertical="center" wrapText="1"/>
    </xf>
    <xf numFmtId="49" fontId="34" fillId="0" borderId="26" xfId="0" applyNumberFormat="1" applyFont="1" applyFill="1" applyBorder="1" applyAlignment="1">
      <alignment horizontal="center" vertical="center" wrapText="1"/>
    </xf>
    <xf numFmtId="0" fontId="34" fillId="0" borderId="0" xfId="0" applyFont="1" applyFill="1" applyBorder="1" applyAlignment="1">
      <alignment horizontal="left" vertical="center" wrapText="1"/>
    </xf>
    <xf numFmtId="49" fontId="34" fillId="0" borderId="0" xfId="0" applyNumberFormat="1" applyFont="1" applyFill="1" applyBorder="1" applyAlignment="1">
      <alignment horizontal="center" vertical="center" wrapText="1"/>
    </xf>
    <xf numFmtId="4" fontId="30" fillId="0" borderId="0" xfId="0" applyNumberFormat="1" applyFont="1" applyFill="1" applyBorder="1" applyAlignment="1">
      <alignment horizontal="right" vertical="center" wrapText="1"/>
    </xf>
    <xf numFmtId="49" fontId="34" fillId="0" borderId="80" xfId="0" applyNumberFormat="1" applyFont="1" applyFill="1" applyBorder="1" applyAlignment="1">
      <alignment horizontal="center" vertical="center" wrapText="1"/>
    </xf>
    <xf numFmtId="0" fontId="35" fillId="0" borderId="22" xfId="0" applyFont="1" applyFill="1" applyBorder="1" applyAlignment="1">
      <alignment vertical="center" wrapText="1"/>
    </xf>
    <xf numFmtId="4" fontId="35" fillId="2" borderId="13" xfId="0" applyNumberFormat="1" applyFont="1" applyFill="1" applyBorder="1" applyAlignment="1">
      <alignment horizontal="right" vertical="center" wrapText="1"/>
    </xf>
    <xf numFmtId="4" fontId="35" fillId="2" borderId="1" xfId="0" applyNumberFormat="1" applyFont="1" applyFill="1" applyBorder="1" applyAlignment="1">
      <alignment horizontal="right" vertical="center" wrapText="1"/>
    </xf>
    <xf numFmtId="0" fontId="0" fillId="0" borderId="0" xfId="0" applyBorder="1" applyAlignment="1"/>
    <xf numFmtId="4" fontId="45" fillId="0" borderId="56" xfId="0" applyNumberFormat="1" applyFont="1" applyFill="1" applyBorder="1" applyAlignment="1">
      <alignment horizontal="right" vertical="center" wrapText="1"/>
    </xf>
    <xf numFmtId="14" fontId="24" fillId="0" borderId="15" xfId="0" applyNumberFormat="1" applyFont="1" applyFill="1" applyBorder="1" applyAlignment="1">
      <alignment horizontal="center" vertical="center" wrapText="1"/>
    </xf>
    <xf numFmtId="14" fontId="24" fillId="0" borderId="76" xfId="0" applyNumberFormat="1" applyFont="1" applyFill="1" applyBorder="1" applyAlignment="1">
      <alignment horizontal="center" vertical="center" wrapText="1"/>
    </xf>
    <xf numFmtId="0" fontId="35" fillId="0" borderId="1" xfId="0" applyFont="1" applyFill="1" applyBorder="1" applyAlignment="1">
      <alignment vertical="center" wrapText="1"/>
    </xf>
    <xf numFmtId="0" fontId="25" fillId="0" borderId="0" xfId="0" applyFont="1" applyBorder="1" applyAlignment="1">
      <alignment horizontal="left" vertical="top" wrapText="1"/>
    </xf>
    <xf numFmtId="0" fontId="20" fillId="0" borderId="0" xfId="0" applyFont="1" applyBorder="1" applyAlignment="1">
      <alignment horizontal="center" vertical="top"/>
    </xf>
    <xf numFmtId="4" fontId="20" fillId="0" borderId="0" xfId="0" applyNumberFormat="1" applyFont="1" applyBorder="1" applyAlignment="1">
      <alignment horizontal="right" vertical="top"/>
    </xf>
    <xf numFmtId="0" fontId="25" fillId="0" borderId="0" xfId="0" applyFont="1" applyBorder="1" applyAlignment="1">
      <alignment horizontal="center" vertical="top"/>
    </xf>
    <xf numFmtId="0" fontId="24" fillId="0" borderId="0" xfId="0" applyFont="1"/>
    <xf numFmtId="4" fontId="34" fillId="0" borderId="53" xfId="0" applyNumberFormat="1" applyFont="1" applyBorder="1" applyAlignment="1">
      <alignment horizontal="center" vertical="center" wrapText="1"/>
    </xf>
    <xf numFmtId="0" fontId="35" fillId="0" borderId="21" xfId="0" applyFont="1" applyBorder="1" applyAlignment="1">
      <alignment horizontal="left" vertical="center" wrapText="1"/>
    </xf>
    <xf numFmtId="4" fontId="34" fillId="0" borderId="0" xfId="0" applyNumberFormat="1" applyFont="1" applyBorder="1" applyAlignment="1">
      <alignment horizontal="center" vertical="center" wrapText="1"/>
    </xf>
    <xf numFmtId="14" fontId="3" fillId="0" borderId="0" xfId="0" applyNumberFormat="1" applyFont="1"/>
    <xf numFmtId="0" fontId="28" fillId="0" borderId="81" xfId="0" applyFont="1" applyBorder="1" applyAlignment="1">
      <alignment vertical="center" wrapText="1"/>
    </xf>
    <xf numFmtId="4" fontId="29" fillId="0" borderId="81" xfId="0" applyNumberFormat="1" applyFont="1" applyBorder="1" applyAlignment="1">
      <alignment horizontal="center" vertical="center" wrapText="1"/>
    </xf>
    <xf numFmtId="4" fontId="29" fillId="0" borderId="1" xfId="0" applyNumberFormat="1" applyFont="1" applyBorder="1" applyAlignment="1">
      <alignment horizontal="center" vertical="center" wrapText="1"/>
    </xf>
    <xf numFmtId="4" fontId="30" fillId="0" borderId="49" xfId="0" applyNumberFormat="1" applyFont="1" applyBorder="1" applyAlignment="1">
      <alignment horizontal="center" vertical="center" wrapText="1"/>
    </xf>
    <xf numFmtId="4" fontId="30" fillId="0" borderId="1" xfId="0" applyNumberFormat="1" applyFont="1" applyBorder="1" applyAlignment="1">
      <alignment horizontal="center" vertical="center" wrapText="1"/>
    </xf>
    <xf numFmtId="0" fontId="28" fillId="0" borderId="0" xfId="0" applyFont="1" applyBorder="1" applyAlignment="1">
      <alignment vertical="center" wrapText="1"/>
    </xf>
    <xf numFmtId="4" fontId="29" fillId="0" borderId="0" xfId="0" applyNumberFormat="1" applyFont="1" applyBorder="1" applyAlignment="1">
      <alignment horizontal="center" vertical="center" wrapText="1"/>
    </xf>
    <xf numFmtId="4" fontId="30" fillId="0" borderId="0" xfId="0" applyNumberFormat="1" applyFont="1" applyBorder="1" applyAlignment="1">
      <alignment horizontal="center" vertical="center" wrapText="1"/>
    </xf>
    <xf numFmtId="0" fontId="20" fillId="0" borderId="0" xfId="0" applyFont="1" applyFill="1" applyBorder="1" applyAlignment="1">
      <alignment horizontal="left" vertical="center" wrapText="1"/>
    </xf>
    <xf numFmtId="0" fontId="23" fillId="0" borderId="0" xfId="0" applyFont="1" applyBorder="1" applyAlignment="1">
      <alignment horizontal="left" vertical="center" wrapText="1"/>
    </xf>
    <xf numFmtId="0" fontId="22" fillId="3" borderId="82" xfId="0" applyFont="1" applyFill="1" applyBorder="1" applyAlignment="1">
      <alignment horizontal="center" vertical="center" wrapText="1"/>
    </xf>
    <xf numFmtId="0" fontId="22" fillId="3" borderId="7" xfId="0" applyFont="1" applyFill="1" applyBorder="1" applyAlignment="1">
      <alignment horizontal="center" vertical="center" wrapText="1"/>
    </xf>
    <xf numFmtId="0" fontId="22" fillId="3" borderId="29" xfId="0" applyFont="1" applyFill="1" applyBorder="1" applyAlignment="1">
      <alignment horizontal="center" vertical="center" wrapText="1"/>
    </xf>
    <xf numFmtId="0" fontId="24" fillId="0" borderId="23" xfId="0" applyFont="1" applyFill="1" applyBorder="1" applyAlignment="1">
      <alignment vertical="center" wrapText="1"/>
    </xf>
    <xf numFmtId="164" fontId="24" fillId="0" borderId="23" xfId="1" applyNumberFormat="1" applyFont="1" applyFill="1" applyBorder="1" applyAlignment="1">
      <alignment horizontal="left" vertical="center" wrapText="1"/>
    </xf>
    <xf numFmtId="164" fontId="24" fillId="0" borderId="23" xfId="1" applyNumberFormat="1" applyFont="1" applyFill="1" applyBorder="1" applyAlignment="1">
      <alignment horizontal="center" vertical="center" wrapText="1"/>
    </xf>
    <xf numFmtId="14" fontId="24" fillId="0" borderId="23" xfId="0" applyNumberFormat="1" applyFont="1" applyFill="1" applyBorder="1" applyAlignment="1">
      <alignment horizontal="center" vertical="center" wrapText="1"/>
    </xf>
    <xf numFmtId="0" fontId="23" fillId="0" borderId="0" xfId="0" applyFont="1"/>
    <xf numFmtId="0" fontId="24" fillId="0" borderId="9" xfId="0" applyFont="1" applyFill="1" applyBorder="1" applyAlignment="1">
      <alignment vertical="center" wrapText="1"/>
    </xf>
    <xf numFmtId="164" fontId="24" fillId="0" borderId="9" xfId="1" applyNumberFormat="1" applyFont="1" applyFill="1" applyBorder="1" applyAlignment="1">
      <alignment horizontal="left" vertical="center" wrapText="1"/>
    </xf>
    <xf numFmtId="164" fontId="24" fillId="0" borderId="9" xfId="1" applyNumberFormat="1" applyFont="1" applyFill="1" applyBorder="1" applyAlignment="1">
      <alignment horizontal="center" vertical="center" wrapText="1"/>
    </xf>
    <xf numFmtId="0" fontId="23" fillId="0" borderId="0" xfId="0" applyFont="1" applyFill="1"/>
    <xf numFmtId="14" fontId="24" fillId="0" borderId="9" xfId="0" applyNumberFormat="1" applyFont="1" applyFill="1" applyBorder="1" applyAlignment="1">
      <alignment horizontal="center" vertical="center" wrapText="1"/>
    </xf>
    <xf numFmtId="0" fontId="25" fillId="0" borderId="0" xfId="0" applyFont="1"/>
    <xf numFmtId="0" fontId="24" fillId="0" borderId="0" xfId="0" applyFont="1" applyBorder="1"/>
    <xf numFmtId="4" fontId="30" fillId="0" borderId="14" xfId="0" applyNumberFormat="1" applyFont="1" applyBorder="1" applyAlignment="1">
      <alignment horizontal="right" vertical="center" wrapText="1"/>
    </xf>
    <xf numFmtId="4" fontId="30" fillId="0" borderId="15" xfId="0" applyNumberFormat="1" applyFont="1" applyBorder="1" applyAlignment="1">
      <alignment horizontal="right" vertical="center" wrapText="1"/>
    </xf>
    <xf numFmtId="4" fontId="30" fillId="0" borderId="4" xfId="0" applyNumberFormat="1" applyFont="1" applyBorder="1" applyAlignment="1">
      <alignment horizontal="right" vertical="center" wrapText="1"/>
    </xf>
    <xf numFmtId="0" fontId="34" fillId="0" borderId="5" xfId="0" applyFont="1" applyBorder="1" applyAlignment="1">
      <alignment vertical="center" wrapText="1"/>
    </xf>
    <xf numFmtId="4" fontId="34" fillId="0" borderId="5" xfId="0" applyNumberFormat="1" applyFont="1" applyBorder="1" applyAlignment="1">
      <alignment horizontal="right" vertical="center" wrapText="1"/>
    </xf>
    <xf numFmtId="14" fontId="34" fillId="0" borderId="5" xfId="0" applyNumberFormat="1" applyFont="1" applyBorder="1" applyAlignment="1">
      <alignment horizontal="center" vertical="center" wrapText="1"/>
    </xf>
    <xf numFmtId="14" fontId="34" fillId="0" borderId="85" xfId="0" applyNumberFormat="1" applyFont="1" applyBorder="1" applyAlignment="1">
      <alignment horizontal="center" vertical="center" wrapText="1"/>
    </xf>
    <xf numFmtId="0" fontId="34" fillId="0" borderId="56" xfId="0" applyFont="1" applyBorder="1" applyAlignment="1">
      <alignment vertical="center" wrapText="1"/>
    </xf>
    <xf numFmtId="4" fontId="34" fillId="0" borderId="56" xfId="0" applyNumberFormat="1" applyFont="1" applyBorder="1" applyAlignment="1">
      <alignment horizontal="right" vertical="center" wrapText="1"/>
    </xf>
    <xf numFmtId="14" fontId="34" fillId="0" borderId="9" xfId="0" applyNumberFormat="1" applyFont="1" applyBorder="1" applyAlignment="1">
      <alignment horizontal="center" vertical="center" wrapText="1"/>
    </xf>
    <xf numFmtId="14" fontId="34" fillId="0" borderId="10" xfId="0" applyNumberFormat="1" applyFont="1" applyBorder="1" applyAlignment="1">
      <alignment horizontal="center" vertical="center" wrapText="1"/>
    </xf>
    <xf numFmtId="14" fontId="34" fillId="0" borderId="3" xfId="0" applyNumberFormat="1" applyFont="1" applyBorder="1" applyAlignment="1">
      <alignment horizontal="center" vertical="center" wrapText="1"/>
    </xf>
    <xf numFmtId="14" fontId="34" fillId="0" borderId="8" xfId="0" applyNumberFormat="1" applyFont="1" applyBorder="1" applyAlignment="1">
      <alignment horizontal="center" vertical="center" wrapText="1"/>
    </xf>
    <xf numFmtId="14" fontId="34" fillId="0" borderId="56" xfId="0" applyNumberFormat="1" applyFont="1" applyBorder="1" applyAlignment="1">
      <alignment horizontal="center" vertical="center" wrapText="1"/>
    </xf>
    <xf numFmtId="14" fontId="34" fillId="0" borderId="64" xfId="0" applyNumberFormat="1" applyFont="1" applyBorder="1" applyAlignment="1">
      <alignment horizontal="center" vertical="center" wrapText="1"/>
    </xf>
    <xf numFmtId="0" fontId="34" fillId="0" borderId="3" xfId="0" applyFont="1" applyBorder="1" applyAlignment="1">
      <alignment vertical="center" wrapText="1"/>
    </xf>
    <xf numFmtId="4" fontId="34" fillId="0" borderId="3" xfId="0" applyNumberFormat="1" applyFont="1" applyBorder="1" applyAlignment="1">
      <alignment horizontal="right" vertical="center" wrapText="1"/>
    </xf>
    <xf numFmtId="0" fontId="47" fillId="0" borderId="0" xfId="0" applyFont="1"/>
    <xf numFmtId="0" fontId="47" fillId="0" borderId="0" xfId="0" applyFont="1" applyBorder="1"/>
    <xf numFmtId="0" fontId="34" fillId="0" borderId="0" xfId="0" applyFont="1"/>
    <xf numFmtId="14" fontId="47" fillId="0" borderId="0" xfId="0" applyNumberFormat="1" applyFont="1" applyAlignment="1">
      <alignment horizontal="left"/>
    </xf>
    <xf numFmtId="4" fontId="22" fillId="2" borderId="15" xfId="0" applyNumberFormat="1" applyFont="1" applyFill="1" applyBorder="1" applyAlignment="1">
      <alignment vertical="top" wrapText="1"/>
    </xf>
    <xf numFmtId="0" fontId="21" fillId="3" borderId="1" xfId="0" applyFont="1" applyFill="1" applyBorder="1" applyAlignment="1">
      <alignment horizontal="center" vertical="center" wrapText="1"/>
    </xf>
    <xf numFmtId="0" fontId="50" fillId="0" borderId="63" xfId="0" applyFont="1" applyBorder="1" applyAlignment="1">
      <alignment vertical="center" wrapText="1"/>
    </xf>
    <xf numFmtId="4" fontId="51" fillId="0" borderId="56" xfId="0" applyNumberFormat="1" applyFont="1" applyBorder="1" applyAlignment="1">
      <alignment horizontal="right" vertical="center" wrapText="1"/>
    </xf>
    <xf numFmtId="4" fontId="51" fillId="0" borderId="64" xfId="0" applyNumberFormat="1" applyFont="1" applyBorder="1" applyAlignment="1">
      <alignment horizontal="right" vertical="center" wrapText="1"/>
    </xf>
    <xf numFmtId="0" fontId="50" fillId="0" borderId="87" xfId="0" applyFont="1" applyBorder="1" applyAlignment="1">
      <alignment vertical="center" wrapText="1"/>
    </xf>
    <xf numFmtId="4" fontId="51" fillId="0" borderId="15" xfId="0" applyNumberFormat="1" applyFont="1" applyBorder="1" applyAlignment="1">
      <alignment horizontal="right" vertical="center" wrapText="1"/>
    </xf>
    <xf numFmtId="4" fontId="51" fillId="0" borderId="76" xfId="0" applyNumberFormat="1" applyFont="1" applyBorder="1" applyAlignment="1">
      <alignment horizontal="right" vertical="center" wrapText="1"/>
    </xf>
    <xf numFmtId="0" fontId="20" fillId="0" borderId="0" xfId="0" applyFont="1" applyAlignment="1">
      <alignment horizontal="center" vertical="center" wrapText="1"/>
    </xf>
    <xf numFmtId="0" fontId="50" fillId="0" borderId="88" xfId="0" applyFont="1" applyBorder="1" applyAlignment="1">
      <alignment vertical="center" wrapText="1"/>
    </xf>
    <xf numFmtId="4" fontId="51" fillId="0" borderId="68" xfId="0" applyNumberFormat="1" applyFont="1" applyBorder="1" applyAlignment="1">
      <alignment horizontal="right" vertical="center" wrapText="1"/>
    </xf>
    <xf numFmtId="4" fontId="51" fillId="0" borderId="89" xfId="0" applyNumberFormat="1" applyFont="1" applyBorder="1" applyAlignment="1">
      <alignment horizontal="right" vertical="center" wrapText="1"/>
    </xf>
    <xf numFmtId="0" fontId="50" fillId="6" borderId="1" xfId="0" applyFont="1" applyFill="1" applyBorder="1" applyAlignment="1">
      <alignment vertical="center" wrapText="1"/>
    </xf>
    <xf numFmtId="4" fontId="50" fillId="6" borderId="1" xfId="0" applyNumberFormat="1" applyFont="1" applyFill="1" applyBorder="1" applyAlignment="1">
      <alignment horizontal="right" vertical="center" wrapText="1"/>
    </xf>
    <xf numFmtId="0" fontId="42" fillId="4" borderId="0" xfId="0" applyFont="1" applyFill="1" applyBorder="1" applyAlignment="1">
      <alignment vertical="center" wrapText="1"/>
    </xf>
    <xf numFmtId="4" fontId="42" fillId="4" borderId="0" xfId="0" applyNumberFormat="1" applyFont="1" applyFill="1" applyBorder="1" applyAlignment="1">
      <alignment horizontal="right" vertical="center" wrapText="1"/>
    </xf>
    <xf numFmtId="0" fontId="24" fillId="4" borderId="0" xfId="0" applyFont="1" applyFill="1" applyBorder="1" applyAlignment="1">
      <alignment horizontal="center"/>
    </xf>
    <xf numFmtId="0" fontId="20" fillId="4" borderId="0" xfId="0" applyFont="1" applyFill="1" applyBorder="1" applyAlignment="1">
      <alignment vertical="center" wrapText="1"/>
    </xf>
    <xf numFmtId="4" fontId="20" fillId="4" borderId="0" xfId="0" applyNumberFormat="1" applyFont="1" applyFill="1" applyBorder="1" applyAlignment="1">
      <alignment horizontal="left" vertical="center" wrapText="1"/>
    </xf>
    <xf numFmtId="4" fontId="22" fillId="4" borderId="0" xfId="0" applyNumberFormat="1" applyFont="1" applyFill="1" applyBorder="1" applyAlignment="1">
      <alignment horizontal="right" vertical="center" wrapText="1"/>
    </xf>
    <xf numFmtId="0" fontId="20" fillId="4" borderId="0" xfId="0" applyFont="1" applyFill="1" applyBorder="1" applyAlignment="1">
      <alignment horizontal="center"/>
    </xf>
    <xf numFmtId="0" fontId="21" fillId="3" borderId="6" xfId="0" applyFont="1" applyFill="1" applyBorder="1" applyAlignment="1">
      <alignment horizontal="center"/>
    </xf>
    <xf numFmtId="0" fontId="24" fillId="0" borderId="5" xfId="0" applyNumberFormat="1" applyFont="1" applyBorder="1" applyAlignment="1">
      <alignment vertical="top" wrapText="1"/>
    </xf>
    <xf numFmtId="0" fontId="24" fillId="0" borderId="3" xfId="0" applyFont="1" applyBorder="1" applyAlignment="1">
      <alignment horizontal="left" vertical="top"/>
    </xf>
    <xf numFmtId="4" fontId="20" fillId="0" borderId="69" xfId="0" applyNumberFormat="1" applyFont="1" applyBorder="1" applyAlignment="1">
      <alignment horizontal="right" vertical="top" wrapText="1"/>
    </xf>
    <xf numFmtId="0" fontId="24" fillId="0" borderId="78" xfId="0" applyNumberFormat="1" applyFont="1" applyBorder="1" applyAlignment="1">
      <alignment vertical="top" wrapText="1"/>
    </xf>
    <xf numFmtId="0" fontId="24" fillId="0" borderId="15" xfId="0" applyNumberFormat="1" applyFont="1" applyBorder="1" applyAlignment="1">
      <alignment vertical="top" wrapText="1"/>
    </xf>
    <xf numFmtId="0" fontId="24" fillId="0" borderId="56" xfId="0" applyFont="1" applyBorder="1" applyAlignment="1">
      <alignment horizontal="left" vertical="top"/>
    </xf>
    <xf numFmtId="4" fontId="24" fillId="0" borderId="86" xfId="0" applyNumberFormat="1" applyFont="1" applyBorder="1" applyAlignment="1">
      <alignment horizontal="left" vertical="top" wrapText="1"/>
    </xf>
    <xf numFmtId="0" fontId="52" fillId="8" borderId="0" xfId="0" applyFont="1" applyFill="1" applyBorder="1" applyAlignment="1">
      <alignment horizontal="left" vertical="top" wrapText="1"/>
    </xf>
    <xf numFmtId="0" fontId="22" fillId="2" borderId="7" xfId="0" applyFont="1" applyFill="1" applyBorder="1"/>
    <xf numFmtId="4" fontId="22" fillId="2" borderId="16" xfId="0" applyNumberFormat="1" applyFont="1" applyFill="1" applyBorder="1"/>
    <xf numFmtId="0" fontId="22" fillId="4" borderId="0" xfId="0" applyFont="1" applyFill="1" applyBorder="1"/>
    <xf numFmtId="4" fontId="22" fillId="4" borderId="0" xfId="0" applyNumberFormat="1" applyFont="1" applyFill="1" applyBorder="1"/>
    <xf numFmtId="4" fontId="32" fillId="4" borderId="0" xfId="0" applyNumberFormat="1" applyFont="1" applyFill="1" applyBorder="1" applyAlignment="1">
      <alignment horizontal="left"/>
    </xf>
    <xf numFmtId="4" fontId="53" fillId="4" borderId="0" xfId="0" applyNumberFormat="1" applyFont="1" applyFill="1" applyBorder="1" applyAlignment="1">
      <alignment horizontal="left"/>
    </xf>
    <xf numFmtId="0" fontId="54" fillId="4" borderId="0" xfId="0" applyFont="1" applyFill="1" applyBorder="1"/>
    <xf numFmtId="4" fontId="54" fillId="4" borderId="0" xfId="0" applyNumberFormat="1" applyFont="1" applyFill="1" applyBorder="1"/>
    <xf numFmtId="0" fontId="25" fillId="0" borderId="91" xfId="0" applyFont="1" applyBorder="1" applyAlignment="1">
      <alignment horizontal="left" vertical="top"/>
    </xf>
    <xf numFmtId="0" fontId="25" fillId="0" borderId="92" xfId="0" applyFont="1" applyBorder="1" applyAlignment="1">
      <alignment horizontal="left" vertical="top"/>
    </xf>
    <xf numFmtId="4" fontId="20" fillId="0" borderId="9" xfId="0" applyNumberFormat="1" applyFont="1" applyBorder="1" applyAlignment="1">
      <alignment horizontal="right" vertical="top" wrapText="1"/>
    </xf>
    <xf numFmtId="4" fontId="20" fillId="0" borderId="93" xfId="0" applyNumberFormat="1" applyFont="1" applyBorder="1" applyAlignment="1">
      <alignment vertical="top" wrapText="1"/>
    </xf>
    <xf numFmtId="4" fontId="20" fillId="0" borderId="94" xfId="0" applyNumberFormat="1" applyFont="1" applyBorder="1" applyAlignment="1">
      <alignment vertical="top" wrapText="1"/>
    </xf>
    <xf numFmtId="4" fontId="20" fillId="0" borderId="4" xfId="0" applyNumberFormat="1" applyFont="1" applyBorder="1" applyAlignment="1">
      <alignment vertical="top" wrapText="1"/>
    </xf>
    <xf numFmtId="0" fontId="55" fillId="0" borderId="84" xfId="0" applyFont="1" applyFill="1" applyBorder="1" applyAlignment="1">
      <alignment horizontal="center" vertical="center" wrapText="1"/>
    </xf>
    <xf numFmtId="4" fontId="55" fillId="0" borderId="5" xfId="0" applyNumberFormat="1" applyFont="1" applyFill="1" applyBorder="1" applyAlignment="1">
      <alignment horizontal="center" vertical="center" wrapText="1"/>
    </xf>
    <xf numFmtId="0" fontId="55" fillId="0" borderId="5" xfId="0" applyFont="1" applyFill="1" applyBorder="1" applyAlignment="1">
      <alignment horizontal="center" vertical="center" wrapText="1"/>
    </xf>
    <xf numFmtId="0" fontId="55" fillId="0" borderId="52" xfId="0" applyFont="1" applyFill="1" applyBorder="1" applyAlignment="1">
      <alignment horizontal="center" vertical="center" wrapText="1"/>
    </xf>
    <xf numFmtId="14" fontId="55" fillId="0" borderId="5" xfId="0" applyNumberFormat="1" applyFont="1" applyFill="1" applyBorder="1" applyAlignment="1">
      <alignment horizontal="center" vertical="center" wrapText="1"/>
    </xf>
    <xf numFmtId="14" fontId="55" fillId="0" borderId="52" xfId="0" applyNumberFormat="1" applyFont="1" applyFill="1" applyBorder="1" applyAlignment="1">
      <alignment horizontal="center" vertical="center" wrapText="1"/>
    </xf>
    <xf numFmtId="0" fontId="55" fillId="0" borderId="93" xfId="0" applyFont="1" applyFill="1" applyBorder="1" applyAlignment="1">
      <alignment horizontal="center" vertical="center" wrapText="1"/>
    </xf>
    <xf numFmtId="4" fontId="55" fillId="0" borderId="14" xfId="0" applyNumberFormat="1" applyFont="1" applyFill="1" applyBorder="1" applyAlignment="1">
      <alignment horizontal="center" vertical="center" wrapText="1"/>
    </xf>
    <xf numFmtId="14" fontId="55" fillId="0" borderId="48" xfId="0" applyNumberFormat="1" applyFont="1" applyFill="1" applyBorder="1" applyAlignment="1">
      <alignment horizontal="center" vertical="center" wrapText="1"/>
    </xf>
    <xf numFmtId="14" fontId="55" fillId="0" borderId="62" xfId="0" applyNumberFormat="1"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30" xfId="0" applyFont="1" applyFill="1" applyBorder="1" applyAlignment="1">
      <alignment horizontal="center" vertical="center" wrapText="1"/>
    </xf>
    <xf numFmtId="0" fontId="55" fillId="0" borderId="86" xfId="0" applyFont="1" applyFill="1" applyBorder="1" applyAlignment="1">
      <alignment horizontal="center" vertical="center" wrapText="1"/>
    </xf>
    <xf numFmtId="4" fontId="55" fillId="0" borderId="3" xfId="0" applyNumberFormat="1" applyFont="1" applyFill="1" applyBorder="1" applyAlignment="1">
      <alignment horizontal="center" vertical="center" wrapText="1"/>
    </xf>
    <xf numFmtId="14" fontId="55" fillId="0" borderId="86" xfId="0" applyNumberFormat="1" applyFont="1" applyFill="1" applyBorder="1" applyAlignment="1">
      <alignment horizontal="center" vertical="center" wrapText="1"/>
    </xf>
    <xf numFmtId="14" fontId="55" fillId="0" borderId="21" xfId="0" applyNumberFormat="1" applyFont="1" applyFill="1" applyBorder="1" applyAlignment="1">
      <alignment horizontal="center" vertical="center" wrapText="1"/>
    </xf>
    <xf numFmtId="0" fontId="56" fillId="0" borderId="93" xfId="0" applyFont="1" applyBorder="1" applyAlignment="1">
      <alignment horizontal="center" vertical="center" wrapText="1"/>
    </xf>
    <xf numFmtId="165" fontId="56" fillId="0" borderId="14" xfId="0" applyNumberFormat="1" applyFont="1" applyBorder="1" applyAlignment="1">
      <alignment horizontal="right" vertical="center" wrapText="1"/>
    </xf>
    <xf numFmtId="165" fontId="56" fillId="0" borderId="14" xfId="0" applyNumberFormat="1" applyFont="1" applyBorder="1" applyAlignment="1">
      <alignment horizontal="center" vertical="center" wrapText="1"/>
    </xf>
    <xf numFmtId="166" fontId="56" fillId="0" borderId="48" xfId="0" applyNumberFormat="1" applyFont="1" applyBorder="1" applyAlignment="1">
      <alignment horizontal="center" vertical="center" wrapText="1"/>
    </xf>
    <xf numFmtId="166" fontId="56" fillId="0" borderId="2" xfId="0" applyNumberFormat="1" applyFont="1" applyBorder="1" applyAlignment="1">
      <alignment horizontal="center" vertical="center" wrapText="1"/>
    </xf>
    <xf numFmtId="0" fontId="56" fillId="0" borderId="95" xfId="0" applyFont="1" applyBorder="1" applyAlignment="1">
      <alignment horizontal="center" vertical="center" wrapText="1"/>
    </xf>
    <xf numFmtId="165" fontId="56" fillId="0" borderId="3" xfId="0" applyNumberFormat="1" applyFont="1" applyBorder="1" applyAlignment="1">
      <alignment horizontal="right" vertical="center" wrapText="1"/>
    </xf>
    <xf numFmtId="166" fontId="56" fillId="0" borderId="3" xfId="0" applyNumberFormat="1" applyFont="1" applyBorder="1" applyAlignment="1">
      <alignment horizontal="center" vertical="center" wrapText="1"/>
    </xf>
    <xf numFmtId="166" fontId="56" fillId="0" borderId="8" xfId="0" applyNumberFormat="1" applyFont="1" applyBorder="1" applyAlignment="1">
      <alignment horizontal="center" vertical="center" wrapText="1"/>
    </xf>
    <xf numFmtId="0" fontId="56" fillId="0" borderId="94" xfId="0" applyFont="1" applyBorder="1" applyAlignment="1">
      <alignment horizontal="center" vertical="center" wrapText="1"/>
    </xf>
    <xf numFmtId="165" fontId="56" fillId="0" borderId="4" xfId="0" applyNumberFormat="1" applyFont="1" applyBorder="1" applyAlignment="1">
      <alignment horizontal="right" vertical="center" wrapText="1"/>
    </xf>
    <xf numFmtId="166" fontId="56" fillId="0" borderId="4" xfId="0" applyNumberFormat="1" applyFont="1" applyBorder="1" applyAlignment="1">
      <alignment horizontal="center" vertical="center" wrapText="1"/>
    </xf>
    <xf numFmtId="166" fontId="56" fillId="0" borderId="83" xfId="0" applyNumberFormat="1" applyFont="1" applyBorder="1" applyAlignment="1">
      <alignment horizontal="center" vertical="center" wrapText="1"/>
    </xf>
    <xf numFmtId="0" fontId="56" fillId="0" borderId="48" xfId="0" applyFont="1" applyBorder="1" applyAlignment="1">
      <alignment horizontal="center" vertical="center" wrapText="1"/>
    </xf>
    <xf numFmtId="166" fontId="56" fillId="0" borderId="14" xfId="0" applyNumberFormat="1" applyFont="1" applyBorder="1" applyAlignment="1">
      <alignment horizontal="center" vertical="center" wrapText="1"/>
    </xf>
    <xf numFmtId="0" fontId="56" fillId="0" borderId="86" xfId="0" applyFont="1" applyBorder="1" applyAlignment="1">
      <alignment horizontal="center" vertical="center" wrapText="1"/>
    </xf>
    <xf numFmtId="0" fontId="56" fillId="0" borderId="59" xfId="0" applyFont="1" applyBorder="1" applyAlignment="1">
      <alignment horizontal="center" vertical="center" wrapText="1"/>
    </xf>
    <xf numFmtId="0" fontId="56" fillId="0" borderId="58" xfId="0" applyFont="1" applyBorder="1" applyAlignment="1">
      <alignment horizontal="center" vertical="center" wrapText="1"/>
    </xf>
    <xf numFmtId="165" fontId="56" fillId="0" borderId="68" xfId="0" applyNumberFormat="1" applyFont="1" applyBorder="1" applyAlignment="1">
      <alignment horizontal="right" vertical="center" wrapText="1"/>
    </xf>
    <xf numFmtId="166" fontId="56" fillId="0" borderId="68" xfId="0" applyNumberFormat="1" applyFont="1" applyBorder="1" applyAlignment="1">
      <alignment horizontal="center" vertical="center" wrapText="1"/>
    </xf>
    <xf numFmtId="166" fontId="56" fillId="0" borderId="79" xfId="0" applyNumberFormat="1" applyFont="1" applyBorder="1" applyAlignment="1">
      <alignment horizontal="center" vertical="center" wrapText="1"/>
    </xf>
    <xf numFmtId="0" fontId="56" fillId="0" borderId="91" xfId="0" applyFont="1" applyBorder="1" applyAlignment="1">
      <alignment horizontal="center" vertical="center" wrapText="1"/>
    </xf>
    <xf numFmtId="4" fontId="56" fillId="0" borderId="5" xfId="0" applyNumberFormat="1" applyFont="1" applyBorder="1" applyAlignment="1">
      <alignment horizontal="right" vertical="center" wrapText="1"/>
    </xf>
    <xf numFmtId="4" fontId="56" fillId="0" borderId="5" xfId="0" applyNumberFormat="1" applyFont="1" applyBorder="1" applyAlignment="1">
      <alignment vertical="center" wrapText="1"/>
    </xf>
    <xf numFmtId="166" fontId="56" fillId="0" borderId="5" xfId="0" applyNumberFormat="1" applyFont="1" applyBorder="1" applyAlignment="1">
      <alignment horizontal="center" vertical="center" wrapText="1"/>
    </xf>
    <xf numFmtId="166" fontId="56" fillId="0" borderId="85" xfId="0" applyNumberFormat="1" applyFont="1" applyBorder="1" applyAlignment="1">
      <alignment horizontal="center" vertical="center" wrapText="1"/>
    </xf>
    <xf numFmtId="0" fontId="56" fillId="0" borderId="87" xfId="0" applyFont="1" applyBorder="1" applyAlignment="1">
      <alignment horizontal="center" vertical="center" wrapText="1"/>
    </xf>
    <xf numFmtId="4" fontId="56" fillId="0" borderId="15" xfId="0" applyNumberFormat="1" applyFont="1" applyBorder="1" applyAlignment="1">
      <alignment horizontal="right" vertical="center" wrapText="1"/>
    </xf>
    <xf numFmtId="4" fontId="56" fillId="0" borderId="15" xfId="0" applyNumberFormat="1" applyFont="1" applyBorder="1" applyAlignment="1">
      <alignment vertical="center" wrapText="1"/>
    </xf>
    <xf numFmtId="166" fontId="56" fillId="0" borderId="15" xfId="0" applyNumberFormat="1" applyFont="1" applyBorder="1" applyAlignment="1">
      <alignment horizontal="center" vertical="center" wrapText="1"/>
    </xf>
    <xf numFmtId="166" fontId="56" fillId="0" borderId="76" xfId="0" applyNumberFormat="1" applyFont="1" applyBorder="1" applyAlignment="1">
      <alignment horizontal="center" vertical="center" wrapText="1"/>
    </xf>
    <xf numFmtId="0" fontId="56" fillId="0" borderId="92" xfId="0" applyFont="1" applyBorder="1" applyAlignment="1">
      <alignment horizontal="center" vertical="center" wrapText="1"/>
    </xf>
    <xf numFmtId="0" fontId="56" fillId="0" borderId="9" xfId="0" applyFont="1" applyBorder="1" applyAlignment="1">
      <alignment horizontal="right" vertical="center" wrapText="1"/>
    </xf>
    <xf numFmtId="0" fontId="56" fillId="0" borderId="9" xfId="0" applyFont="1" applyBorder="1" applyAlignment="1">
      <alignment vertical="center" wrapText="1"/>
    </xf>
    <xf numFmtId="166" fontId="56" fillId="0" borderId="9" xfId="0" applyNumberFormat="1" applyFont="1" applyBorder="1" applyAlignment="1">
      <alignment horizontal="center" vertical="center" wrapText="1"/>
    </xf>
    <xf numFmtId="166" fontId="56" fillId="0" borderId="10" xfId="0" applyNumberFormat="1" applyFont="1" applyBorder="1" applyAlignment="1">
      <alignment horizontal="center" vertical="center" wrapText="1"/>
    </xf>
    <xf numFmtId="0" fontId="56" fillId="0" borderId="78" xfId="0" applyFont="1" applyBorder="1" applyAlignment="1">
      <alignment horizontal="center" vertical="center" wrapText="1"/>
    </xf>
    <xf numFmtId="165" fontId="56" fillId="0" borderId="56" xfId="0" applyNumberFormat="1" applyFont="1" applyBorder="1" applyAlignment="1">
      <alignment horizontal="right" vertical="center" wrapText="1"/>
    </xf>
    <xf numFmtId="165" fontId="56" fillId="0" borderId="56" xfId="0" applyNumberFormat="1" applyFont="1" applyBorder="1" applyAlignment="1">
      <alignment vertical="center" wrapText="1"/>
    </xf>
    <xf numFmtId="166" fontId="56" fillId="0" borderId="56" xfId="0" applyNumberFormat="1" applyFont="1" applyBorder="1" applyAlignment="1">
      <alignment horizontal="center" vertical="center" wrapText="1"/>
    </xf>
    <xf numFmtId="166" fontId="56" fillId="0" borderId="64" xfId="0" applyNumberFormat="1" applyFont="1" applyBorder="1" applyAlignment="1">
      <alignment horizontal="center" vertical="center" wrapText="1"/>
    </xf>
    <xf numFmtId="0" fontId="56" fillId="0" borderId="61" xfId="0" applyFont="1" applyBorder="1" applyAlignment="1">
      <alignment horizontal="center" vertical="center" wrapText="1"/>
    </xf>
    <xf numFmtId="165" fontId="56" fillId="0" borderId="15" xfId="0" applyNumberFormat="1" applyFont="1" applyBorder="1" applyAlignment="1">
      <alignment horizontal="right" vertical="center" wrapText="1"/>
    </xf>
    <xf numFmtId="165" fontId="56" fillId="0" borderId="15" xfId="0" applyNumberFormat="1" applyFont="1" applyBorder="1" applyAlignment="1">
      <alignment vertical="center" wrapText="1"/>
    </xf>
    <xf numFmtId="0" fontId="56" fillId="0" borderId="88" xfId="0" applyFont="1" applyBorder="1" applyAlignment="1">
      <alignment horizontal="center" vertical="center" wrapText="1"/>
    </xf>
    <xf numFmtId="165" fontId="56" fillId="0" borderId="68" xfId="0" applyNumberFormat="1" applyFont="1" applyBorder="1" applyAlignment="1">
      <alignment vertical="center" wrapText="1"/>
    </xf>
    <xf numFmtId="166" fontId="56" fillId="0" borderId="89" xfId="0" applyNumberFormat="1" applyFont="1" applyBorder="1" applyAlignment="1">
      <alignment horizontal="center" vertical="center" wrapText="1"/>
    </xf>
    <xf numFmtId="0" fontId="56" fillId="0" borderId="96" xfId="0" applyFont="1" applyBorder="1" applyAlignment="1">
      <alignment horizontal="center" vertical="center" wrapText="1"/>
    </xf>
    <xf numFmtId="165" fontId="56" fillId="0" borderId="9" xfId="0" applyNumberFormat="1" applyFont="1" applyBorder="1" applyAlignment="1">
      <alignment horizontal="right" vertical="center" wrapText="1"/>
    </xf>
    <xf numFmtId="165" fontId="57" fillId="0" borderId="9" xfId="0" applyNumberFormat="1" applyFont="1" applyBorder="1" applyAlignment="1">
      <alignment vertical="center" wrapText="1"/>
    </xf>
    <xf numFmtId="166" fontId="57" fillId="0" borderId="9" xfId="0" applyNumberFormat="1" applyFont="1" applyBorder="1" applyAlignment="1">
      <alignment horizontal="center" vertical="center" wrapText="1"/>
    </xf>
    <xf numFmtId="166" fontId="57" fillId="0" borderId="10" xfId="0" applyNumberFormat="1" applyFont="1" applyBorder="1" applyAlignment="1">
      <alignment horizontal="center" vertical="center" wrapText="1"/>
    </xf>
    <xf numFmtId="165" fontId="56" fillId="0" borderId="14" xfId="0" applyNumberFormat="1" applyFont="1" applyBorder="1" applyAlignment="1">
      <alignment vertical="center" wrapText="1"/>
    </xf>
    <xf numFmtId="165" fontId="56" fillId="0" borderId="96" xfId="0" applyNumberFormat="1" applyFont="1" applyBorder="1" applyAlignment="1">
      <alignment vertical="center" wrapText="1"/>
    </xf>
    <xf numFmtId="0" fontId="50" fillId="12" borderId="1" xfId="0" applyFont="1" applyFill="1" applyBorder="1" applyAlignment="1">
      <alignment vertical="center" wrapText="1"/>
    </xf>
    <xf numFmtId="0" fontId="57" fillId="12" borderId="16" xfId="0" applyFont="1" applyFill="1" applyBorder="1" applyAlignment="1">
      <alignment horizontal="center" vertical="center" wrapText="1"/>
    </xf>
    <xf numFmtId="4" fontId="58" fillId="13" borderId="1" xfId="0" applyNumberFormat="1" applyFont="1" applyFill="1" applyBorder="1" applyAlignment="1">
      <alignment horizontal="right"/>
    </xf>
    <xf numFmtId="0" fontId="50" fillId="4" borderId="0" xfId="0" applyFont="1" applyFill="1" applyBorder="1" applyAlignment="1">
      <alignment horizontal="center" vertical="center" wrapText="1"/>
    </xf>
    <xf numFmtId="0" fontId="50" fillId="4" borderId="0" xfId="0" applyFont="1" applyFill="1" applyBorder="1" applyAlignment="1">
      <alignment vertical="center" wrapText="1"/>
    </xf>
    <xf numFmtId="4" fontId="50" fillId="4" borderId="0" xfId="0" applyNumberFormat="1" applyFont="1" applyFill="1" applyBorder="1" applyAlignment="1">
      <alignment horizontal="right" vertical="center" wrapText="1"/>
    </xf>
    <xf numFmtId="0" fontId="57" fillId="4" borderId="0" xfId="0" applyFont="1" applyFill="1" applyBorder="1" applyAlignment="1">
      <alignment horizontal="center" vertical="center" wrapText="1"/>
    </xf>
    <xf numFmtId="4" fontId="58" fillId="4" borderId="0" xfId="0" applyNumberFormat="1" applyFont="1" applyFill="1" applyBorder="1" applyAlignment="1">
      <alignment horizontal="right"/>
    </xf>
    <xf numFmtId="0" fontId="24" fillId="0" borderId="0" xfId="0" applyFont="1" applyBorder="1" applyAlignment="1">
      <alignment horizontal="left" vertical="top" wrapText="1"/>
    </xf>
    <xf numFmtId="4" fontId="34" fillId="0" borderId="29" xfId="0" applyNumberFormat="1" applyFont="1" applyBorder="1" applyAlignment="1">
      <alignment horizontal="center" vertical="center" wrapText="1"/>
    </xf>
    <xf numFmtId="14" fontId="25" fillId="0" borderId="56" xfId="0" applyNumberFormat="1" applyFont="1" applyBorder="1" applyAlignment="1">
      <alignment horizontal="center" vertical="top"/>
    </xf>
    <xf numFmtId="0" fontId="20" fillId="0" borderId="4" xfId="0" applyFont="1" applyBorder="1" applyAlignment="1">
      <alignment horizontal="center" vertical="top" wrapText="1"/>
    </xf>
    <xf numFmtId="14" fontId="25" fillId="0" borderId="4" xfId="0" applyNumberFormat="1" applyFont="1" applyBorder="1" applyAlignment="1">
      <alignment horizontal="center" vertical="top"/>
    </xf>
    <xf numFmtId="0" fontId="22" fillId="2" borderId="17" xfId="0" applyFont="1" applyFill="1" applyBorder="1" applyAlignment="1">
      <alignment horizontal="left" vertical="top" wrapText="1"/>
    </xf>
    <xf numFmtId="0" fontId="22" fillId="2" borderId="18" xfId="0" applyFont="1" applyFill="1" applyBorder="1" applyAlignment="1">
      <alignment horizontal="left" vertical="top" wrapText="1"/>
    </xf>
    <xf numFmtId="0" fontId="22" fillId="3" borderId="97" xfId="0" applyFont="1" applyFill="1" applyBorder="1" applyAlignment="1">
      <alignment horizontal="center" vertical="center" wrapText="1"/>
    </xf>
    <xf numFmtId="0" fontId="22" fillId="3" borderId="98" xfId="0" applyFont="1" applyFill="1" applyBorder="1" applyAlignment="1">
      <alignment horizontal="center" vertical="center" wrapText="1"/>
    </xf>
    <xf numFmtId="0" fontId="22" fillId="3" borderId="99" xfId="0" applyFont="1" applyFill="1" applyBorder="1" applyAlignment="1">
      <alignment horizontal="center" vertical="center" wrapText="1"/>
    </xf>
    <xf numFmtId="0" fontId="28" fillId="0" borderId="1" xfId="0" applyFont="1" applyBorder="1" applyAlignment="1">
      <alignment vertical="center" wrapText="1"/>
    </xf>
    <xf numFmtId="0" fontId="28" fillId="4" borderId="1" xfId="0" applyFont="1" applyFill="1" applyBorder="1" applyAlignment="1">
      <alignment vertical="center" wrapText="1"/>
    </xf>
    <xf numFmtId="4" fontId="29" fillId="4" borderId="1" xfId="0" applyNumberFormat="1" applyFont="1" applyFill="1" applyBorder="1" applyAlignment="1">
      <alignment horizontal="center" vertical="center" wrapText="1"/>
    </xf>
    <xf numFmtId="0" fontId="28" fillId="2" borderId="100" xfId="0" applyFont="1" applyFill="1" applyBorder="1" applyAlignment="1">
      <alignment vertical="center" wrapText="1"/>
    </xf>
    <xf numFmtId="4" fontId="28" fillId="2" borderId="100" xfId="0" applyNumberFormat="1" applyFont="1" applyFill="1" applyBorder="1" applyAlignment="1">
      <alignment horizontal="center" vertical="center" wrapText="1"/>
    </xf>
    <xf numFmtId="4" fontId="28" fillId="2" borderId="101" xfId="0" applyNumberFormat="1" applyFont="1" applyFill="1" applyBorder="1" applyAlignment="1">
      <alignment horizontal="center" vertical="center" wrapText="1"/>
    </xf>
    <xf numFmtId="4" fontId="28" fillId="2" borderId="102" xfId="0" applyNumberFormat="1" applyFont="1" applyFill="1" applyBorder="1" applyAlignment="1">
      <alignment horizontal="center" vertical="center" wrapText="1"/>
    </xf>
    <xf numFmtId="0" fontId="21" fillId="11" borderId="28" xfId="0" applyFont="1" applyFill="1" applyBorder="1" applyAlignment="1">
      <alignment horizontal="center" vertical="center"/>
    </xf>
    <xf numFmtId="0" fontId="21" fillId="11" borderId="30" xfId="0" applyFont="1" applyFill="1" applyBorder="1" applyAlignment="1">
      <alignment horizontal="center" vertical="center"/>
    </xf>
    <xf numFmtId="0" fontId="22" fillId="0" borderId="16" xfId="0" applyFont="1" applyFill="1" applyBorder="1"/>
    <xf numFmtId="0" fontId="20" fillId="0" borderId="49" xfId="0" applyFont="1" applyFill="1" applyBorder="1"/>
    <xf numFmtId="4" fontId="20" fillId="0" borderId="49" xfId="0" applyNumberFormat="1" applyFont="1" applyFill="1" applyBorder="1" applyAlignment="1"/>
    <xf numFmtId="0" fontId="20" fillId="0" borderId="13" xfId="0" applyFont="1" applyFill="1" applyBorder="1"/>
    <xf numFmtId="0" fontId="22" fillId="0" borderId="16" xfId="0" applyFont="1" applyBorder="1"/>
    <xf numFmtId="0" fontId="20" fillId="0" borderId="49" xfId="0" applyFont="1" applyBorder="1"/>
    <xf numFmtId="4" fontId="20" fillId="0" borderId="49" xfId="0" applyNumberFormat="1" applyFont="1" applyBorder="1" applyAlignment="1"/>
    <xf numFmtId="0" fontId="20" fillId="0" borderId="13" xfId="0" applyFont="1" applyBorder="1"/>
    <xf numFmtId="0" fontId="20" fillId="0" borderId="16" xfId="0" applyFont="1" applyBorder="1"/>
    <xf numFmtId="4" fontId="20" fillId="0" borderId="49" xfId="0" applyNumberFormat="1" applyFont="1" applyBorder="1"/>
    <xf numFmtId="49" fontId="34" fillId="0" borderId="1" xfId="0" applyNumberFormat="1" applyFont="1" applyBorder="1" applyAlignment="1">
      <alignment horizontal="center" vertical="center" wrapText="1"/>
    </xf>
    <xf numFmtId="2" fontId="34" fillId="0" borderId="1" xfId="0" applyNumberFormat="1" applyFont="1" applyBorder="1" applyAlignment="1">
      <alignment horizontal="center" vertical="center" wrapText="1"/>
    </xf>
    <xf numFmtId="4" fontId="34" fillId="0" borderId="1" xfId="0" applyNumberFormat="1" applyFont="1" applyBorder="1" applyAlignment="1">
      <alignment horizontal="center" vertical="center" wrapText="1"/>
    </xf>
    <xf numFmtId="14" fontId="34" fillId="0" borderId="1" xfId="0" applyNumberFormat="1" applyFont="1" applyBorder="1" applyAlignment="1">
      <alignment horizontal="center" vertical="center" wrapText="1"/>
    </xf>
    <xf numFmtId="0" fontId="34" fillId="0" borderId="1" xfId="0" applyNumberFormat="1" applyFont="1" applyBorder="1" applyAlignment="1">
      <alignment horizontal="center" vertical="center" wrapText="1"/>
    </xf>
    <xf numFmtId="14" fontId="34" fillId="0" borderId="28" xfId="0" applyNumberFormat="1" applyFont="1" applyBorder="1" applyAlignment="1">
      <alignment horizontal="center" vertical="center" wrapText="1"/>
    </xf>
    <xf numFmtId="0" fontId="34" fillId="4" borderId="29" xfId="0" applyFont="1" applyFill="1" applyBorder="1" applyAlignment="1">
      <alignment horizontal="left" vertical="center" wrapText="1"/>
    </xf>
    <xf numFmtId="14" fontId="3" fillId="0" borderId="0" xfId="0" applyNumberFormat="1" applyFont="1" applyAlignment="1">
      <alignment horizontal="left"/>
    </xf>
    <xf numFmtId="0" fontId="59" fillId="0" borderId="0" xfId="0" applyFont="1"/>
    <xf numFmtId="0" fontId="60" fillId="0" borderId="0" xfId="0" applyFont="1"/>
    <xf numFmtId="0" fontId="52" fillId="0" borderId="0" xfId="0" applyFont="1"/>
    <xf numFmtId="0" fontId="61" fillId="14" borderId="1" xfId="0" applyFont="1" applyFill="1" applyBorder="1" applyAlignment="1">
      <alignment horizontal="center"/>
    </xf>
    <xf numFmtId="0" fontId="61" fillId="0" borderId="0" xfId="0" applyFont="1" applyAlignment="1">
      <alignment horizontal="center"/>
    </xf>
    <xf numFmtId="4" fontId="62" fillId="6" borderId="19" xfId="0" applyNumberFormat="1" applyFont="1" applyFill="1" applyBorder="1" applyAlignment="1">
      <alignment vertical="center" wrapText="1"/>
    </xf>
    <xf numFmtId="4" fontId="52" fillId="0" borderId="0" xfId="0" applyNumberFormat="1" applyFont="1"/>
    <xf numFmtId="0" fontId="62" fillId="0" borderId="0" xfId="0" applyFont="1"/>
    <xf numFmtId="4" fontId="62" fillId="6" borderId="27" xfId="0" applyNumberFormat="1" applyFont="1" applyFill="1" applyBorder="1" applyAlignment="1">
      <alignment vertical="center" wrapText="1"/>
    </xf>
    <xf numFmtId="4" fontId="52" fillId="0" borderId="0" xfId="0" applyNumberFormat="1" applyFont="1" applyAlignment="1"/>
    <xf numFmtId="0" fontId="65" fillId="0" borderId="0" xfId="0" applyFont="1"/>
    <xf numFmtId="0" fontId="62" fillId="14" borderId="31" xfId="0" applyFont="1" applyFill="1" applyBorder="1" applyAlignment="1">
      <alignment horizontal="center" vertical="center" wrapText="1"/>
    </xf>
    <xf numFmtId="0" fontId="62" fillId="14" borderId="32" xfId="0" applyFont="1" applyFill="1" applyBorder="1" applyAlignment="1">
      <alignment horizontal="center" vertical="center" wrapText="1"/>
    </xf>
    <xf numFmtId="0" fontId="62" fillId="14" borderId="33" xfId="0" applyFont="1" applyFill="1" applyBorder="1" applyAlignment="1">
      <alignment horizontal="center" vertical="center" wrapText="1"/>
    </xf>
    <xf numFmtId="0" fontId="66" fillId="0" borderId="0" xfId="0" applyFont="1"/>
    <xf numFmtId="0" fontId="50" fillId="0" borderId="34" xfId="0" applyFont="1" applyBorder="1" applyAlignment="1">
      <alignment vertical="center" wrapText="1"/>
    </xf>
    <xf numFmtId="4" fontId="51" fillId="0" borderId="34" xfId="0" applyNumberFormat="1" applyFont="1" applyBorder="1" applyAlignment="1">
      <alignment horizontal="center" vertical="center" wrapText="1"/>
    </xf>
    <xf numFmtId="4" fontId="51" fillId="0" borderId="35" xfId="0" applyNumberFormat="1" applyFont="1" applyBorder="1" applyAlignment="1">
      <alignment horizontal="center" vertical="center" wrapText="1"/>
    </xf>
    <xf numFmtId="0" fontId="50" fillId="8" borderId="38" xfId="0" applyFont="1" applyFill="1" applyBorder="1" applyAlignment="1">
      <alignment vertical="center" wrapText="1"/>
    </xf>
    <xf numFmtId="4" fontId="51" fillId="8" borderId="38" xfId="0" applyNumberFormat="1" applyFont="1" applyFill="1" applyBorder="1" applyAlignment="1">
      <alignment horizontal="center" vertical="center" wrapText="1"/>
    </xf>
    <xf numFmtId="4" fontId="51" fillId="8" borderId="19" xfId="0" applyNumberFormat="1" applyFont="1" applyFill="1" applyBorder="1" applyAlignment="1">
      <alignment horizontal="center" vertical="center" wrapText="1"/>
    </xf>
    <xf numFmtId="4" fontId="51" fillId="8" borderId="39" xfId="0" applyNumberFormat="1" applyFont="1" applyFill="1" applyBorder="1" applyAlignment="1">
      <alignment horizontal="center" vertical="center" wrapText="1"/>
    </xf>
    <xf numFmtId="0" fontId="50" fillId="0" borderId="38" xfId="0" applyFont="1" applyBorder="1" applyAlignment="1">
      <alignment vertical="center" wrapText="1"/>
    </xf>
    <xf numFmtId="4" fontId="51" fillId="0" borderId="38" xfId="0" applyNumberFormat="1" applyFont="1" applyBorder="1" applyAlignment="1">
      <alignment horizontal="center" vertical="center" wrapText="1"/>
    </xf>
    <xf numFmtId="4" fontId="51" fillId="0" borderId="19" xfId="0" applyNumberFormat="1" applyFont="1" applyBorder="1" applyAlignment="1">
      <alignment horizontal="center" vertical="center" wrapText="1"/>
    </xf>
    <xf numFmtId="4" fontId="51" fillId="0" borderId="39" xfId="0" applyNumberFormat="1" applyFont="1" applyBorder="1" applyAlignment="1">
      <alignment horizontal="center" vertical="center" wrapText="1"/>
    </xf>
    <xf numFmtId="0" fontId="50" fillId="0" borderId="40" xfId="0" applyFont="1" applyBorder="1" applyAlignment="1">
      <alignment vertical="center" wrapText="1"/>
    </xf>
    <xf numFmtId="4" fontId="51" fillId="0" borderId="40" xfId="0" applyNumberFormat="1" applyFont="1" applyBorder="1" applyAlignment="1">
      <alignment horizontal="center" vertical="center" wrapText="1"/>
    </xf>
    <xf numFmtId="4" fontId="51" fillId="0" borderId="41" xfId="0" applyNumberFormat="1" applyFont="1" applyBorder="1" applyAlignment="1">
      <alignment horizontal="center" vertical="center" wrapText="1"/>
    </xf>
    <xf numFmtId="4" fontId="51" fillId="0" borderId="42" xfId="0" applyNumberFormat="1" applyFont="1" applyBorder="1" applyAlignment="1">
      <alignment horizontal="center" vertical="center" wrapText="1"/>
    </xf>
    <xf numFmtId="0" fontId="50" fillId="6" borderId="44" xfId="0" applyFont="1" applyFill="1" applyBorder="1" applyAlignment="1">
      <alignment vertical="center" wrapText="1"/>
    </xf>
    <xf numFmtId="4" fontId="50" fillId="6" borderId="44" xfId="0" applyNumberFormat="1" applyFont="1" applyFill="1" applyBorder="1" applyAlignment="1">
      <alignment horizontal="center" vertical="center" wrapText="1"/>
    </xf>
    <xf numFmtId="4" fontId="50" fillId="6" borderId="45" xfId="0" applyNumberFormat="1" applyFont="1" applyFill="1" applyBorder="1" applyAlignment="1">
      <alignment horizontal="center" vertical="center" wrapText="1"/>
    </xf>
    <xf numFmtId="4" fontId="50" fillId="6" borderId="46" xfId="0" applyNumberFormat="1" applyFont="1" applyFill="1" applyBorder="1" applyAlignment="1">
      <alignment horizontal="center" vertical="center" wrapText="1"/>
    </xf>
    <xf numFmtId="0" fontId="61" fillId="15" borderId="16" xfId="0" applyFont="1" applyFill="1" applyBorder="1" applyAlignment="1">
      <alignment horizontal="center" vertical="center"/>
    </xf>
    <xf numFmtId="0" fontId="61" fillId="15" borderId="13" xfId="0" applyFont="1" applyFill="1" applyBorder="1" applyAlignment="1">
      <alignment horizontal="center" vertical="center"/>
    </xf>
    <xf numFmtId="0" fontId="52" fillId="0" borderId="0" xfId="0" applyFont="1" applyFill="1"/>
    <xf numFmtId="4" fontId="52" fillId="0" borderId="0" xfId="0" applyNumberFormat="1" applyFont="1" applyFill="1" applyAlignment="1"/>
    <xf numFmtId="4" fontId="61" fillId="14" borderId="1" xfId="0" applyNumberFormat="1" applyFont="1" applyFill="1" applyBorder="1" applyAlignment="1">
      <alignment horizontal="center"/>
    </xf>
    <xf numFmtId="0" fontId="64" fillId="0" borderId="5" xfId="0" applyFont="1" applyBorder="1" applyAlignment="1">
      <alignment horizontal="left" vertical="top"/>
    </xf>
    <xf numFmtId="4" fontId="52" fillId="0" borderId="14" xfId="0" applyNumberFormat="1" applyFont="1" applyBorder="1" applyAlignment="1">
      <alignment horizontal="right" vertical="top" wrapText="1"/>
    </xf>
    <xf numFmtId="0" fontId="52" fillId="0" borderId="14" xfId="0" applyNumberFormat="1" applyFont="1" applyBorder="1" applyAlignment="1">
      <alignment vertical="top" wrapText="1"/>
    </xf>
    <xf numFmtId="0" fontId="62" fillId="6" borderId="1" xfId="0" applyFont="1" applyFill="1" applyBorder="1"/>
    <xf numFmtId="4" fontId="62" fillId="6" borderId="1" xfId="0" applyNumberFormat="1" applyFont="1" applyFill="1" applyBorder="1"/>
    <xf numFmtId="49" fontId="52" fillId="0" borderId="0" xfId="0" applyNumberFormat="1" applyFont="1" applyFill="1"/>
    <xf numFmtId="4" fontId="52" fillId="0" borderId="14" xfId="0" applyNumberFormat="1" applyFont="1" applyBorder="1" applyAlignment="1">
      <alignment vertical="top" wrapText="1"/>
    </xf>
    <xf numFmtId="4" fontId="62" fillId="6" borderId="1" xfId="0" applyNumberFormat="1" applyFont="1" applyFill="1" applyBorder="1" applyAlignment="1">
      <alignment vertical="top" wrapText="1"/>
    </xf>
    <xf numFmtId="0" fontId="62" fillId="14" borderId="1" xfId="0" applyFont="1" applyFill="1" applyBorder="1" applyAlignment="1">
      <alignment horizontal="center" vertical="center" wrapText="1"/>
    </xf>
    <xf numFmtId="0" fontId="68" fillId="0" borderId="0" xfId="0" applyFont="1"/>
    <xf numFmtId="0" fontId="58" fillId="0" borderId="56" xfId="0" applyFont="1" applyBorder="1" applyAlignment="1">
      <alignment horizontal="center" vertical="center" wrapText="1"/>
    </xf>
    <xf numFmtId="4" fontId="50" fillId="0" borderId="56" xfId="0" applyNumberFormat="1" applyFont="1" applyBorder="1" applyAlignment="1">
      <alignment horizontal="right" vertical="center" wrapText="1"/>
    </xf>
    <xf numFmtId="0" fontId="50" fillId="0" borderId="56" xfId="0" applyFont="1" applyBorder="1" applyAlignment="1">
      <alignment horizontal="right" vertical="center" wrapText="1"/>
    </xf>
    <xf numFmtId="0" fontId="58" fillId="0" borderId="4" xfId="0" applyFont="1" applyBorder="1" applyAlignment="1">
      <alignment horizontal="center" vertical="center" wrapText="1"/>
    </xf>
    <xf numFmtId="4" fontId="50" fillId="0" borderId="4" xfId="0" applyNumberFormat="1" applyFont="1" applyBorder="1" applyAlignment="1">
      <alignment horizontal="right" vertical="center" wrapText="1"/>
    </xf>
    <xf numFmtId="0" fontId="58" fillId="0" borderId="9" xfId="0" applyFont="1" applyBorder="1" applyAlignment="1">
      <alignment horizontal="center" vertical="center" wrapText="1"/>
    </xf>
    <xf numFmtId="4" fontId="50" fillId="0" borderId="9" xfId="0" applyNumberFormat="1" applyFont="1" applyBorder="1" applyAlignment="1">
      <alignment horizontal="right" vertical="center" wrapText="1"/>
    </xf>
    <xf numFmtId="0" fontId="62" fillId="15" borderId="1" xfId="0" applyFont="1" applyFill="1" applyBorder="1" applyAlignment="1">
      <alignment vertical="center" wrapText="1"/>
    </xf>
    <xf numFmtId="0" fontId="52" fillId="0" borderId="14" xfId="0" applyFont="1" applyBorder="1" applyAlignment="1">
      <alignment horizontal="center" vertical="top"/>
    </xf>
    <xf numFmtId="4" fontId="52" fillId="0" borderId="56" xfId="0" applyNumberFormat="1" applyFont="1" applyBorder="1" applyAlignment="1">
      <alignment horizontal="right" vertical="top"/>
    </xf>
    <xf numFmtId="0" fontId="64" fillId="0" borderId="56" xfId="0" applyFont="1" applyBorder="1" applyAlignment="1">
      <alignment horizontal="center" vertical="top"/>
    </xf>
    <xf numFmtId="4" fontId="62" fillId="6" borderId="1" xfId="0" applyNumberFormat="1" applyFont="1" applyFill="1" applyBorder="1" applyAlignment="1">
      <alignment horizontal="right" vertical="center" wrapText="1"/>
    </xf>
    <xf numFmtId="0" fontId="71" fillId="0" borderId="0" xfId="0" applyFont="1"/>
    <xf numFmtId="4" fontId="30" fillId="0" borderId="60" xfId="0" applyNumberFormat="1" applyFont="1" applyFill="1" applyBorder="1" applyAlignment="1">
      <alignment horizontal="right" vertical="center" wrapText="1"/>
    </xf>
    <xf numFmtId="0" fontId="43" fillId="0" borderId="0" xfId="0" applyFont="1" applyFill="1" applyBorder="1" applyAlignment="1">
      <alignment vertical="center" wrapText="1"/>
    </xf>
    <xf numFmtId="0" fontId="43" fillId="0" borderId="0" xfId="0" applyFont="1" applyFill="1" applyBorder="1" applyAlignment="1">
      <alignment wrapText="1"/>
    </xf>
    <xf numFmtId="0" fontId="24" fillId="0" borderId="15" xfId="0" applyFont="1" applyFill="1" applyBorder="1" applyAlignment="1">
      <alignment horizontal="center" vertical="center" wrapText="1"/>
    </xf>
    <xf numFmtId="4" fontId="45" fillId="0" borderId="15" xfId="0" applyNumberFormat="1" applyFont="1" applyFill="1" applyBorder="1" applyAlignment="1">
      <alignment horizontal="right" vertical="center" wrapText="1"/>
    </xf>
    <xf numFmtId="4" fontId="45" fillId="0" borderId="68" xfId="0" applyNumberFormat="1" applyFont="1" applyFill="1" applyBorder="1" applyAlignment="1">
      <alignment horizontal="right" vertical="center" wrapText="1"/>
    </xf>
    <xf numFmtId="0" fontId="24" fillId="0" borderId="56" xfId="0" applyFont="1" applyFill="1" applyBorder="1" applyAlignment="1">
      <alignment horizontal="center" vertical="center" wrapText="1"/>
    </xf>
    <xf numFmtId="14" fontId="24" fillId="0" borderId="56" xfId="0" applyNumberFormat="1" applyFont="1" applyFill="1" applyBorder="1" applyAlignment="1">
      <alignment horizontal="center" vertical="center" wrapText="1"/>
    </xf>
    <xf numFmtId="14" fontId="24" fillId="0" borderId="64" xfId="0" applyNumberFormat="1" applyFont="1" applyFill="1" applyBorder="1" applyAlignment="1">
      <alignment horizontal="center" vertical="center" wrapText="1"/>
    </xf>
    <xf numFmtId="49" fontId="24" fillId="0" borderId="15" xfId="0" applyNumberFormat="1" applyFont="1" applyFill="1" applyBorder="1" applyAlignment="1">
      <alignment horizontal="center" vertical="center" wrapText="1"/>
    </xf>
    <xf numFmtId="49" fontId="24" fillId="0" borderId="56" xfId="0" applyNumberFormat="1" applyFont="1" applyFill="1" applyBorder="1" applyAlignment="1">
      <alignment horizontal="center" vertical="center" wrapText="1"/>
    </xf>
    <xf numFmtId="4" fontId="45" fillId="0" borderId="3" xfId="0" applyNumberFormat="1" applyFont="1" applyFill="1" applyBorder="1" applyAlignment="1">
      <alignment horizontal="right" vertical="center" wrapText="1"/>
    </xf>
    <xf numFmtId="4" fontId="45" fillId="0" borderId="86" xfId="0" applyNumberFormat="1" applyFont="1" applyFill="1" applyBorder="1" applyAlignment="1">
      <alignment horizontal="right" vertical="center" wrapText="1"/>
    </xf>
    <xf numFmtId="0" fontId="24" fillId="0" borderId="69" xfId="0" applyFont="1" applyFill="1" applyBorder="1" applyAlignment="1">
      <alignment horizontal="center" vertical="center" wrapText="1"/>
    </xf>
    <xf numFmtId="0" fontId="24" fillId="0" borderId="68" xfId="0" applyFont="1" applyFill="1" applyBorder="1" applyAlignment="1">
      <alignment horizontal="center" vertical="center" wrapText="1"/>
    </xf>
    <xf numFmtId="0" fontId="24" fillId="0" borderId="58" xfId="0" applyFont="1" applyFill="1" applyBorder="1" applyAlignment="1">
      <alignment horizontal="center" vertical="center" wrapText="1"/>
    </xf>
    <xf numFmtId="4" fontId="45" fillId="0" borderId="61" xfId="0" applyNumberFormat="1" applyFont="1" applyFill="1" applyBorder="1" applyAlignment="1">
      <alignment horizontal="right" vertical="center" wrapText="1"/>
    </xf>
    <xf numFmtId="0" fontId="24" fillId="0" borderId="61" xfId="0" applyFont="1" applyFill="1" applyBorder="1" applyAlignment="1">
      <alignment horizontal="center" vertical="center" wrapText="1"/>
    </xf>
    <xf numFmtId="0" fontId="22" fillId="0" borderId="0" xfId="0" applyFont="1" applyFill="1"/>
    <xf numFmtId="0" fontId="17" fillId="0" borderId="0" xfId="0" applyFont="1" applyAlignment="1"/>
    <xf numFmtId="0" fontId="48" fillId="0" borderId="0" xfId="0" applyFont="1"/>
    <xf numFmtId="0" fontId="20" fillId="0" borderId="14" xfId="0" applyFont="1" applyBorder="1" applyAlignment="1">
      <alignment horizontal="center" vertical="top" wrapText="1"/>
    </xf>
    <xf numFmtId="3" fontId="8" fillId="0" borderId="55" xfId="2" applyFont="1" applyBorder="1" applyAlignment="1">
      <alignment horizontal="center"/>
    </xf>
    <xf numFmtId="3" fontId="7" fillId="0" borderId="93" xfId="2" applyNumberFormat="1" applyFont="1" applyBorder="1" applyAlignment="1">
      <alignment horizontal="right"/>
    </xf>
    <xf numFmtId="3" fontId="7" fillId="0" borderId="14" xfId="2" applyNumberFormat="1" applyFont="1" applyBorder="1" applyAlignment="1">
      <alignment horizontal="right"/>
    </xf>
    <xf numFmtId="4" fontId="7" fillId="0" borderId="14" xfId="2" applyNumberFormat="1" applyFont="1" applyFill="1" applyBorder="1"/>
    <xf numFmtId="3" fontId="7" fillId="0" borderId="47" xfId="2" applyNumberFormat="1" applyFont="1" applyBorder="1" applyAlignment="1">
      <alignment horizontal="right"/>
    </xf>
    <xf numFmtId="3" fontId="8" fillId="0" borderId="93" xfId="2" applyNumberFormat="1" applyFont="1" applyFill="1" applyBorder="1"/>
    <xf numFmtId="3" fontId="8" fillId="0" borderId="14" xfId="2" applyNumberFormat="1" applyFont="1" applyFill="1" applyBorder="1"/>
    <xf numFmtId="3" fontId="7" fillId="0" borderId="47" xfId="2" applyNumberFormat="1" applyFont="1" applyFill="1" applyBorder="1"/>
    <xf numFmtId="3" fontId="7" fillId="0" borderId="2" xfId="2" applyNumberFormat="1" applyFont="1" applyFill="1" applyBorder="1"/>
    <xf numFmtId="3" fontId="9" fillId="0" borderId="17" xfId="2" applyFont="1" applyBorder="1" applyAlignment="1">
      <alignment horizontal="center"/>
    </xf>
    <xf numFmtId="3" fontId="7" fillId="0" borderId="87" xfId="2" applyNumberFormat="1" applyFont="1" applyBorder="1" applyAlignment="1">
      <alignment horizontal="right"/>
    </xf>
    <xf numFmtId="4" fontId="7" fillId="0" borderId="15" xfId="2" applyNumberFormat="1" applyFont="1" applyFill="1" applyBorder="1"/>
    <xf numFmtId="3" fontId="7" fillId="0" borderId="60" xfId="2" applyNumberFormat="1" applyFont="1" applyBorder="1" applyAlignment="1">
      <alignment horizontal="right"/>
    </xf>
    <xf numFmtId="3" fontId="9" fillId="0" borderId="87" xfId="2" applyNumberFormat="1" applyFont="1" applyFill="1" applyBorder="1" applyAlignment="1">
      <alignment horizontal="right"/>
    </xf>
    <xf numFmtId="3" fontId="9" fillId="0" borderId="15" xfId="2" applyNumberFormat="1" applyFont="1" applyFill="1" applyBorder="1" applyAlignment="1">
      <alignment horizontal="right"/>
    </xf>
    <xf numFmtId="3" fontId="7" fillId="0" borderId="15" xfId="2" applyNumberFormat="1" applyFont="1" applyFill="1" applyBorder="1" applyAlignment="1">
      <alignment horizontal="right"/>
    </xf>
    <xf numFmtId="3" fontId="7" fillId="0" borderId="60" xfId="2" applyNumberFormat="1" applyFont="1" applyFill="1" applyBorder="1" applyAlignment="1">
      <alignment horizontal="right"/>
    </xf>
    <xf numFmtId="3" fontId="9" fillId="0" borderId="25" xfId="2" applyFont="1" applyBorder="1" applyAlignment="1">
      <alignment horizontal="center"/>
    </xf>
    <xf numFmtId="3" fontId="72" fillId="0" borderId="94" xfId="2" applyFont="1" applyBorder="1" applyAlignment="1">
      <alignment horizontal="left"/>
    </xf>
    <xf numFmtId="3" fontId="9" fillId="0" borderId="83" xfId="2" applyFont="1" applyBorder="1" applyAlignment="1">
      <alignment horizontal="left"/>
    </xf>
    <xf numFmtId="3" fontId="7" fillId="0" borderId="94" xfId="2" applyNumberFormat="1" applyFont="1" applyBorder="1" applyAlignment="1">
      <alignment horizontal="right"/>
    </xf>
    <xf numFmtId="4" fontId="7" fillId="0" borderId="4" xfId="2" applyNumberFormat="1" applyFont="1" applyFill="1" applyBorder="1"/>
    <xf numFmtId="3" fontId="7" fillId="0" borderId="72" xfId="2" applyNumberFormat="1" applyFont="1" applyBorder="1" applyAlignment="1">
      <alignment horizontal="right"/>
    </xf>
    <xf numFmtId="3" fontId="9" fillId="0" borderId="94" xfId="2" applyNumberFormat="1" applyFont="1" applyFill="1" applyBorder="1" applyAlignment="1">
      <alignment horizontal="right"/>
    </xf>
    <xf numFmtId="3" fontId="9" fillId="0" borderId="4" xfId="2" applyNumberFormat="1" applyFont="1" applyFill="1" applyBorder="1" applyAlignment="1">
      <alignment horizontal="right"/>
    </xf>
    <xf numFmtId="3" fontId="7" fillId="0" borderId="4" xfId="2" applyNumberFormat="1" applyFont="1" applyFill="1" applyBorder="1" applyAlignment="1">
      <alignment horizontal="right"/>
    </xf>
    <xf numFmtId="3" fontId="7" fillId="0" borderId="72" xfId="2" applyNumberFormat="1" applyFont="1" applyFill="1" applyBorder="1" applyAlignment="1">
      <alignment horizontal="right"/>
    </xf>
    <xf numFmtId="3" fontId="8" fillId="0" borderId="55" xfId="2" applyFont="1" applyFill="1" applyBorder="1" applyAlignment="1">
      <alignment horizontal="center"/>
    </xf>
    <xf numFmtId="3" fontId="8" fillId="0" borderId="93" xfId="2" applyNumberFormat="1" applyFont="1" applyFill="1" applyBorder="1" applyAlignment="1">
      <alignment horizontal="right"/>
    </xf>
    <xf numFmtId="3" fontId="8" fillId="0" borderId="14" xfId="2" applyNumberFormat="1" applyFont="1" applyFill="1" applyBorder="1" applyAlignment="1">
      <alignment horizontal="right"/>
    </xf>
    <xf numFmtId="3" fontId="7" fillId="0" borderId="47" xfId="2" applyNumberFormat="1" applyFont="1" applyFill="1" applyBorder="1" applyAlignment="1">
      <alignment horizontal="right"/>
    </xf>
    <xf numFmtId="3" fontId="7" fillId="0" borderId="93" xfId="2" applyNumberFormat="1" applyFont="1" applyFill="1" applyBorder="1"/>
    <xf numFmtId="3" fontId="8" fillId="0" borderId="17" xfId="2" applyFont="1" applyBorder="1" applyAlignment="1">
      <alignment horizontal="center"/>
    </xf>
    <xf numFmtId="3" fontId="8" fillId="0" borderId="87" xfId="2" applyNumberFormat="1" applyFont="1" applyFill="1" applyBorder="1" applyAlignment="1">
      <alignment horizontal="right"/>
    </xf>
    <xf numFmtId="3" fontId="8" fillId="0" borderId="15" xfId="2" applyNumberFormat="1" applyFont="1" applyFill="1" applyBorder="1" applyAlignment="1">
      <alignment horizontal="right"/>
    </xf>
    <xf numFmtId="3" fontId="7" fillId="0" borderId="76" xfId="2" applyNumberFormat="1" applyFont="1" applyFill="1" applyBorder="1" applyAlignment="1">
      <alignment horizontal="right"/>
    </xf>
    <xf numFmtId="3" fontId="8" fillId="0" borderId="87" xfId="2" applyFont="1" applyBorder="1" applyAlignment="1">
      <alignment horizontal="left"/>
    </xf>
    <xf numFmtId="3" fontId="8" fillId="0" borderId="76" xfId="2" applyFont="1" applyBorder="1" applyAlignment="1">
      <alignment horizontal="left"/>
    </xf>
    <xf numFmtId="3" fontId="8" fillId="0" borderId="87" xfId="2" applyNumberFormat="1" applyFont="1" applyFill="1" applyBorder="1" applyAlignment="1"/>
    <xf numFmtId="3" fontId="8" fillId="0" borderId="15" xfId="2" applyNumberFormat="1" applyFont="1" applyFill="1" applyBorder="1" applyAlignment="1"/>
    <xf numFmtId="3" fontId="7" fillId="0" borderId="15" xfId="2" applyNumberFormat="1" applyFont="1" applyFill="1" applyBorder="1" applyAlignment="1"/>
    <xf numFmtId="3" fontId="7" fillId="0" borderId="76" xfId="2" applyNumberFormat="1" applyFont="1" applyFill="1" applyBorder="1" applyAlignment="1"/>
    <xf numFmtId="3" fontId="7" fillId="0" borderId="87" xfId="2" applyNumberFormat="1" applyFont="1" applyFill="1" applyBorder="1" applyAlignment="1">
      <alignment horizontal="right"/>
    </xf>
    <xf numFmtId="3" fontId="8" fillId="0" borderId="17" xfId="2" applyFont="1" applyFill="1" applyBorder="1" applyAlignment="1">
      <alignment horizontal="center"/>
    </xf>
    <xf numFmtId="3" fontId="8" fillId="0" borderId="87" xfId="2" applyFont="1" applyFill="1" applyBorder="1" applyAlignment="1">
      <alignment horizontal="left"/>
    </xf>
    <xf numFmtId="3" fontId="8" fillId="0" borderId="76" xfId="2" applyFont="1" applyFill="1" applyBorder="1" applyAlignment="1">
      <alignment horizontal="left"/>
    </xf>
    <xf numFmtId="3" fontId="7" fillId="0" borderId="87" xfId="2" applyNumberFormat="1" applyFont="1" applyFill="1" applyBorder="1"/>
    <xf numFmtId="3" fontId="7" fillId="0" borderId="60" xfId="2" applyNumberFormat="1" applyFont="1" applyFill="1" applyBorder="1"/>
    <xf numFmtId="3" fontId="7" fillId="0" borderId="76" xfId="2" applyNumberFormat="1" applyFont="1" applyFill="1" applyBorder="1"/>
    <xf numFmtId="4" fontId="10" fillId="0" borderId="15" xfId="2" applyNumberFormat="1" applyFont="1" applyFill="1" applyBorder="1"/>
    <xf numFmtId="3" fontId="10" fillId="0" borderId="87" xfId="2" applyNumberFormat="1" applyFont="1" applyFill="1" applyBorder="1" applyAlignment="1">
      <alignment horizontal="center"/>
    </xf>
    <xf numFmtId="3" fontId="10" fillId="0" borderId="76" xfId="2" applyNumberFormat="1" applyFont="1" applyFill="1" applyBorder="1" applyAlignment="1">
      <alignment horizontal="center"/>
    </xf>
    <xf numFmtId="3" fontId="72" fillId="0" borderId="87" xfId="2" applyFont="1" applyBorder="1" applyAlignment="1">
      <alignment horizontal="left"/>
    </xf>
    <xf numFmtId="3" fontId="72" fillId="0" borderId="76" xfId="2" applyFont="1" applyBorder="1" applyAlignment="1">
      <alignment horizontal="left"/>
    </xf>
    <xf numFmtId="3" fontId="7" fillId="0" borderId="15" xfId="0" applyNumberFormat="1" applyFont="1" applyFill="1" applyBorder="1" applyAlignment="1">
      <alignment horizontal="right" vertical="top"/>
    </xf>
    <xf numFmtId="3" fontId="7" fillId="0" borderId="60" xfId="0" applyNumberFormat="1" applyFont="1" applyFill="1" applyBorder="1" applyAlignment="1">
      <alignment horizontal="right" vertical="top"/>
    </xf>
    <xf numFmtId="3" fontId="7" fillId="0" borderId="87" xfId="0" applyNumberFormat="1" applyFont="1" applyFill="1" applyBorder="1" applyAlignment="1">
      <alignment horizontal="right" vertical="top"/>
    </xf>
    <xf numFmtId="3" fontId="8" fillId="0" borderId="25" xfId="2" applyFont="1" applyFill="1" applyBorder="1" applyAlignment="1">
      <alignment horizontal="center"/>
    </xf>
    <xf numFmtId="3" fontId="8" fillId="0" borderId="94" xfId="2" applyFont="1" applyFill="1" applyBorder="1" applyAlignment="1">
      <alignment horizontal="left"/>
    </xf>
    <xf numFmtId="3" fontId="8" fillId="0" borderId="83" xfId="2" applyFont="1" applyFill="1" applyBorder="1" applyAlignment="1">
      <alignment horizontal="left"/>
    </xf>
    <xf numFmtId="4" fontId="10" fillId="0" borderId="4" xfId="2" applyNumberFormat="1" applyFont="1" applyFill="1" applyBorder="1"/>
    <xf numFmtId="3" fontId="8" fillId="0" borderId="94" xfId="2" applyNumberFormat="1" applyFont="1" applyFill="1" applyBorder="1"/>
    <xf numFmtId="3" fontId="7" fillId="0" borderId="72" xfId="0" applyNumberFormat="1" applyFont="1" applyFill="1" applyBorder="1" applyAlignment="1">
      <alignment vertical="top"/>
    </xf>
    <xf numFmtId="3" fontId="7" fillId="0" borderId="4" xfId="0" applyNumberFormat="1" applyFont="1" applyFill="1" applyBorder="1" applyAlignment="1">
      <alignment vertical="top"/>
    </xf>
    <xf numFmtId="3" fontId="11" fillId="0" borderId="55" xfId="2" applyFont="1" applyBorder="1" applyAlignment="1">
      <alignment horizontal="center"/>
    </xf>
    <xf numFmtId="3" fontId="2" fillId="0" borderId="63" xfId="0" applyNumberFormat="1" applyFont="1" applyFill="1" applyBorder="1" applyAlignment="1">
      <alignment vertical="top"/>
    </xf>
    <xf numFmtId="3" fontId="2" fillId="0" borderId="56" xfId="0" applyNumberFormat="1" applyFont="1" applyFill="1" applyBorder="1" applyAlignment="1">
      <alignment vertical="top"/>
    </xf>
    <xf numFmtId="3" fontId="7" fillId="0" borderId="56" xfId="0" applyNumberFormat="1" applyFont="1" applyFill="1" applyBorder="1" applyAlignment="1">
      <alignment vertical="top"/>
    </xf>
    <xf numFmtId="4" fontId="10" fillId="0" borderId="14" xfId="2" applyNumberFormat="1" applyFont="1" applyFill="1" applyBorder="1"/>
    <xf numFmtId="3" fontId="2" fillId="0" borderId="64" xfId="0" applyNumberFormat="1" applyFont="1" applyFill="1" applyBorder="1" applyAlignment="1">
      <alignment vertical="top"/>
    </xf>
    <xf numFmtId="4" fontId="11" fillId="0" borderId="17" xfId="2" applyNumberFormat="1" applyFont="1" applyBorder="1" applyAlignment="1">
      <alignment horizontal="center"/>
    </xf>
    <xf numFmtId="4" fontId="2" fillId="0" borderId="87" xfId="0" applyNumberFormat="1" applyFont="1" applyFill="1" applyBorder="1" applyAlignment="1">
      <alignment vertical="top"/>
    </xf>
    <xf numFmtId="4" fontId="2" fillId="0" borderId="15" xfId="0" applyNumberFormat="1" applyFont="1" applyFill="1" applyBorder="1" applyAlignment="1">
      <alignment vertical="top"/>
    </xf>
    <xf numFmtId="4" fontId="7" fillId="0" borderId="15" xfId="0" applyNumberFormat="1" applyFont="1" applyFill="1" applyBorder="1" applyAlignment="1">
      <alignment vertical="top"/>
    </xf>
    <xf numFmtId="3" fontId="2" fillId="0" borderId="76" xfId="0" applyNumberFormat="1" applyFont="1" applyFill="1" applyBorder="1" applyAlignment="1">
      <alignment vertical="top"/>
    </xf>
    <xf numFmtId="3" fontId="11" fillId="0" borderId="25" xfId="2" applyFont="1" applyBorder="1" applyAlignment="1">
      <alignment horizontal="center"/>
    </xf>
    <xf numFmtId="3" fontId="2" fillId="0" borderId="83" xfId="0" applyNumberFormat="1" applyFont="1" applyFill="1" applyBorder="1" applyAlignment="1">
      <alignment vertical="top"/>
    </xf>
    <xf numFmtId="49" fontId="7" fillId="6" borderId="29" xfId="2" applyNumberFormat="1" applyFont="1" applyFill="1" applyBorder="1" applyAlignment="1">
      <alignment horizontal="center"/>
    </xf>
    <xf numFmtId="3" fontId="8" fillId="7" borderId="16" xfId="2" applyFont="1" applyFill="1" applyBorder="1" applyAlignment="1">
      <alignment horizontal="center"/>
    </xf>
    <xf numFmtId="49" fontId="8" fillId="7" borderId="7" xfId="2" applyNumberFormat="1" applyFont="1" applyFill="1" applyBorder="1" applyAlignment="1">
      <alignment horizontal="center"/>
    </xf>
    <xf numFmtId="3" fontId="8" fillId="7" borderId="16" xfId="2" applyNumberFormat="1" applyFont="1" applyFill="1" applyBorder="1"/>
    <xf numFmtId="49" fontId="8" fillId="7" borderId="105" xfId="2" applyNumberFormat="1" applyFont="1" applyFill="1" applyBorder="1" applyAlignment="1">
      <alignment horizontal="center"/>
    </xf>
    <xf numFmtId="3" fontId="7" fillId="0" borderId="48" xfId="2" applyNumberFormat="1" applyFont="1" applyFill="1" applyBorder="1"/>
    <xf numFmtId="49" fontId="8" fillId="7" borderId="19" xfId="2" applyNumberFormat="1" applyFont="1" applyFill="1" applyBorder="1" applyAlignment="1">
      <alignment horizontal="center"/>
    </xf>
    <xf numFmtId="49" fontId="8" fillId="7" borderId="41" xfId="2" applyNumberFormat="1" applyFont="1" applyFill="1" applyBorder="1" applyAlignment="1">
      <alignment horizontal="center"/>
    </xf>
    <xf numFmtId="3" fontId="7" fillId="0" borderId="94" xfId="2" applyNumberFormat="1" applyFont="1" applyFill="1" applyBorder="1" applyAlignment="1">
      <alignment horizontal="right"/>
    </xf>
    <xf numFmtId="3" fontId="7" fillId="0" borderId="83" xfId="2" applyNumberFormat="1" applyFont="1" applyFill="1" applyBorder="1" applyAlignment="1">
      <alignment horizontal="right"/>
    </xf>
    <xf numFmtId="3" fontId="7" fillId="16" borderId="16" xfId="2" applyNumberFormat="1" applyFont="1" applyFill="1" applyBorder="1" applyAlignment="1">
      <alignment horizontal="right"/>
    </xf>
    <xf numFmtId="3" fontId="8" fillId="16" borderId="1" xfId="2" applyNumberFormat="1" applyFont="1" applyFill="1" applyBorder="1" applyAlignment="1">
      <alignment horizontal="right"/>
    </xf>
    <xf numFmtId="3" fontId="7" fillId="16" borderId="1" xfId="2" applyNumberFormat="1" applyFont="1" applyFill="1" applyBorder="1" applyAlignment="1">
      <alignment horizontal="right"/>
    </xf>
    <xf numFmtId="4" fontId="7" fillId="16" borderId="1" xfId="2" applyNumberFormat="1" applyFont="1" applyFill="1" applyBorder="1"/>
    <xf numFmtId="3" fontId="7" fillId="7" borderId="16" xfId="2" applyNumberFormat="1" applyFont="1" applyFill="1" applyBorder="1" applyAlignment="1">
      <alignment horizontal="right"/>
    </xf>
    <xf numFmtId="3" fontId="8" fillId="16" borderId="1" xfId="2" applyNumberFormat="1" applyFont="1" applyFill="1" applyBorder="1"/>
    <xf numFmtId="3" fontId="8" fillId="16" borderId="16" xfId="2" applyNumberFormat="1" applyFont="1" applyFill="1" applyBorder="1"/>
    <xf numFmtId="49" fontId="8" fillId="7" borderId="35" xfId="2" applyNumberFormat="1" applyFont="1" applyFill="1" applyBorder="1" applyAlignment="1">
      <alignment horizontal="center"/>
    </xf>
    <xf numFmtId="3" fontId="7" fillId="0" borderId="61" xfId="2" applyNumberFormat="1" applyFont="1" applyFill="1" applyBorder="1" applyAlignment="1">
      <alignment horizontal="right"/>
    </xf>
    <xf numFmtId="3" fontId="73" fillId="0" borderId="87" xfId="2" applyNumberFormat="1" applyFont="1" applyFill="1" applyBorder="1" applyAlignment="1">
      <alignment horizontal="right"/>
    </xf>
    <xf numFmtId="3" fontId="73" fillId="0" borderId="61" xfId="2" applyNumberFormat="1" applyFont="1" applyFill="1" applyBorder="1" applyAlignment="1">
      <alignment horizontal="right"/>
    </xf>
    <xf numFmtId="3" fontId="7" fillId="0" borderId="87" xfId="2" applyNumberFormat="1" applyFont="1" applyFill="1" applyBorder="1" applyAlignment="1"/>
    <xf numFmtId="3" fontId="7" fillId="0" borderId="61" xfId="2" applyNumberFormat="1" applyFont="1" applyFill="1" applyBorder="1" applyAlignment="1"/>
    <xf numFmtId="3" fontId="7" fillId="0" borderId="61" xfId="2" applyNumberFormat="1" applyFont="1" applyFill="1" applyBorder="1"/>
    <xf numFmtId="3" fontId="7" fillId="0" borderId="87" xfId="2" applyNumberFormat="1" applyFont="1" applyFill="1" applyBorder="1" applyAlignment="1">
      <alignment horizontal="center"/>
    </xf>
    <xf numFmtId="3" fontId="7" fillId="0" borderId="61" xfId="2" applyNumberFormat="1" applyFont="1" applyFill="1" applyBorder="1" applyAlignment="1">
      <alignment horizontal="center"/>
    </xf>
    <xf numFmtId="3" fontId="7" fillId="0" borderId="15" xfId="2" applyNumberFormat="1" applyFont="1" applyFill="1" applyBorder="1" applyAlignment="1">
      <alignment horizontal="center"/>
    </xf>
    <xf numFmtId="3" fontId="7" fillId="0" borderId="76" xfId="2" applyNumberFormat="1" applyFont="1" applyFill="1" applyBorder="1" applyAlignment="1">
      <alignment horizontal="center"/>
    </xf>
    <xf numFmtId="3" fontId="10" fillId="0" borderId="61" xfId="2" applyNumberFormat="1" applyFont="1" applyFill="1" applyBorder="1" applyAlignment="1">
      <alignment horizontal="center"/>
    </xf>
    <xf numFmtId="3" fontId="7" fillId="0" borderId="61" xfId="0" applyNumberFormat="1" applyFont="1" applyFill="1" applyBorder="1" applyAlignment="1">
      <alignment horizontal="right" vertical="top"/>
    </xf>
    <xf numFmtId="3" fontId="7" fillId="0" borderId="87" xfId="0" applyNumberFormat="1" applyFont="1" applyFill="1" applyBorder="1" applyAlignment="1">
      <alignment vertical="top"/>
    </xf>
    <xf numFmtId="3" fontId="7" fillId="0" borderId="61" xfId="0" applyNumberFormat="1" applyFont="1" applyFill="1" applyBorder="1" applyAlignment="1">
      <alignment vertical="top"/>
    </xf>
    <xf numFmtId="3" fontId="7" fillId="0" borderId="15" xfId="0" applyNumberFormat="1" applyFont="1" applyFill="1" applyBorder="1" applyAlignment="1">
      <alignment vertical="top"/>
    </xf>
    <xf numFmtId="3" fontId="7" fillId="0" borderId="76" xfId="0" applyNumberFormat="1" applyFont="1" applyFill="1" applyBorder="1" applyAlignment="1">
      <alignment vertical="top"/>
    </xf>
    <xf numFmtId="49" fontId="8" fillId="7" borderId="27" xfId="2" applyNumberFormat="1" applyFont="1" applyFill="1" applyBorder="1" applyAlignment="1">
      <alignment horizontal="center"/>
    </xf>
    <xf numFmtId="3" fontId="74" fillId="0" borderId="94" xfId="0" applyNumberFormat="1" applyFont="1" applyFill="1" applyBorder="1" applyAlignment="1">
      <alignment vertical="top" wrapText="1"/>
    </xf>
    <xf numFmtId="3" fontId="7" fillId="0" borderId="59" xfId="0" applyNumberFormat="1" applyFont="1" applyFill="1" applyBorder="1" applyAlignment="1">
      <alignment vertical="top"/>
    </xf>
    <xf numFmtId="3" fontId="7" fillId="0" borderId="94" xfId="0" applyNumberFormat="1" applyFont="1" applyFill="1" applyBorder="1" applyAlignment="1">
      <alignment vertical="top"/>
    </xf>
    <xf numFmtId="3" fontId="7" fillId="0" borderId="83" xfId="0" applyNumberFormat="1" applyFont="1" applyFill="1" applyBorder="1" applyAlignment="1">
      <alignment vertical="top"/>
    </xf>
    <xf numFmtId="3" fontId="8" fillId="7" borderId="51" xfId="2" applyFont="1" applyFill="1" applyBorder="1" applyAlignment="1">
      <alignment horizontal="left"/>
    </xf>
    <xf numFmtId="3" fontId="8" fillId="7" borderId="52" xfId="2" applyFont="1" applyFill="1" applyBorder="1" applyAlignment="1">
      <alignment horizontal="left"/>
    </xf>
    <xf numFmtId="4" fontId="10" fillId="7" borderId="23" xfId="2" applyNumberFormat="1" applyFont="1" applyFill="1" applyBorder="1"/>
    <xf numFmtId="4" fontId="7" fillId="7" borderId="23" xfId="2" applyNumberFormat="1" applyFont="1" applyFill="1" applyBorder="1"/>
    <xf numFmtId="49" fontId="11" fillId="7" borderId="35" xfId="2" applyNumberFormat="1" applyFont="1" applyFill="1" applyBorder="1" applyAlignment="1">
      <alignment horizontal="center"/>
    </xf>
    <xf numFmtId="4" fontId="11" fillId="7" borderId="19" xfId="2" applyNumberFormat="1" applyFont="1" applyFill="1" applyBorder="1" applyAlignment="1">
      <alignment horizontal="center"/>
    </xf>
    <xf numFmtId="49" fontId="11" fillId="7" borderId="27" xfId="2" applyNumberFormat="1" applyFont="1" applyFill="1" applyBorder="1" applyAlignment="1">
      <alignment horizontal="center"/>
    </xf>
    <xf numFmtId="4" fontId="2" fillId="0" borderId="94" xfId="0" applyNumberFormat="1" applyFont="1" applyFill="1" applyBorder="1" applyAlignment="1">
      <alignment vertical="top"/>
    </xf>
    <xf numFmtId="4" fontId="2" fillId="0" borderId="4" xfId="0" applyNumberFormat="1" applyFont="1" applyFill="1" applyBorder="1" applyAlignment="1">
      <alignment vertical="top"/>
    </xf>
    <xf numFmtId="4" fontId="7" fillId="0" borderId="4" xfId="0" applyNumberFormat="1" applyFont="1" applyFill="1" applyBorder="1" applyAlignment="1">
      <alignment vertical="top"/>
    </xf>
    <xf numFmtId="3" fontId="11" fillId="0" borderId="1" xfId="2" applyFont="1" applyBorder="1" applyAlignment="1">
      <alignment horizontal="left"/>
    </xf>
    <xf numFmtId="3" fontId="8" fillId="0" borderId="1" xfId="2" applyFont="1" applyBorder="1" applyAlignment="1">
      <alignment horizontal="left"/>
    </xf>
    <xf numFmtId="4" fontId="11" fillId="0" borderId="1" xfId="2" applyNumberFormat="1" applyFont="1" applyBorder="1" applyAlignment="1">
      <alignment horizontal="left"/>
    </xf>
    <xf numFmtId="3" fontId="7" fillId="2" borderId="1" xfId="2" applyFont="1" applyFill="1" applyBorder="1" applyAlignment="1">
      <alignment horizontal="center" wrapText="1"/>
    </xf>
    <xf numFmtId="3" fontId="8" fillId="3" borderId="1" xfId="2" applyFont="1" applyFill="1" applyBorder="1" applyAlignment="1">
      <alignment horizontal="left"/>
    </xf>
    <xf numFmtId="4" fontId="7" fillId="2" borderId="1" xfId="2" applyNumberFormat="1" applyFont="1" applyFill="1" applyBorder="1" applyAlignment="1">
      <alignment horizontal="center" wrapText="1"/>
    </xf>
    <xf numFmtId="4" fontId="7" fillId="2" borderId="1" xfId="2" applyNumberFormat="1" applyFont="1" applyFill="1" applyBorder="1" applyAlignment="1">
      <alignment horizontal="center"/>
    </xf>
    <xf numFmtId="3" fontId="7" fillId="2" borderId="6" xfId="2" applyFont="1" applyFill="1" applyBorder="1" applyAlignment="1">
      <alignment horizontal="center" wrapText="1"/>
    </xf>
    <xf numFmtId="3" fontId="7" fillId="2" borderId="7" xfId="2" applyFont="1" applyFill="1" applyBorder="1" applyAlignment="1">
      <alignment horizontal="center" wrapText="1"/>
    </xf>
    <xf numFmtId="3" fontId="9" fillId="0" borderId="1" xfId="2" applyFont="1" applyBorder="1" applyAlignment="1">
      <alignment horizontal="left"/>
    </xf>
    <xf numFmtId="3" fontId="6" fillId="0" borderId="0" xfId="2" applyFont="1" applyBorder="1" applyAlignment="1">
      <alignment horizontal="center"/>
    </xf>
    <xf numFmtId="0" fontId="2" fillId="2" borderId="1" xfId="0" applyFont="1" applyFill="1" applyBorder="1" applyAlignment="1">
      <alignment horizontal="center" wrapText="1"/>
    </xf>
    <xf numFmtId="49" fontId="7" fillId="2" borderId="1" xfId="2" applyNumberFormat="1" applyFont="1" applyFill="1" applyBorder="1" applyAlignment="1">
      <alignment horizontal="center" wrapText="1"/>
    </xf>
    <xf numFmtId="3" fontId="7" fillId="2" borderId="1" xfId="2" applyFont="1" applyFill="1" applyBorder="1" applyAlignment="1">
      <alignment horizontal="center"/>
    </xf>
    <xf numFmtId="0" fontId="34" fillId="0" borderId="60" xfId="0" applyFont="1" applyBorder="1" applyAlignment="1">
      <alignment horizontal="left" vertical="center" wrapText="1"/>
    </xf>
    <xf numFmtId="0" fontId="34" fillId="0" borderId="39" xfId="0" applyFont="1" applyBorder="1" applyAlignment="1">
      <alignment horizontal="left" vertical="center" wrapText="1"/>
    </xf>
    <xf numFmtId="0" fontId="34" fillId="0" borderId="61" xfId="0" applyFont="1" applyBorder="1" applyAlignment="1">
      <alignment horizontal="left" vertical="center" wrapText="1"/>
    </xf>
    <xf numFmtId="0" fontId="22" fillId="9" borderId="0" xfId="0" applyFont="1" applyFill="1" applyAlignment="1">
      <alignment horizontal="left"/>
    </xf>
    <xf numFmtId="0" fontId="22" fillId="3" borderId="16" xfId="0" applyFont="1" applyFill="1" applyBorder="1" applyAlignment="1">
      <alignment horizontal="center" vertical="center" wrapText="1"/>
    </xf>
    <xf numFmtId="0" fontId="22" fillId="3" borderId="49" xfId="0" applyFont="1" applyFill="1" applyBorder="1" applyAlignment="1">
      <alignment horizontal="center" vertical="center" wrapText="1"/>
    </xf>
    <xf numFmtId="0" fontId="25" fillId="0" borderId="55" xfId="0" applyFont="1" applyBorder="1" applyAlignment="1">
      <alignment horizontal="left" vertical="top" wrapText="1"/>
    </xf>
    <xf numFmtId="0" fontId="25" fillId="0" borderId="37" xfId="0" applyFont="1" applyBorder="1" applyAlignment="1">
      <alignment horizontal="left" vertical="top" wrapText="1"/>
    </xf>
    <xf numFmtId="0" fontId="20" fillId="0" borderId="25" xfId="0" applyFont="1" applyBorder="1" applyAlignment="1">
      <alignment horizontal="left" vertical="top" wrapText="1"/>
    </xf>
    <xf numFmtId="0" fontId="20" fillId="0" borderId="43" xfId="0" applyFont="1" applyBorder="1" applyAlignment="1">
      <alignment horizontal="left" vertical="top" wrapText="1"/>
    </xf>
    <xf numFmtId="0" fontId="22" fillId="2" borderId="16" xfId="0" applyFont="1" applyFill="1" applyBorder="1" applyAlignment="1">
      <alignment horizontal="center" vertical="center" wrapText="1"/>
    </xf>
    <xf numFmtId="0" fontId="22" fillId="2" borderId="49" xfId="0" applyFont="1" applyFill="1" applyBorder="1" applyAlignment="1">
      <alignment horizontal="center" vertical="center" wrapText="1"/>
    </xf>
    <xf numFmtId="0" fontId="20" fillId="11" borderId="16" xfId="0" applyFont="1" applyFill="1" applyBorder="1" applyAlignment="1">
      <alignment horizontal="center" vertical="center" wrapText="1"/>
    </xf>
    <xf numFmtId="0" fontId="20" fillId="11" borderId="13" xfId="0" applyFont="1" applyFill="1" applyBorder="1" applyAlignment="1">
      <alignment horizontal="center" vertical="center" wrapText="1"/>
    </xf>
    <xf numFmtId="0" fontId="36" fillId="9" borderId="0" xfId="0" applyFont="1" applyFill="1" applyAlignment="1">
      <alignment horizontal="left"/>
    </xf>
    <xf numFmtId="0" fontId="24" fillId="0" borderId="60" xfId="0" applyFont="1" applyBorder="1" applyAlignment="1">
      <alignment horizontal="left" vertical="top" wrapText="1"/>
    </xf>
    <xf numFmtId="0" fontId="24" fillId="0" borderId="39" xfId="0" applyFont="1" applyBorder="1" applyAlignment="1">
      <alignment horizontal="left" vertical="top" wrapText="1"/>
    </xf>
    <xf numFmtId="0" fontId="24" fillId="0" borderId="61" xfId="0" applyFont="1" applyBorder="1" applyAlignment="1">
      <alignment horizontal="left" vertical="top" wrapText="1"/>
    </xf>
    <xf numFmtId="0" fontId="19" fillId="9" borderId="0" xfId="0" applyFont="1" applyFill="1" applyAlignment="1">
      <alignment horizontal="left"/>
    </xf>
    <xf numFmtId="0" fontId="20" fillId="0" borderId="53" xfId="0" applyFont="1" applyBorder="1" applyAlignment="1">
      <alignment horizontal="left" vertical="top" wrapText="1"/>
    </xf>
    <xf numFmtId="0" fontId="0" fillId="0" borderId="53" xfId="0" applyBorder="1" applyAlignment="1"/>
    <xf numFmtId="4" fontId="22" fillId="10" borderId="1" xfId="0" applyNumberFormat="1" applyFont="1" applyFill="1" applyBorder="1" applyAlignment="1">
      <alignment horizontal="left"/>
    </xf>
    <xf numFmtId="4" fontId="21" fillId="3" borderId="1" xfId="0" applyNumberFormat="1" applyFont="1" applyFill="1" applyBorder="1" applyAlignment="1">
      <alignment horizontal="center"/>
    </xf>
    <xf numFmtId="4" fontId="21" fillId="3" borderId="22" xfId="0" applyNumberFormat="1" applyFont="1" applyFill="1" applyBorder="1" applyAlignment="1">
      <alignment horizontal="center"/>
    </xf>
    <xf numFmtId="4" fontId="25" fillId="0" borderId="14" xfId="0" applyNumberFormat="1" applyFont="1" applyBorder="1" applyAlignment="1">
      <alignment horizontal="left" vertical="top" wrapText="1"/>
    </xf>
    <xf numFmtId="4" fontId="22" fillId="2" borderId="16" xfId="0" applyNumberFormat="1" applyFont="1" applyFill="1" applyBorder="1" applyAlignment="1">
      <alignment horizontal="left" vertical="top" wrapText="1"/>
    </xf>
    <xf numFmtId="4" fontId="22" fillId="2" borderId="49" xfId="0" applyNumberFormat="1" applyFont="1" applyFill="1" applyBorder="1" applyAlignment="1">
      <alignment horizontal="left" vertical="top" wrapText="1"/>
    </xf>
    <xf numFmtId="4" fontId="22" fillId="2" borderId="50" xfId="0" applyNumberFormat="1" applyFont="1" applyFill="1" applyBorder="1" applyAlignment="1">
      <alignment horizontal="left" vertical="top" wrapText="1"/>
    </xf>
    <xf numFmtId="0" fontId="34" fillId="0" borderId="51" xfId="0" applyFont="1" applyBorder="1" applyAlignment="1">
      <alignment horizontal="left" vertical="center" wrapText="1"/>
    </xf>
    <xf numFmtId="0" fontId="35" fillId="0" borderId="52" xfId="0" applyFont="1" applyBorder="1" applyAlignment="1">
      <alignment horizontal="left" vertical="center" wrapText="1"/>
    </xf>
    <xf numFmtId="0" fontId="34" fillId="4" borderId="28" xfId="0" applyFont="1" applyFill="1" applyBorder="1" applyAlignment="1">
      <alignment horizontal="left" vertical="center" wrapText="1"/>
    </xf>
    <xf numFmtId="0" fontId="34" fillId="4" borderId="30" xfId="0" applyFont="1" applyFill="1" applyBorder="1" applyAlignment="1">
      <alignment horizontal="left" vertical="center" wrapText="1"/>
    </xf>
    <xf numFmtId="0" fontId="22" fillId="11" borderId="16" xfId="0" applyFont="1" applyFill="1" applyBorder="1" applyAlignment="1">
      <alignment horizontal="center" vertical="center" wrapText="1"/>
    </xf>
    <xf numFmtId="0" fontId="22" fillId="11" borderId="13" xfId="0" applyFont="1" applyFill="1" applyBorder="1" applyAlignment="1">
      <alignment horizontal="center" vertical="center" wrapText="1"/>
    </xf>
    <xf numFmtId="0" fontId="31" fillId="0" borderId="47" xfId="0" applyFont="1" applyBorder="1" applyAlignment="1">
      <alignment horizontal="left" vertical="top" wrapText="1"/>
    </xf>
    <xf numFmtId="0" fontId="31" fillId="0" borderId="37" xfId="0" applyFont="1" applyBorder="1" applyAlignment="1">
      <alignment horizontal="left" vertical="top" wrapText="1"/>
    </xf>
    <xf numFmtId="0" fontId="31" fillId="0" borderId="48" xfId="0" applyFont="1" applyBorder="1" applyAlignment="1">
      <alignment horizontal="left" vertical="top" wrapText="1"/>
    </xf>
    <xf numFmtId="4" fontId="29" fillId="0" borderId="39" xfId="0" applyNumberFormat="1" applyFont="1" applyBorder="1" applyAlignment="1">
      <alignment horizontal="center" vertical="center" wrapText="1"/>
    </xf>
    <xf numFmtId="0" fontId="20" fillId="0" borderId="16" xfId="0" applyFont="1" applyFill="1" applyBorder="1" applyAlignment="1">
      <alignment horizontal="center" vertical="center" wrapText="1"/>
    </xf>
    <xf numFmtId="0" fontId="23" fillId="0" borderId="13" xfId="0" applyFont="1" applyBorder="1" applyAlignment="1">
      <alignment horizontal="center" vertical="center" wrapText="1"/>
    </xf>
    <xf numFmtId="4" fontId="30" fillId="0" borderId="43" xfId="0" applyNumberFormat="1" applyFont="1" applyBorder="1" applyAlignment="1">
      <alignment horizontal="center" vertical="center" wrapText="1"/>
    </xf>
    <xf numFmtId="4" fontId="28" fillId="2" borderId="46" xfId="0" applyNumberFormat="1" applyFont="1" applyFill="1" applyBorder="1" applyAlignment="1">
      <alignment horizontal="center" vertical="center" wrapText="1"/>
    </xf>
    <xf numFmtId="0" fontId="21" fillId="3" borderId="1" xfId="0" applyFont="1" applyFill="1" applyBorder="1" applyAlignment="1">
      <alignment horizontal="center"/>
    </xf>
    <xf numFmtId="4" fontId="32" fillId="10" borderId="1" xfId="0" applyNumberFormat="1" applyFont="1" applyFill="1" applyBorder="1" applyAlignment="1">
      <alignment horizontal="left"/>
    </xf>
    <xf numFmtId="4" fontId="32" fillId="10" borderId="22" xfId="0" applyNumberFormat="1" applyFont="1" applyFill="1" applyBorder="1" applyAlignment="1">
      <alignment horizontal="left"/>
    </xf>
    <xf numFmtId="0" fontId="21" fillId="3" borderId="22" xfId="0" applyFont="1" applyFill="1" applyBorder="1" applyAlignment="1">
      <alignment horizontal="center"/>
    </xf>
    <xf numFmtId="4" fontId="30" fillId="0" borderId="37" xfId="0" applyNumberFormat="1" applyFont="1" applyBorder="1" applyAlignment="1">
      <alignment horizontal="center" vertical="center" wrapText="1"/>
    </xf>
    <xf numFmtId="4" fontId="30" fillId="0" borderId="17" xfId="0" applyNumberFormat="1" applyFont="1" applyBorder="1" applyAlignment="1">
      <alignment horizontal="center" vertical="center" wrapText="1"/>
    </xf>
    <xf numFmtId="4" fontId="30" fillId="0" borderId="18" xfId="0" applyNumberFormat="1" applyFont="1" applyBorder="1" applyAlignment="1">
      <alignment horizontal="center" vertical="center" wrapText="1"/>
    </xf>
    <xf numFmtId="0" fontId="20" fillId="0" borderId="13" xfId="0" applyFont="1" applyFill="1" applyBorder="1" applyAlignment="1">
      <alignment horizontal="center" vertical="center" wrapText="1"/>
    </xf>
    <xf numFmtId="4" fontId="29" fillId="4" borderId="39" xfId="0" applyNumberFormat="1" applyFont="1" applyFill="1" applyBorder="1" applyAlignment="1">
      <alignment horizontal="center" vertical="center" wrapText="1"/>
    </xf>
    <xf numFmtId="0" fontId="22" fillId="3" borderId="33" xfId="0" applyFont="1" applyFill="1" applyBorder="1" applyAlignment="1">
      <alignment horizontal="center" vertical="center" wrapText="1"/>
    </xf>
    <xf numFmtId="0" fontId="0" fillId="3" borderId="33" xfId="0" applyFill="1" applyBorder="1" applyAlignment="1">
      <alignment horizontal="center" vertical="center" wrapText="1"/>
    </xf>
    <xf numFmtId="0" fontId="21" fillId="3" borderId="16" xfId="0" applyFont="1" applyFill="1" applyBorder="1" applyAlignment="1">
      <alignment horizontal="center" vertical="center"/>
    </xf>
    <xf numFmtId="0" fontId="0" fillId="3" borderId="13" xfId="0" applyFill="1" applyBorder="1" applyAlignment="1">
      <alignment horizontal="center" vertical="center"/>
    </xf>
    <xf numFmtId="0" fontId="17" fillId="0" borderId="0" xfId="0" applyFont="1" applyAlignment="1">
      <alignment horizontal="left"/>
    </xf>
    <xf numFmtId="0" fontId="21" fillId="3" borderId="16" xfId="0" applyFont="1" applyFill="1" applyBorder="1" applyAlignment="1">
      <alignment horizontal="center"/>
    </xf>
    <xf numFmtId="0" fontId="21" fillId="3" borderId="13" xfId="0" applyFont="1" applyFill="1" applyBorder="1" applyAlignment="1">
      <alignment horizontal="center"/>
    </xf>
    <xf numFmtId="0" fontId="22" fillId="2" borderId="17" xfId="0" applyFont="1" applyFill="1" applyBorder="1" applyAlignment="1">
      <alignment horizontal="left" vertical="top" wrapText="1"/>
    </xf>
    <xf numFmtId="0" fontId="22" fillId="2" borderId="18" xfId="0" applyFont="1" applyFill="1" applyBorder="1" applyAlignment="1">
      <alignment horizontal="left" vertical="top" wrapText="1"/>
    </xf>
    <xf numFmtId="0" fontId="20" fillId="0" borderId="20" xfId="0" applyFont="1" applyFill="1" applyBorder="1" applyAlignment="1">
      <alignment horizontal="left" vertical="center" wrapText="1"/>
    </xf>
    <xf numFmtId="0" fontId="23" fillId="0" borderId="0" xfId="0" applyFont="1" applyBorder="1" applyAlignment="1"/>
    <xf numFmtId="0" fontId="23" fillId="0" borderId="21" xfId="0" applyFont="1" applyBorder="1" applyAlignment="1"/>
    <xf numFmtId="0" fontId="24" fillId="0" borderId="22" xfId="0" applyFont="1" applyBorder="1" applyAlignment="1">
      <alignment horizontal="left" vertical="top" wrapText="1"/>
    </xf>
    <xf numFmtId="0" fontId="25" fillId="0" borderId="23" xfId="0" applyFont="1" applyBorder="1" applyAlignment="1">
      <alignment horizontal="left" vertical="top" wrapText="1"/>
    </xf>
    <xf numFmtId="0" fontId="25" fillId="0" borderId="24" xfId="0" applyFont="1" applyBorder="1" applyAlignment="1">
      <alignment horizontal="left" vertical="top" wrapText="1"/>
    </xf>
    <xf numFmtId="0" fontId="22" fillId="2" borderId="25" xfId="0" applyFont="1" applyFill="1" applyBorder="1" applyAlignment="1">
      <alignment horizontal="left" vertical="top" wrapText="1"/>
    </xf>
    <xf numFmtId="0" fontId="22" fillId="2" borderId="26" xfId="0" applyFont="1" applyFill="1" applyBorder="1" applyAlignment="1">
      <alignment horizontal="left" vertical="top" wrapText="1"/>
    </xf>
    <xf numFmtId="0" fontId="22" fillId="10" borderId="28" xfId="0" applyFont="1" applyFill="1" applyBorder="1" applyAlignment="1">
      <alignment horizontal="left" vertical="top" wrapText="1"/>
    </xf>
    <xf numFmtId="0" fontId="22" fillId="10" borderId="29" xfId="0" applyFont="1" applyFill="1" applyBorder="1" applyAlignment="1">
      <alignment horizontal="left" vertical="top" wrapText="1"/>
    </xf>
    <xf numFmtId="0" fontId="22" fillId="10" borderId="30" xfId="0" applyFont="1" applyFill="1" applyBorder="1" applyAlignment="1">
      <alignment horizontal="left" vertical="top" wrapText="1"/>
    </xf>
    <xf numFmtId="0" fontId="0" fillId="0" borderId="0" xfId="0" applyAlignment="1">
      <alignment horizontal="center" vertical="top"/>
    </xf>
    <xf numFmtId="0" fontId="34" fillId="0" borderId="42" xfId="0" applyFont="1" applyBorder="1" applyAlignment="1">
      <alignment horizontal="left" vertical="center" wrapText="1"/>
    </xf>
    <xf numFmtId="0" fontId="35" fillId="2" borderId="16" xfId="0" applyFont="1" applyFill="1" applyBorder="1" applyAlignment="1">
      <alignment horizontal="left" vertical="center" wrapText="1"/>
    </xf>
    <xf numFmtId="0" fontId="35" fillId="2" borderId="49" xfId="0" applyFont="1" applyFill="1" applyBorder="1" applyAlignment="1">
      <alignment horizontal="left" vertical="center" wrapText="1"/>
    </xf>
    <xf numFmtId="0" fontId="44" fillId="0" borderId="16" xfId="0" applyFont="1" applyFill="1" applyBorder="1" applyAlignment="1">
      <alignment horizontal="center" vertical="center" wrapText="1"/>
    </xf>
    <xf numFmtId="0" fontId="44" fillId="0" borderId="13" xfId="0" applyFont="1" applyFill="1" applyBorder="1" applyAlignment="1">
      <alignment horizontal="center" vertical="center" wrapText="1"/>
    </xf>
    <xf numFmtId="0" fontId="20" fillId="0" borderId="60" xfId="0" applyFont="1" applyBorder="1" applyAlignment="1">
      <alignment horizontal="left" vertical="center" wrapText="1"/>
    </xf>
    <xf numFmtId="0" fontId="20" fillId="0" borderId="39" xfId="0" applyFont="1" applyBorder="1" applyAlignment="1">
      <alignment horizontal="left" vertical="center" wrapText="1"/>
    </xf>
    <xf numFmtId="0" fontId="20" fillId="0" borderId="61" xfId="0" applyFont="1" applyBorder="1" applyAlignment="1">
      <alignment horizontal="left" vertical="center" wrapText="1"/>
    </xf>
    <xf numFmtId="0" fontId="24" fillId="0" borderId="60" xfId="0" applyFont="1" applyBorder="1" applyAlignment="1">
      <alignment horizontal="left" vertical="center" wrapText="1"/>
    </xf>
    <xf numFmtId="0" fontId="24" fillId="0" borderId="39" xfId="0" applyFont="1" applyBorder="1" applyAlignment="1">
      <alignment horizontal="left" vertical="center" wrapText="1"/>
    </xf>
    <xf numFmtId="0" fontId="24" fillId="0" borderId="61" xfId="0" applyFont="1" applyBorder="1" applyAlignment="1">
      <alignment horizontal="left" vertical="center" wrapText="1"/>
    </xf>
    <xf numFmtId="0" fontId="24" fillId="0" borderId="77" xfId="0" applyFont="1" applyFill="1" applyBorder="1" applyAlignment="1">
      <alignment horizontal="left" vertical="center" wrapText="1"/>
    </xf>
    <xf numFmtId="0" fontId="24" fillId="0" borderId="78" xfId="0" applyFont="1" applyFill="1" applyBorder="1" applyAlignment="1">
      <alignment horizontal="left" vertical="center" wrapText="1"/>
    </xf>
    <xf numFmtId="0" fontId="34" fillId="0" borderId="77" xfId="0" applyFont="1" applyFill="1" applyBorder="1" applyAlignment="1">
      <alignment horizontal="left" vertical="center" wrapText="1"/>
    </xf>
    <xf numFmtId="0" fontId="34" fillId="0" borderId="78" xfId="0" applyFont="1" applyFill="1" applyBorder="1" applyAlignment="1">
      <alignment horizontal="left" vertical="center" wrapText="1"/>
    </xf>
    <xf numFmtId="0" fontId="34" fillId="0" borderId="17" xfId="0" applyFont="1" applyFill="1" applyBorder="1" applyAlignment="1">
      <alignment horizontal="left" vertical="center" wrapText="1"/>
    </xf>
    <xf numFmtId="0" fontId="34" fillId="0" borderId="61" xfId="0" applyFont="1" applyFill="1" applyBorder="1" applyAlignment="1">
      <alignment horizontal="left" vertical="center" wrapText="1"/>
    </xf>
    <xf numFmtId="0" fontId="34" fillId="0" borderId="25" xfId="0" applyFont="1" applyFill="1" applyBorder="1" applyAlignment="1">
      <alignment horizontal="left" vertical="center" wrapText="1"/>
    </xf>
    <xf numFmtId="0" fontId="34" fillId="0" borderId="59" xfId="0" applyFont="1" applyFill="1" applyBorder="1" applyAlignment="1">
      <alignment horizontal="left" vertical="center" wrapText="1"/>
    </xf>
    <xf numFmtId="4" fontId="24" fillId="0" borderId="14" xfId="0" applyNumberFormat="1" applyFont="1" applyBorder="1" applyAlignment="1">
      <alignment horizontal="left" vertical="top" wrapText="1"/>
    </xf>
    <xf numFmtId="4" fontId="30" fillId="0" borderId="72" xfId="0" applyNumberFormat="1" applyFont="1" applyBorder="1" applyAlignment="1">
      <alignment horizontal="center" vertical="center" wrapText="1"/>
    </xf>
    <xf numFmtId="4" fontId="30" fillId="0" borderId="59" xfId="0" applyNumberFormat="1" applyFont="1" applyBorder="1" applyAlignment="1">
      <alignment horizontal="center" vertical="center" wrapText="1"/>
    </xf>
    <xf numFmtId="0" fontId="42" fillId="0" borderId="29" xfId="0" applyFont="1" applyFill="1" applyBorder="1" applyAlignment="1">
      <alignment horizontal="left" vertical="top" wrapText="1"/>
    </xf>
    <xf numFmtId="0" fontId="42" fillId="0" borderId="73" xfId="0" applyFont="1" applyFill="1" applyBorder="1" applyAlignment="1">
      <alignment horizontal="left" vertical="top" wrapText="1"/>
    </xf>
    <xf numFmtId="4" fontId="30" fillId="0" borderId="60" xfId="0" applyNumberFormat="1" applyFont="1" applyBorder="1" applyAlignment="1">
      <alignment horizontal="center" vertical="center" wrapText="1"/>
    </xf>
    <xf numFmtId="4" fontId="30" fillId="0" borderId="39" xfId="0" applyNumberFormat="1" applyFont="1" applyBorder="1" applyAlignment="1">
      <alignment horizontal="center" vertical="center" wrapText="1"/>
    </xf>
    <xf numFmtId="0" fontId="42" fillId="0" borderId="69" xfId="0" applyFont="1" applyFill="1" applyBorder="1" applyAlignment="1">
      <alignment horizontal="left" vertical="top" wrapText="1"/>
    </xf>
    <xf numFmtId="0" fontId="42" fillId="0" borderId="70" xfId="0" applyFont="1" applyFill="1" applyBorder="1" applyAlignment="1">
      <alignment horizontal="left" vertical="top" wrapText="1"/>
    </xf>
    <xf numFmtId="4" fontId="29" fillId="4" borderId="60" xfId="0" applyNumberFormat="1" applyFont="1" applyFill="1" applyBorder="1" applyAlignment="1">
      <alignment horizontal="center" vertical="center" wrapText="1"/>
    </xf>
    <xf numFmtId="0" fontId="42" fillId="0" borderId="60" xfId="0" applyFont="1" applyFill="1" applyBorder="1" applyAlignment="1">
      <alignment horizontal="left" vertical="center" wrapText="1"/>
    </xf>
    <xf numFmtId="0" fontId="42" fillId="0" borderId="71" xfId="0" applyFont="1" applyFill="1" applyBorder="1" applyAlignment="1">
      <alignment horizontal="left" vertical="center" wrapText="1"/>
    </xf>
    <xf numFmtId="4" fontId="29" fillId="0" borderId="60" xfId="0" applyNumberFormat="1" applyFont="1" applyBorder="1" applyAlignment="1">
      <alignment horizontal="center" vertical="center" wrapText="1"/>
    </xf>
    <xf numFmtId="4" fontId="29" fillId="0" borderId="61" xfId="0" applyNumberFormat="1" applyFont="1" applyBorder="1" applyAlignment="1">
      <alignment horizontal="center" vertical="center" wrapText="1"/>
    </xf>
    <xf numFmtId="0" fontId="20" fillId="0" borderId="69" xfId="0" applyFont="1" applyFill="1" applyBorder="1" applyAlignment="1">
      <alignment horizontal="left" vertical="center" wrapText="1"/>
    </xf>
    <xf numFmtId="0" fontId="20" fillId="0" borderId="70" xfId="0" applyFont="1" applyFill="1" applyBorder="1" applyAlignment="1">
      <alignment horizontal="left" vertical="center" wrapText="1"/>
    </xf>
    <xf numFmtId="4" fontId="30" fillId="0" borderId="47" xfId="0" applyNumberFormat="1" applyFont="1" applyBorder="1" applyAlignment="1">
      <alignment horizontal="center" vertical="center" wrapText="1"/>
    </xf>
    <xf numFmtId="0" fontId="42" fillId="0" borderId="47" xfId="0" applyFont="1" applyFill="1" applyBorder="1" applyAlignment="1">
      <alignment horizontal="left" vertical="top" wrapText="1"/>
    </xf>
    <xf numFmtId="0" fontId="42" fillId="0" borderId="67" xfId="0" applyFont="1" applyFill="1" applyBorder="1" applyAlignment="1">
      <alignment horizontal="left" vertical="top" wrapText="1"/>
    </xf>
    <xf numFmtId="0" fontId="21" fillId="3" borderId="13" xfId="0" applyFont="1" applyFill="1" applyBorder="1" applyAlignment="1">
      <alignment horizontal="center" vertical="center"/>
    </xf>
    <xf numFmtId="0" fontId="22" fillId="2" borderId="17" xfId="0" applyFont="1" applyFill="1" applyBorder="1" applyAlignment="1">
      <alignment horizontal="left" vertical="center" wrapText="1"/>
    </xf>
    <xf numFmtId="0" fontId="22" fillId="2" borderId="18" xfId="0" applyFont="1" applyFill="1" applyBorder="1" applyAlignment="1">
      <alignment horizontal="left" vertical="center" wrapText="1"/>
    </xf>
    <xf numFmtId="0" fontId="20" fillId="0" borderId="55" xfId="0" applyFont="1" applyBorder="1" applyAlignment="1">
      <alignment horizontal="left" vertical="center" wrapText="1"/>
    </xf>
    <xf numFmtId="0" fontId="20" fillId="0" borderId="37" xfId="0" applyFont="1" applyBorder="1" applyAlignment="1">
      <alignment horizontal="left" vertical="center" wrapText="1"/>
    </xf>
    <xf numFmtId="0" fontId="20" fillId="0" borderId="62" xfId="0" applyFont="1" applyBorder="1" applyAlignment="1">
      <alignment horizontal="left" vertical="center" wrapText="1"/>
    </xf>
    <xf numFmtId="0" fontId="24" fillId="0" borderId="63" xfId="0" applyFont="1" applyBorder="1" applyAlignment="1">
      <alignment horizontal="left" vertical="center" wrapText="1"/>
    </xf>
    <xf numFmtId="0" fontId="24" fillId="0" borderId="56" xfId="0" applyFont="1" applyBorder="1" applyAlignment="1">
      <alignment horizontal="left" vertical="center" wrapText="1"/>
    </xf>
    <xf numFmtId="0" fontId="24" fillId="0" borderId="64" xfId="0" applyFont="1" applyBorder="1" applyAlignment="1">
      <alignment horizontal="left" vertical="center" wrapText="1"/>
    </xf>
    <xf numFmtId="0" fontId="21" fillId="3" borderId="65" xfId="0" applyFont="1" applyFill="1" applyBorder="1" applyAlignment="1">
      <alignment horizontal="center" vertical="center"/>
    </xf>
    <xf numFmtId="0" fontId="0" fillId="3" borderId="66" xfId="0" applyFill="1" applyBorder="1" applyAlignment="1">
      <alignment horizontal="center" vertical="center"/>
    </xf>
    <xf numFmtId="0" fontId="37" fillId="0" borderId="60" xfId="0" applyFont="1" applyBorder="1" applyAlignment="1">
      <alignment horizontal="left" vertical="center" wrapText="1"/>
    </xf>
    <xf numFmtId="0" fontId="40" fillId="0" borderId="55" xfId="0" applyFont="1" applyBorder="1" applyAlignment="1">
      <alignment horizontal="left" vertical="top" wrapText="1"/>
    </xf>
    <xf numFmtId="0" fontId="41" fillId="0" borderId="37" xfId="0" applyFont="1" applyBorder="1" applyAlignment="1">
      <alignment horizontal="left" vertical="top" wrapText="1"/>
    </xf>
    <xf numFmtId="0" fontId="37" fillId="0" borderId="60" xfId="0" applyFont="1" applyBorder="1" applyAlignment="1">
      <alignment horizontal="left" vertical="top" wrapText="1"/>
    </xf>
    <xf numFmtId="0" fontId="39" fillId="0" borderId="51" xfId="0" applyFont="1" applyBorder="1" applyAlignment="1">
      <alignment horizontal="left" vertical="center" wrapText="1"/>
    </xf>
    <xf numFmtId="0" fontId="35" fillId="4" borderId="28"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23" fillId="0" borderId="13" xfId="0" applyFont="1" applyBorder="1" applyAlignment="1">
      <alignment horizontal="left" vertical="center" wrapText="1"/>
    </xf>
    <xf numFmtId="0" fontId="20" fillId="0" borderId="13" xfId="0" applyFont="1" applyFill="1" applyBorder="1" applyAlignment="1">
      <alignment horizontal="left" vertical="center" wrapText="1"/>
    </xf>
    <xf numFmtId="49" fontId="20" fillId="0" borderId="20" xfId="0" applyNumberFormat="1" applyFont="1" applyFill="1" applyBorder="1" applyAlignment="1">
      <alignment horizontal="left" vertical="center" wrapText="1"/>
    </xf>
    <xf numFmtId="49" fontId="23" fillId="0" borderId="0" xfId="0" applyNumberFormat="1" applyFont="1" applyBorder="1" applyAlignment="1"/>
    <xf numFmtId="49" fontId="23" fillId="0" borderId="21" xfId="0" applyNumberFormat="1" applyFont="1" applyBorder="1" applyAlignment="1"/>
    <xf numFmtId="0" fontId="20" fillId="0" borderId="36" xfId="0" applyFont="1" applyBorder="1"/>
    <xf numFmtId="0" fontId="0" fillId="0" borderId="0" xfId="0" applyAlignment="1">
      <alignment horizontal="left" vertical="top"/>
    </xf>
    <xf numFmtId="3" fontId="7" fillId="2" borderId="1" xfId="2" applyFont="1" applyFill="1" applyBorder="1" applyAlignment="1">
      <alignment horizontal="center" vertical="center" wrapText="1"/>
    </xf>
    <xf numFmtId="0" fontId="2" fillId="2" borderId="1" xfId="0" applyFont="1" applyFill="1" applyBorder="1" applyAlignment="1">
      <alignment horizontal="center" vertical="center" wrapText="1"/>
    </xf>
    <xf numFmtId="49" fontId="7" fillId="2" borderId="1" xfId="2" applyNumberFormat="1" applyFont="1" applyFill="1" applyBorder="1" applyAlignment="1">
      <alignment horizontal="center" vertical="center" wrapText="1"/>
    </xf>
    <xf numFmtId="0" fontId="24" fillId="0" borderId="17" xfId="0" applyFont="1" applyFill="1" applyBorder="1" applyAlignment="1">
      <alignment horizontal="left" vertical="center" wrapText="1"/>
    </xf>
    <xf numFmtId="0" fontId="24" fillId="0" borderId="61" xfId="0" applyFont="1" applyFill="1" applyBorder="1" applyAlignment="1">
      <alignment horizontal="left" vertical="center" wrapText="1"/>
    </xf>
    <xf numFmtId="0" fontId="20" fillId="0" borderId="17" xfId="0" applyFont="1" applyBorder="1" applyAlignment="1">
      <alignment horizontal="left"/>
    </xf>
    <xf numFmtId="0" fontId="20" fillId="0" borderId="61" xfId="0" applyFont="1" applyBorder="1" applyAlignment="1">
      <alignment horizontal="left"/>
    </xf>
    <xf numFmtId="0" fontId="24" fillId="0" borderId="57" xfId="0" applyFont="1" applyFill="1" applyBorder="1" applyAlignment="1">
      <alignment horizontal="left" vertical="center" wrapText="1"/>
    </xf>
    <xf numFmtId="0" fontId="24" fillId="0" borderId="58" xfId="0" applyFont="1" applyFill="1" applyBorder="1" applyAlignment="1">
      <alignment horizontal="left" vertical="center" wrapText="1"/>
    </xf>
    <xf numFmtId="0" fontId="43" fillId="0" borderId="90" xfId="0" applyFont="1" applyFill="1" applyBorder="1" applyAlignment="1">
      <alignment horizontal="left" wrapText="1"/>
    </xf>
    <xf numFmtId="0" fontId="43" fillId="0" borderId="104" xfId="0" applyFont="1" applyFill="1" applyBorder="1" applyAlignment="1">
      <alignment horizontal="left" wrapText="1"/>
    </xf>
    <xf numFmtId="4" fontId="30" fillId="0" borderId="61" xfId="0" applyNumberFormat="1" applyFont="1" applyBorder="1" applyAlignment="1">
      <alignment horizontal="center" vertical="center" wrapText="1"/>
    </xf>
    <xf numFmtId="0" fontId="42" fillId="0" borderId="0" xfId="0" applyFont="1" applyFill="1" applyBorder="1" applyAlignment="1">
      <alignment horizontal="left" vertical="top" wrapText="1"/>
    </xf>
    <xf numFmtId="0" fontId="42" fillId="0" borderId="103" xfId="0" applyFont="1" applyFill="1" applyBorder="1" applyAlignment="1">
      <alignment horizontal="left" vertical="top" wrapText="1"/>
    </xf>
    <xf numFmtId="4" fontId="29" fillId="4" borderId="61" xfId="0" applyNumberFormat="1" applyFont="1" applyFill="1" applyBorder="1" applyAlignment="1">
      <alignment horizontal="center" vertical="center" wrapText="1"/>
    </xf>
    <xf numFmtId="0" fontId="43" fillId="0" borderId="90" xfId="0" applyFont="1" applyFill="1" applyBorder="1" applyAlignment="1">
      <alignment horizontal="left" vertical="center" wrapText="1"/>
    </xf>
    <xf numFmtId="0" fontId="43" fillId="0" borderId="104" xfId="0" applyFont="1" applyFill="1" applyBorder="1" applyAlignment="1">
      <alignment horizontal="left" vertical="center" wrapText="1"/>
    </xf>
    <xf numFmtId="0" fontId="20" fillId="0" borderId="60" xfId="0" applyFont="1" applyFill="1" applyBorder="1" applyAlignment="1">
      <alignment horizontal="center" vertical="center" wrapText="1"/>
    </xf>
    <xf numFmtId="0" fontId="20" fillId="0" borderId="71" xfId="0" applyFont="1" applyFill="1" applyBorder="1" applyAlignment="1">
      <alignment horizontal="center" vertical="center" wrapText="1"/>
    </xf>
    <xf numFmtId="4" fontId="30" fillId="0" borderId="48" xfId="0" applyNumberFormat="1" applyFont="1" applyBorder="1" applyAlignment="1">
      <alignment horizontal="center" vertical="center" wrapText="1"/>
    </xf>
    <xf numFmtId="0" fontId="43" fillId="0" borderId="37" xfId="0" applyFont="1" applyFill="1" applyBorder="1" applyAlignment="1">
      <alignment horizontal="left" vertical="top" wrapText="1"/>
    </xf>
    <xf numFmtId="0" fontId="43" fillId="0" borderId="67" xfId="0" applyFont="1" applyFill="1" applyBorder="1" applyAlignment="1">
      <alignment horizontal="left" vertical="top" wrapText="1"/>
    </xf>
    <xf numFmtId="3" fontId="7" fillId="6" borderId="1" xfId="2" applyFont="1" applyFill="1" applyBorder="1" applyAlignment="1">
      <alignment horizontal="center" wrapText="1"/>
    </xf>
    <xf numFmtId="3" fontId="8" fillId="7" borderId="1" xfId="2" applyFont="1" applyFill="1" applyBorder="1" applyAlignment="1">
      <alignment horizontal="left"/>
    </xf>
    <xf numFmtId="4" fontId="7" fillId="6" borderId="1" xfId="2" applyNumberFormat="1" applyFont="1" applyFill="1" applyBorder="1" applyAlignment="1">
      <alignment horizontal="center" wrapText="1"/>
    </xf>
    <xf numFmtId="4" fontId="7" fillId="6" borderId="1" xfId="2" applyNumberFormat="1" applyFont="1" applyFill="1" applyBorder="1" applyAlignment="1">
      <alignment horizontal="center"/>
    </xf>
    <xf numFmtId="0" fontId="2" fillId="6" borderId="1" xfId="0" applyFont="1" applyFill="1" applyBorder="1" applyAlignment="1">
      <alignment horizontal="center" wrapText="1"/>
    </xf>
    <xf numFmtId="49" fontId="7" fillId="6" borderId="1" xfId="2" applyNumberFormat="1" applyFont="1" applyFill="1" applyBorder="1" applyAlignment="1">
      <alignment horizontal="center" wrapText="1"/>
    </xf>
    <xf numFmtId="3" fontId="7" fillId="6" borderId="1" xfId="2" applyFont="1" applyFill="1" applyBorder="1" applyAlignment="1">
      <alignment horizontal="center"/>
    </xf>
    <xf numFmtId="0" fontId="60" fillId="7" borderId="0" xfId="0" applyFont="1" applyFill="1" applyAlignment="1">
      <alignment horizontal="left"/>
    </xf>
    <xf numFmtId="0" fontId="62" fillId="7" borderId="0" xfId="0" applyFont="1" applyFill="1" applyAlignment="1">
      <alignment horizontal="left"/>
    </xf>
    <xf numFmtId="0" fontId="62" fillId="14" borderId="16" xfId="0" applyFont="1" applyFill="1" applyBorder="1" applyAlignment="1">
      <alignment horizontal="center" vertical="center" wrapText="1"/>
    </xf>
    <xf numFmtId="0" fontId="62" fillId="14" borderId="49" xfId="0" applyFont="1" applyFill="1" applyBorder="1" applyAlignment="1">
      <alignment horizontal="center" vertical="center" wrapText="1"/>
    </xf>
    <xf numFmtId="0" fontId="64" fillId="0" borderId="55" xfId="0" applyFont="1" applyBorder="1" applyAlignment="1">
      <alignment horizontal="left" vertical="top" wrapText="1"/>
    </xf>
    <xf numFmtId="0" fontId="64" fillId="0" borderId="37" xfId="0" applyFont="1" applyBorder="1" applyAlignment="1">
      <alignment horizontal="left" vertical="top" wrapText="1"/>
    </xf>
    <xf numFmtId="0" fontId="62" fillId="6" borderId="16" xfId="0" applyFont="1" applyFill="1" applyBorder="1" applyAlignment="1">
      <alignment horizontal="center" vertical="center" wrapText="1"/>
    </xf>
    <xf numFmtId="0" fontId="62" fillId="6" borderId="49" xfId="0" applyFont="1" applyFill="1" applyBorder="1" applyAlignment="1">
      <alignment horizontal="center" vertical="center" wrapText="1"/>
    </xf>
    <xf numFmtId="0" fontId="52" fillId="15" borderId="16" xfId="0" applyFont="1" applyFill="1" applyBorder="1" applyAlignment="1">
      <alignment horizontal="center" vertical="center" wrapText="1"/>
    </xf>
    <xf numFmtId="0" fontId="52" fillId="15" borderId="13" xfId="0" applyFont="1" applyFill="1" applyBorder="1" applyAlignment="1">
      <alignment horizontal="center" vertical="center" wrapText="1"/>
    </xf>
    <xf numFmtId="0" fontId="36" fillId="7" borderId="0" xfId="0" applyFont="1" applyFill="1" applyAlignment="1">
      <alignment horizontal="left"/>
    </xf>
    <xf numFmtId="0" fontId="52" fillId="0" borderId="53" xfId="0" applyFont="1" applyBorder="1" applyAlignment="1">
      <alignment horizontal="left" vertical="top" wrapText="1"/>
    </xf>
    <xf numFmtId="0" fontId="51" fillId="0" borderId="51" xfId="0" applyFont="1" applyBorder="1" applyAlignment="1">
      <alignment horizontal="left" vertical="center" wrapText="1"/>
    </xf>
    <xf numFmtId="0" fontId="69" fillId="0" borderId="84" xfId="0" applyFont="1" applyBorder="1" applyAlignment="1">
      <alignment horizontal="left" vertical="center" wrapText="1"/>
    </xf>
    <xf numFmtId="0" fontId="69" fillId="0" borderId="28" xfId="0" applyFont="1" applyBorder="1" applyAlignment="1">
      <alignment horizontal="left" vertical="center" wrapText="1"/>
    </xf>
    <xf numFmtId="0" fontId="69" fillId="0" borderId="96" xfId="0" applyFont="1" applyBorder="1" applyAlignment="1">
      <alignment horizontal="left" vertical="center" wrapText="1"/>
    </xf>
    <xf numFmtId="14" fontId="50" fillId="0" borderId="5" xfId="0" applyNumberFormat="1" applyFont="1" applyBorder="1" applyAlignment="1">
      <alignment horizontal="center" vertical="center" wrapText="1"/>
    </xf>
    <xf numFmtId="0" fontId="0" fillId="0" borderId="9" xfId="0" applyBorder="1" applyAlignment="1">
      <alignment horizontal="center" vertical="center" wrapText="1"/>
    </xf>
    <xf numFmtId="14" fontId="50" fillId="0" borderId="85" xfId="0"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84" xfId="0" applyBorder="1" applyAlignment="1">
      <alignment horizontal="left" vertical="center" wrapText="1"/>
    </xf>
    <xf numFmtId="0" fontId="0" fillId="0" borderId="20" xfId="0" applyBorder="1" applyAlignment="1">
      <alignment horizontal="left" vertical="center" wrapText="1"/>
    </xf>
    <xf numFmtId="0" fontId="0" fillId="0" borderId="86" xfId="0" applyBorder="1" applyAlignment="1">
      <alignment horizontal="left" vertical="center" wrapText="1"/>
    </xf>
    <xf numFmtId="0" fontId="0" fillId="0" borderId="28" xfId="0" applyBorder="1" applyAlignment="1">
      <alignment horizontal="left" vertical="center" wrapText="1"/>
    </xf>
    <xf numFmtId="0" fontId="0" fillId="0" borderId="96" xfId="0" applyBorder="1" applyAlignment="1">
      <alignment horizontal="left"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58" fillId="0" borderId="51" xfId="0" applyFont="1" applyBorder="1" applyAlignment="1">
      <alignment horizontal="left" vertical="center" wrapText="1"/>
    </xf>
    <xf numFmtId="0" fontId="70" fillId="0" borderId="84" xfId="0" applyFont="1" applyBorder="1" applyAlignment="1">
      <alignment horizontal="left" vertical="center" wrapText="1"/>
    </xf>
    <xf numFmtId="0" fontId="70" fillId="0" borderId="20" xfId="0" applyFont="1" applyBorder="1" applyAlignment="1">
      <alignment horizontal="left" vertical="center" wrapText="1"/>
    </xf>
    <xf numFmtId="0" fontId="70" fillId="0" borderId="86" xfId="0" applyFont="1" applyBorder="1" applyAlignment="1">
      <alignment horizontal="left" vertical="center" wrapText="1"/>
    </xf>
    <xf numFmtId="0" fontId="70" fillId="0" borderId="28" xfId="0" applyFont="1" applyBorder="1" applyAlignment="1">
      <alignment horizontal="left" vertical="center" wrapText="1"/>
    </xf>
    <xf numFmtId="0" fontId="70" fillId="0" borderId="96" xfId="0" applyFont="1" applyBorder="1" applyAlignment="1">
      <alignment horizontal="left" vertical="center" wrapText="1"/>
    </xf>
    <xf numFmtId="0" fontId="62" fillId="15" borderId="16" xfId="0" applyFont="1" applyFill="1" applyBorder="1" applyAlignment="1">
      <alignment horizontal="center" vertical="center" wrapText="1"/>
    </xf>
    <xf numFmtId="0" fontId="62" fillId="15" borderId="13" xfId="0" applyFont="1" applyFill="1" applyBorder="1" applyAlignment="1">
      <alignment horizontal="center" vertical="center" wrapText="1"/>
    </xf>
    <xf numFmtId="0" fontId="69" fillId="0" borderId="20" xfId="0" applyFont="1" applyBorder="1" applyAlignment="1">
      <alignment horizontal="left" vertical="center" wrapText="1"/>
    </xf>
    <xf numFmtId="0" fontId="69" fillId="0" borderId="86" xfId="0" applyFont="1" applyBorder="1" applyAlignment="1">
      <alignment horizontal="left" vertical="center" wrapText="1"/>
    </xf>
    <xf numFmtId="0" fontId="61" fillId="14" borderId="1" xfId="0" applyFont="1" applyFill="1" applyBorder="1" applyAlignment="1">
      <alignment horizontal="center"/>
    </xf>
    <xf numFmtId="0" fontId="67" fillId="0" borderId="47" xfId="0" applyFont="1" applyBorder="1" applyAlignment="1">
      <alignment horizontal="left" vertical="top" wrapText="1"/>
    </xf>
    <xf numFmtId="0" fontId="67" fillId="0" borderId="37" xfId="0" applyFont="1" applyBorder="1" applyAlignment="1">
      <alignment horizontal="left" vertical="top" wrapText="1"/>
    </xf>
    <xf numFmtId="0" fontId="67" fillId="0" borderId="48" xfId="0" applyFont="1" applyBorder="1" applyAlignment="1">
      <alignment horizontal="left" vertical="top" wrapText="1"/>
    </xf>
    <xf numFmtId="4" fontId="57" fillId="15" borderId="1" xfId="0" applyNumberFormat="1" applyFont="1" applyFill="1" applyBorder="1" applyAlignment="1">
      <alignment horizontal="left"/>
    </xf>
    <xf numFmtId="4" fontId="57" fillId="15" borderId="22" xfId="0" applyNumberFormat="1" applyFont="1" applyFill="1" applyBorder="1" applyAlignment="1">
      <alignment horizontal="left"/>
    </xf>
    <xf numFmtId="0" fontId="61" fillId="14" borderId="22" xfId="0" applyFont="1" applyFill="1" applyBorder="1" applyAlignment="1">
      <alignment horizontal="center"/>
    </xf>
    <xf numFmtId="4" fontId="62" fillId="15" borderId="1" xfId="0" applyNumberFormat="1" applyFont="1" applyFill="1" applyBorder="1" applyAlignment="1">
      <alignment horizontal="left"/>
    </xf>
    <xf numFmtId="4" fontId="61" fillId="14" borderId="1" xfId="0" applyNumberFormat="1" applyFont="1" applyFill="1" applyBorder="1" applyAlignment="1">
      <alignment horizontal="center"/>
    </xf>
    <xf numFmtId="4" fontId="61" fillId="14" borderId="22" xfId="0" applyNumberFormat="1" applyFont="1" applyFill="1" applyBorder="1" applyAlignment="1">
      <alignment horizontal="center"/>
    </xf>
    <xf numFmtId="4" fontId="64" fillId="0" borderId="14" xfId="0" applyNumberFormat="1" applyFont="1" applyBorder="1" applyAlignment="1">
      <alignment horizontal="left" vertical="top" wrapText="1"/>
    </xf>
    <xf numFmtId="4" fontId="62" fillId="6" borderId="16" xfId="0" applyNumberFormat="1" applyFont="1" applyFill="1" applyBorder="1" applyAlignment="1">
      <alignment horizontal="left" vertical="top" wrapText="1"/>
    </xf>
    <xf numFmtId="4" fontId="62" fillId="6" borderId="49" xfId="0" applyNumberFormat="1" applyFont="1" applyFill="1" applyBorder="1" applyAlignment="1">
      <alignment horizontal="left" vertical="top" wrapText="1"/>
    </xf>
    <xf numFmtId="4" fontId="62" fillId="6" borderId="50" xfId="0" applyNumberFormat="1" applyFont="1" applyFill="1" applyBorder="1" applyAlignment="1">
      <alignment horizontal="left" vertical="top" wrapText="1"/>
    </xf>
    <xf numFmtId="0" fontId="52" fillId="0" borderId="16" xfId="0" applyFont="1" applyFill="1" applyBorder="1" applyAlignment="1">
      <alignment horizontal="left" vertical="center" wrapText="1"/>
    </xf>
    <xf numFmtId="0" fontId="63" fillId="0" borderId="13" xfId="0" applyFont="1" applyBorder="1" applyAlignment="1">
      <alignment horizontal="left" vertical="center" wrapText="1"/>
    </xf>
    <xf numFmtId="0" fontId="52" fillId="0" borderId="13" xfId="0" applyFont="1" applyFill="1" applyBorder="1" applyAlignment="1">
      <alignment horizontal="left" vertical="center" wrapText="1"/>
    </xf>
    <xf numFmtId="4" fontId="51" fillId="8" borderId="39" xfId="0" applyNumberFormat="1" applyFont="1" applyFill="1" applyBorder="1" applyAlignment="1">
      <alignment horizontal="center" vertical="center" wrapText="1"/>
    </xf>
    <xf numFmtId="4" fontId="51" fillId="0" borderId="39" xfId="0" applyNumberFormat="1" applyFont="1" applyBorder="1" applyAlignment="1">
      <alignment horizontal="center" vertical="center" wrapText="1"/>
    </xf>
    <xf numFmtId="4" fontId="50" fillId="6" borderId="46" xfId="0" applyNumberFormat="1" applyFont="1" applyFill="1" applyBorder="1" applyAlignment="1">
      <alignment horizontal="center" vertical="center" wrapText="1"/>
    </xf>
    <xf numFmtId="0" fontId="62" fillId="14" borderId="33" xfId="0" applyFont="1" applyFill="1" applyBorder="1" applyAlignment="1">
      <alignment horizontal="center" vertical="center" wrapText="1"/>
    </xf>
    <xf numFmtId="0" fontId="0" fillId="14" borderId="33" xfId="0" applyFill="1" applyBorder="1" applyAlignment="1">
      <alignment horizontal="center" vertical="center" wrapText="1"/>
    </xf>
    <xf numFmtId="0" fontId="61" fillId="14" borderId="16" xfId="0" applyFont="1" applyFill="1" applyBorder="1" applyAlignment="1">
      <alignment horizontal="center" vertical="center"/>
    </xf>
    <xf numFmtId="0" fontId="0" fillId="14" borderId="13" xfId="0" applyFill="1" applyBorder="1" applyAlignment="1">
      <alignment horizontal="center" vertical="center"/>
    </xf>
    <xf numFmtId="0" fontId="61" fillId="14" borderId="16" xfId="0" applyFont="1" applyFill="1" applyBorder="1" applyAlignment="1">
      <alignment horizontal="center"/>
    </xf>
    <xf numFmtId="0" fontId="61" fillId="14" borderId="13" xfId="0" applyFont="1" applyFill="1" applyBorder="1" applyAlignment="1">
      <alignment horizontal="center"/>
    </xf>
    <xf numFmtId="0" fontId="62" fillId="6" borderId="55" xfId="0" applyFont="1" applyFill="1" applyBorder="1" applyAlignment="1">
      <alignment horizontal="left" vertical="center" wrapText="1"/>
    </xf>
    <xf numFmtId="0" fontId="62" fillId="6" borderId="62" xfId="0" applyFont="1" applyFill="1" applyBorder="1" applyAlignment="1">
      <alignment horizontal="left" vertical="center" wrapText="1"/>
    </xf>
    <xf numFmtId="0" fontId="52" fillId="0" borderId="20" xfId="0" applyFont="1" applyFill="1" applyBorder="1" applyAlignment="1">
      <alignment horizontal="left" vertical="center" wrapText="1"/>
    </xf>
    <xf numFmtId="0" fontId="63" fillId="0" borderId="0" xfId="0" applyFont="1" applyBorder="1" applyAlignment="1"/>
    <xf numFmtId="0" fontId="63" fillId="0" borderId="21" xfId="0" applyFont="1" applyBorder="1" applyAlignment="1"/>
    <xf numFmtId="0" fontId="62" fillId="6" borderId="17" xfId="0" applyFont="1" applyFill="1" applyBorder="1" applyAlignment="1">
      <alignment horizontal="left" vertical="center" wrapText="1"/>
    </xf>
    <xf numFmtId="0" fontId="62" fillId="6" borderId="18" xfId="0" applyFont="1" applyFill="1" applyBorder="1" applyAlignment="1">
      <alignment horizontal="left" vertical="center" wrapText="1"/>
    </xf>
    <xf numFmtId="0" fontId="64" fillId="0" borderId="23" xfId="0" applyFont="1" applyBorder="1" applyAlignment="1">
      <alignment horizontal="left" vertical="top" wrapText="1"/>
    </xf>
    <xf numFmtId="0" fontId="64" fillId="0" borderId="24" xfId="0" applyFont="1" applyBorder="1" applyAlignment="1">
      <alignment horizontal="left" vertical="top" wrapText="1"/>
    </xf>
    <xf numFmtId="0" fontId="62" fillId="6" borderId="25" xfId="0" applyFont="1" applyFill="1" applyBorder="1" applyAlignment="1">
      <alignment horizontal="left" vertical="center" wrapText="1"/>
    </xf>
    <xf numFmtId="0" fontId="62" fillId="6" borderId="26" xfId="0" applyFont="1" applyFill="1" applyBorder="1" applyAlignment="1">
      <alignment horizontal="left" vertical="center" wrapText="1"/>
    </xf>
    <xf numFmtId="0" fontId="62" fillId="15" borderId="28" xfId="0" applyFont="1" applyFill="1" applyBorder="1" applyAlignment="1">
      <alignment horizontal="left" vertical="top" wrapText="1"/>
    </xf>
    <xf numFmtId="0" fontId="62" fillId="15" borderId="29" xfId="0" applyFont="1" applyFill="1" applyBorder="1" applyAlignment="1">
      <alignment horizontal="left" vertical="top" wrapText="1"/>
    </xf>
    <xf numFmtId="0" fontId="62" fillId="15" borderId="30" xfId="0" applyFont="1" applyFill="1" applyBorder="1" applyAlignment="1">
      <alignment horizontal="left" vertical="top" wrapText="1"/>
    </xf>
    <xf numFmtId="0" fontId="24" fillId="0" borderId="0" xfId="0" applyFont="1" applyBorder="1" applyAlignment="1">
      <alignment horizontal="left" vertical="top" wrapText="1"/>
    </xf>
    <xf numFmtId="0" fontId="25" fillId="0" borderId="0" xfId="0" applyFont="1" applyBorder="1" applyAlignment="1">
      <alignment horizontal="left" vertical="top" wrapText="1"/>
    </xf>
    <xf numFmtId="0" fontId="50" fillId="6" borderId="16" xfId="0" applyFont="1" applyFill="1" applyBorder="1" applyAlignment="1">
      <alignment horizontal="center" vertical="center" wrapText="1"/>
    </xf>
    <xf numFmtId="0" fontId="50" fillId="6" borderId="49" xfId="0" applyFont="1" applyFill="1" applyBorder="1" applyAlignment="1">
      <alignment horizontal="center" vertical="center" wrapText="1"/>
    </xf>
    <xf numFmtId="0" fontId="56" fillId="0" borderId="20" xfId="0" applyFont="1" applyBorder="1" applyAlignment="1">
      <alignment horizontal="left" vertical="center" wrapText="1"/>
    </xf>
    <xf numFmtId="0" fontId="56" fillId="0" borderId="21" xfId="0" applyFont="1" applyBorder="1" applyAlignment="1">
      <alignment horizontal="left" vertical="center" wrapText="1"/>
    </xf>
    <xf numFmtId="0" fontId="56" fillId="0" borderId="28" xfId="0" applyFont="1" applyBorder="1" applyAlignment="1">
      <alignment horizontal="left" vertical="center" wrapText="1"/>
    </xf>
    <xf numFmtId="0" fontId="56" fillId="0" borderId="30" xfId="0" applyFont="1" applyBorder="1" applyAlignment="1">
      <alignment horizontal="left" vertical="center" wrapText="1"/>
    </xf>
    <xf numFmtId="0" fontId="56" fillId="0" borderId="51" xfId="0" applyFont="1" applyBorder="1" applyAlignment="1">
      <alignment horizontal="left" vertical="center" wrapText="1"/>
    </xf>
    <xf numFmtId="0" fontId="56" fillId="0" borderId="53" xfId="0" applyFont="1" applyBorder="1" applyAlignment="1">
      <alignment horizontal="left" vertical="center" wrapText="1"/>
    </xf>
    <xf numFmtId="0" fontId="56" fillId="0" borderId="0" xfId="0" applyFont="1" applyBorder="1" applyAlignment="1">
      <alignment horizontal="left" vertical="center" wrapText="1"/>
    </xf>
    <xf numFmtId="0" fontId="56" fillId="0" borderId="20" xfId="0" applyFont="1" applyBorder="1" applyAlignment="1">
      <alignment horizontal="left" vertical="top" wrapText="1"/>
    </xf>
    <xf numFmtId="0" fontId="56" fillId="0" borderId="0" xfId="0" applyFont="1" applyBorder="1" applyAlignment="1">
      <alignment horizontal="left" vertical="top" wrapText="1"/>
    </xf>
    <xf numFmtId="0" fontId="56" fillId="0" borderId="52" xfId="0" applyFont="1" applyBorder="1" applyAlignment="1">
      <alignment horizontal="left" vertical="center" wrapText="1"/>
    </xf>
    <xf numFmtId="0" fontId="57" fillId="0" borderId="21" xfId="0" applyFont="1" applyBorder="1" applyAlignment="1">
      <alignment horizontal="left" vertical="center" wrapText="1"/>
    </xf>
    <xf numFmtId="49" fontId="56" fillId="0" borderId="28" xfId="0" applyNumberFormat="1" applyFont="1" applyBorder="1" applyAlignment="1">
      <alignment horizontal="left" vertical="center"/>
    </xf>
    <xf numFmtId="49" fontId="56" fillId="0" borderId="30" xfId="0" applyNumberFormat="1" applyFont="1" applyBorder="1" applyAlignment="1">
      <alignment horizontal="left" vertical="center"/>
    </xf>
    <xf numFmtId="0" fontId="55" fillId="0" borderId="51" xfId="0" applyFont="1" applyFill="1" applyBorder="1" applyAlignment="1">
      <alignment horizontal="left" vertical="center" wrapText="1"/>
    </xf>
    <xf numFmtId="0" fontId="55" fillId="0" borderId="52" xfId="0" applyFont="1" applyFill="1" applyBorder="1" applyAlignment="1">
      <alignment horizontal="left" vertical="center" wrapText="1"/>
    </xf>
    <xf numFmtId="0" fontId="32" fillId="0" borderId="28" xfId="0" applyFont="1" applyFill="1" applyBorder="1" applyAlignment="1">
      <alignment horizontal="center" vertical="center" wrapText="1"/>
    </xf>
    <xf numFmtId="0" fontId="32" fillId="0" borderId="30" xfId="0" applyFont="1" applyFill="1" applyBorder="1" applyAlignment="1">
      <alignment horizontal="center" vertical="center" wrapText="1"/>
    </xf>
    <xf numFmtId="0" fontId="57" fillId="0" borderId="0" xfId="0" applyFont="1" applyBorder="1" applyAlignment="1">
      <alignment horizontal="left" vertical="center" wrapText="1"/>
    </xf>
    <xf numFmtId="0" fontId="57" fillId="0" borderId="29" xfId="0" applyFont="1" applyBorder="1" applyAlignment="1">
      <alignment horizontal="left" vertical="center" wrapText="1"/>
    </xf>
    <xf numFmtId="0" fontId="31" fillId="0" borderId="62" xfId="0" applyFont="1" applyBorder="1" applyAlignment="1">
      <alignment horizontal="left" vertical="top" wrapText="1"/>
    </xf>
    <xf numFmtId="0" fontId="42" fillId="0" borderId="20" xfId="0" applyFont="1" applyBorder="1" applyAlignment="1">
      <alignment horizontal="left" vertical="top"/>
    </xf>
    <xf numFmtId="0" fontId="25" fillId="0" borderId="0" xfId="0" applyFont="1" applyBorder="1" applyAlignment="1">
      <alignment horizontal="left" vertical="top"/>
    </xf>
    <xf numFmtId="0" fontId="25" fillId="0" borderId="21" xfId="0" applyFont="1" applyBorder="1" applyAlignment="1">
      <alignment horizontal="left" vertical="top"/>
    </xf>
    <xf numFmtId="0" fontId="31" fillId="0" borderId="72" xfId="0" applyFont="1" applyBorder="1" applyAlignment="1">
      <alignment horizontal="left" vertical="top" wrapText="1"/>
    </xf>
    <xf numFmtId="0" fontId="31" fillId="0" borderId="43" xfId="0" applyFont="1" applyBorder="1" applyAlignment="1">
      <alignment horizontal="left" vertical="top" wrapText="1"/>
    </xf>
    <xf numFmtId="0" fontId="31" fillId="0" borderId="26" xfId="0" applyFont="1" applyBorder="1" applyAlignment="1">
      <alignment horizontal="left" vertical="top" wrapText="1"/>
    </xf>
    <xf numFmtId="4" fontId="24" fillId="0" borderId="2" xfId="0" applyNumberFormat="1" applyFont="1" applyBorder="1" applyAlignment="1">
      <alignment horizontal="left" vertical="top" wrapText="1"/>
    </xf>
    <xf numFmtId="4" fontId="24" fillId="0" borderId="4" xfId="0" applyNumberFormat="1" applyFont="1" applyBorder="1" applyAlignment="1">
      <alignment horizontal="left" vertical="top" wrapText="1"/>
    </xf>
    <xf numFmtId="4" fontId="25" fillId="0" borderId="4" xfId="0" applyNumberFormat="1" applyFont="1" applyBorder="1" applyAlignment="1">
      <alignment horizontal="left" vertical="top" wrapText="1"/>
    </xf>
    <xf numFmtId="4" fontId="25" fillId="0" borderId="83" xfId="0" applyNumberFormat="1" applyFont="1" applyBorder="1" applyAlignment="1">
      <alignment horizontal="left" vertical="top" wrapText="1"/>
    </xf>
    <xf numFmtId="4" fontId="22" fillId="2" borderId="13" xfId="0" applyNumberFormat="1" applyFont="1" applyFill="1" applyBorder="1" applyAlignment="1">
      <alignment horizontal="left" vertical="top" wrapText="1"/>
    </xf>
    <xf numFmtId="0" fontId="20" fillId="0" borderId="0" xfId="0" applyFont="1" applyFill="1" applyBorder="1" applyAlignment="1">
      <alignment horizontal="left" vertical="top" wrapText="1"/>
    </xf>
    <xf numFmtId="0" fontId="24" fillId="0" borderId="72" xfId="0" applyFont="1" applyBorder="1" applyAlignment="1">
      <alignment horizontal="left" vertical="top" wrapText="1"/>
    </xf>
    <xf numFmtId="0" fontId="24" fillId="0" borderId="43" xfId="0" applyFont="1" applyBorder="1" applyAlignment="1">
      <alignment horizontal="left" vertical="top" wrapText="1"/>
    </xf>
    <xf numFmtId="0" fontId="24" fillId="0" borderId="26" xfId="0" applyFont="1" applyBorder="1" applyAlignment="1">
      <alignment horizontal="left" vertical="top" wrapText="1"/>
    </xf>
    <xf numFmtId="0" fontId="20" fillId="11" borderId="1" xfId="0" applyFont="1" applyFill="1" applyBorder="1" applyAlignment="1">
      <alignment horizontal="center"/>
    </xf>
    <xf numFmtId="0" fontId="24" fillId="4" borderId="0" xfId="0" applyFont="1" applyFill="1" applyBorder="1" applyAlignment="1">
      <alignment vertical="center" wrapText="1"/>
    </xf>
    <xf numFmtId="0" fontId="24" fillId="0" borderId="47" xfId="0" applyFont="1" applyBorder="1" applyAlignment="1">
      <alignment horizontal="left" vertical="top" wrapText="1"/>
    </xf>
    <xf numFmtId="0" fontId="24" fillId="0" borderId="37" xfId="0" applyFont="1" applyBorder="1" applyAlignment="1">
      <alignment horizontal="left" vertical="top" wrapText="1"/>
    </xf>
    <xf numFmtId="0" fontId="24" fillId="0" borderId="48" xfId="0" applyFont="1" applyBorder="1" applyAlignment="1">
      <alignment horizontal="left" vertical="top" wrapText="1"/>
    </xf>
    <xf numFmtId="0" fontId="52" fillId="8" borderId="90" xfId="0" applyFont="1" applyFill="1" applyBorder="1" applyAlignment="1">
      <alignment horizontal="center" vertical="top" wrapText="1"/>
    </xf>
    <xf numFmtId="0" fontId="52" fillId="8" borderId="42" xfId="0" applyFont="1" applyFill="1" applyBorder="1" applyAlignment="1">
      <alignment horizontal="center" vertical="top" wrapText="1"/>
    </xf>
    <xf numFmtId="4" fontId="32" fillId="10" borderId="0" xfId="0" applyNumberFormat="1" applyFont="1" applyFill="1" applyBorder="1" applyAlignment="1">
      <alignment horizontal="left"/>
    </xf>
    <xf numFmtId="0" fontId="24" fillId="0" borderId="18" xfId="0" applyFont="1" applyBorder="1" applyAlignment="1">
      <alignment horizontal="left" vertical="top" wrapText="1"/>
    </xf>
    <xf numFmtId="0" fontId="22" fillId="2" borderId="60" xfId="0" applyFont="1" applyFill="1" applyBorder="1" applyAlignment="1">
      <alignment horizontal="left" vertical="top" wrapText="1"/>
    </xf>
    <xf numFmtId="0" fontId="22" fillId="2" borderId="61" xfId="0" applyFont="1" applyFill="1" applyBorder="1" applyAlignment="1">
      <alignment horizontal="left" vertical="top" wrapText="1"/>
    </xf>
    <xf numFmtId="0" fontId="24" fillId="0" borderId="15" xfId="0" applyFont="1" applyBorder="1" applyAlignment="1">
      <alignment horizontal="left" vertical="top" wrapText="1"/>
    </xf>
    <xf numFmtId="0" fontId="20" fillId="0" borderId="60" xfId="0" applyFont="1" applyFill="1" applyBorder="1" applyAlignment="1">
      <alignment horizontal="left" vertical="top" wrapText="1"/>
    </xf>
    <xf numFmtId="0" fontId="20" fillId="0" borderId="39" xfId="0" applyFont="1" applyFill="1" applyBorder="1" applyAlignment="1">
      <alignment horizontal="left" vertical="top" wrapText="1"/>
    </xf>
    <xf numFmtId="0" fontId="20" fillId="0" borderId="61" xfId="0" applyFont="1" applyFill="1" applyBorder="1" applyAlignment="1">
      <alignment horizontal="left" vertical="top" wrapText="1"/>
    </xf>
    <xf numFmtId="0" fontId="22" fillId="4" borderId="42" xfId="0" applyFont="1" applyFill="1" applyBorder="1" applyAlignment="1">
      <alignment horizontal="left" vertical="top" wrapText="1"/>
    </xf>
    <xf numFmtId="0" fontId="22" fillId="4" borderId="0" xfId="0" applyFont="1" applyFill="1" applyBorder="1" applyAlignment="1">
      <alignment horizontal="left" vertical="top" wrapText="1"/>
    </xf>
    <xf numFmtId="0" fontId="21" fillId="3" borderId="1" xfId="0" applyFont="1" applyFill="1" applyBorder="1" applyAlignment="1">
      <alignment horizontal="center" vertical="center"/>
    </xf>
    <xf numFmtId="0" fontId="24" fillId="0" borderId="62" xfId="0" applyFont="1" applyBorder="1" applyAlignment="1">
      <alignment horizontal="left" vertical="top" wrapText="1"/>
    </xf>
    <xf numFmtId="0" fontId="24" fillId="0" borderId="17" xfId="0" applyFont="1" applyBorder="1" applyAlignment="1">
      <alignment horizontal="left" vertical="top" wrapText="1"/>
    </xf>
    <xf numFmtId="0" fontId="48" fillId="0" borderId="0" xfId="0" applyFont="1" applyAlignment="1">
      <alignment horizontal="left"/>
    </xf>
    <xf numFmtId="0" fontId="49" fillId="0" borderId="0" xfId="0" applyFont="1" applyAlignment="1">
      <alignment horizontal="left"/>
    </xf>
    <xf numFmtId="0" fontId="20" fillId="0" borderId="60" xfId="0" applyFont="1" applyBorder="1" applyAlignment="1">
      <alignment wrapText="1"/>
    </xf>
    <xf numFmtId="0" fontId="0" fillId="0" borderId="39" xfId="0" applyBorder="1" applyAlignment="1">
      <alignment wrapText="1"/>
    </xf>
    <xf numFmtId="0" fontId="0" fillId="0" borderId="61" xfId="0" applyBorder="1" applyAlignment="1">
      <alignment wrapText="1"/>
    </xf>
    <xf numFmtId="0" fontId="20" fillId="0" borderId="51" xfId="0" applyFont="1" applyBorder="1" applyAlignment="1">
      <alignment wrapText="1"/>
    </xf>
    <xf numFmtId="0" fontId="0" fillId="0" borderId="53" xfId="0" applyBorder="1" applyAlignment="1">
      <alignment wrapText="1"/>
    </xf>
    <xf numFmtId="0" fontId="0" fillId="0" borderId="52" xfId="0" applyBorder="1" applyAlignment="1">
      <alignment wrapText="1"/>
    </xf>
    <xf numFmtId="0" fontId="0" fillId="0" borderId="28" xfId="0" applyBorder="1" applyAlignment="1">
      <alignment wrapText="1"/>
    </xf>
    <xf numFmtId="0" fontId="0" fillId="0" borderId="29" xfId="0" applyBorder="1" applyAlignment="1">
      <alignment wrapText="1"/>
    </xf>
    <xf numFmtId="0" fontId="0" fillId="0" borderId="30" xfId="0" applyBorder="1" applyAlignment="1">
      <alignment wrapText="1"/>
    </xf>
    <xf numFmtId="0" fontId="34" fillId="0" borderId="1" xfId="0" applyFont="1" applyBorder="1" applyAlignment="1">
      <alignment horizontal="left" vertical="center" wrapText="1"/>
    </xf>
    <xf numFmtId="0" fontId="35" fillId="0" borderId="1" xfId="0" applyFont="1" applyBorder="1" applyAlignment="1">
      <alignment horizontal="left" vertical="center" wrapText="1"/>
    </xf>
    <xf numFmtId="0" fontId="34" fillId="4" borderId="1" xfId="0" applyFont="1" applyFill="1" applyBorder="1" applyAlignment="1">
      <alignment horizontal="left" vertical="center" wrapText="1"/>
    </xf>
    <xf numFmtId="0" fontId="34" fillId="4" borderId="16" xfId="0" applyFont="1" applyFill="1" applyBorder="1" applyAlignment="1">
      <alignment horizontal="left" vertical="center" wrapText="1"/>
    </xf>
    <xf numFmtId="0" fontId="0" fillId="0" borderId="49" xfId="0" applyBorder="1" applyAlignment="1">
      <alignment vertical="center" wrapText="1"/>
    </xf>
    <xf numFmtId="0" fontId="0" fillId="0" borderId="13" xfId="0" applyBorder="1" applyAlignment="1">
      <alignment horizontal="left" vertical="center" wrapText="1"/>
    </xf>
    <xf numFmtId="0" fontId="0" fillId="0" borderId="13" xfId="0" applyBorder="1" applyAlignment="1">
      <alignment vertical="center" wrapText="1"/>
    </xf>
    <xf numFmtId="4" fontId="29" fillId="4" borderId="1" xfId="0" applyNumberFormat="1" applyFont="1" applyFill="1" applyBorder="1" applyAlignment="1">
      <alignment horizontal="center" vertical="center" wrapText="1"/>
    </xf>
    <xf numFmtId="0" fontId="20" fillId="0" borderId="1" xfId="0" applyFont="1" applyFill="1" applyBorder="1" applyAlignment="1">
      <alignment horizontal="left" vertical="center" wrapText="1"/>
    </xf>
    <xf numFmtId="4" fontId="29" fillId="0" borderId="1" xfId="0" applyNumberFormat="1" applyFont="1" applyBorder="1" applyAlignment="1">
      <alignment horizontal="center" vertical="center" wrapText="1"/>
    </xf>
    <xf numFmtId="0" fontId="23" fillId="0" borderId="1" xfId="0" applyFont="1" applyBorder="1" applyAlignment="1">
      <alignment horizontal="left" vertical="center" wrapText="1"/>
    </xf>
    <xf numFmtId="4" fontId="30" fillId="0" borderId="1" xfId="0" applyNumberFormat="1" applyFont="1" applyBorder="1" applyAlignment="1">
      <alignment horizontal="center" vertical="center" wrapText="1"/>
    </xf>
    <xf numFmtId="4" fontId="28" fillId="2" borderId="102" xfId="0" applyNumberFormat="1" applyFont="1" applyFill="1" applyBorder="1" applyAlignment="1">
      <alignment horizontal="center" vertical="center" wrapText="1"/>
    </xf>
    <xf numFmtId="0" fontId="22" fillId="3" borderId="99" xfId="0" applyFont="1" applyFill="1" applyBorder="1" applyAlignment="1">
      <alignment horizontal="center" vertical="center" wrapText="1"/>
    </xf>
    <xf numFmtId="0" fontId="0" fillId="3" borderId="99" xfId="0" applyFill="1" applyBorder="1" applyAlignment="1">
      <alignment horizontal="center" vertical="center" wrapText="1"/>
    </xf>
    <xf numFmtId="0" fontId="21" fillId="3" borderId="51" xfId="0" applyFont="1" applyFill="1" applyBorder="1" applyAlignment="1">
      <alignment horizontal="center" vertical="center"/>
    </xf>
    <xf numFmtId="0" fontId="0" fillId="3" borderId="52" xfId="0" applyFill="1" applyBorder="1" applyAlignment="1">
      <alignment horizontal="center" vertical="center"/>
    </xf>
    <xf numFmtId="0" fontId="20" fillId="0" borderId="1" xfId="0" applyFont="1" applyFill="1" applyBorder="1" applyAlignment="1">
      <alignment horizontal="left" vertical="top" wrapText="1"/>
    </xf>
    <xf numFmtId="0" fontId="23" fillId="0" borderId="1" xfId="0" applyFont="1" applyBorder="1" applyAlignment="1">
      <alignment horizontal="left" vertical="top" wrapText="1"/>
    </xf>
    <xf numFmtId="0" fontId="20" fillId="0" borderId="49" xfId="0" applyFont="1" applyFill="1" applyBorder="1" applyAlignment="1">
      <alignment horizontal="left" vertical="center" wrapText="1"/>
    </xf>
    <xf numFmtId="0" fontId="0" fillId="0" borderId="49" xfId="0" applyBorder="1" applyAlignment="1">
      <alignment horizontal="left" vertical="center" wrapText="1"/>
    </xf>
    <xf numFmtId="3" fontId="8" fillId="0" borderId="87" xfId="2" applyFont="1" applyBorder="1" applyAlignment="1">
      <alignment horizontal="left"/>
    </xf>
    <xf numFmtId="3" fontId="8" fillId="0" borderId="76" xfId="2" applyFont="1" applyBorder="1" applyAlignment="1">
      <alignment horizontal="left"/>
    </xf>
    <xf numFmtId="3" fontId="11" fillId="0" borderId="55" xfId="2" applyFont="1" applyBorder="1" applyAlignment="1">
      <alignment horizontal="left"/>
    </xf>
    <xf numFmtId="3" fontId="11" fillId="0" borderId="62" xfId="2" applyFont="1" applyBorder="1" applyAlignment="1">
      <alignment horizontal="left"/>
    </xf>
    <xf numFmtId="4" fontId="11" fillId="0" borderId="17" xfId="2" applyNumberFormat="1" applyFont="1" applyBorder="1" applyAlignment="1">
      <alignment horizontal="left"/>
    </xf>
    <xf numFmtId="4" fontId="11" fillId="0" borderId="18" xfId="2" applyNumberFormat="1" applyFont="1" applyBorder="1" applyAlignment="1">
      <alignment horizontal="left"/>
    </xf>
    <xf numFmtId="3" fontId="11" fillId="0" borderId="25" xfId="2" applyFont="1" applyBorder="1" applyAlignment="1">
      <alignment horizontal="left"/>
    </xf>
    <xf numFmtId="3" fontId="11" fillId="0" borderId="26" xfId="2" applyFont="1" applyBorder="1" applyAlignment="1">
      <alignment horizontal="left"/>
    </xf>
    <xf numFmtId="3" fontId="9" fillId="0" borderId="87" xfId="2" applyFont="1" applyBorder="1" applyAlignment="1">
      <alignment horizontal="left"/>
    </xf>
    <xf numFmtId="3" fontId="9" fillId="0" borderId="76" xfId="2" applyFont="1" applyBorder="1" applyAlignment="1">
      <alignment horizontal="left"/>
    </xf>
    <xf numFmtId="3" fontId="8" fillId="0" borderId="93" xfId="2" applyFont="1" applyFill="1" applyBorder="1" applyAlignment="1">
      <alignment horizontal="left"/>
    </xf>
    <xf numFmtId="3" fontId="8" fillId="0" borderId="2" xfId="2" applyFont="1" applyFill="1" applyBorder="1" applyAlignment="1">
      <alignment horizontal="left"/>
    </xf>
    <xf numFmtId="3" fontId="8" fillId="0" borderId="93" xfId="2" applyFont="1" applyBorder="1" applyAlignment="1">
      <alignment horizontal="left"/>
    </xf>
    <xf numFmtId="3" fontId="8" fillId="0" borderId="2" xfId="2" applyFont="1" applyBorder="1" applyAlignment="1">
      <alignment horizontal="left"/>
    </xf>
    <xf numFmtId="4" fontId="7" fillId="6" borderId="6" xfId="2" applyNumberFormat="1" applyFont="1" applyFill="1" applyBorder="1" applyAlignment="1">
      <alignment horizontal="center" wrapText="1"/>
    </xf>
    <xf numFmtId="4" fontId="7" fillId="6" borderId="7" xfId="2" applyNumberFormat="1" applyFont="1" applyFill="1" applyBorder="1" applyAlignment="1">
      <alignment horizontal="center" wrapText="1"/>
    </xf>
    <xf numFmtId="4" fontId="7" fillId="6" borderId="16" xfId="2" applyNumberFormat="1" applyFont="1" applyFill="1" applyBorder="1" applyAlignment="1">
      <alignment horizontal="center"/>
    </xf>
    <xf numFmtId="4" fontId="7" fillId="6" borderId="49" xfId="2" applyNumberFormat="1" applyFont="1" applyFill="1" applyBorder="1" applyAlignment="1">
      <alignment horizontal="center"/>
    </xf>
    <xf numFmtId="4" fontId="7" fillId="6" borderId="13" xfId="2" applyNumberFormat="1" applyFont="1" applyFill="1" applyBorder="1" applyAlignment="1">
      <alignment horizontal="center"/>
    </xf>
    <xf numFmtId="3" fontId="7" fillId="6" borderId="6" xfId="2" applyFont="1" applyFill="1" applyBorder="1" applyAlignment="1">
      <alignment horizontal="center" wrapText="1"/>
    </xf>
    <xf numFmtId="0" fontId="2" fillId="6" borderId="54" xfId="0" applyFont="1" applyFill="1" applyBorder="1" applyAlignment="1">
      <alignment horizontal="center" wrapText="1"/>
    </xf>
    <xf numFmtId="0" fontId="2" fillId="6" borderId="7" xfId="0" applyFont="1" applyFill="1" applyBorder="1" applyAlignment="1">
      <alignment horizontal="center" wrapText="1"/>
    </xf>
    <xf numFmtId="49" fontId="7" fillId="6" borderId="51" xfId="2" applyNumberFormat="1" applyFont="1" applyFill="1" applyBorder="1" applyAlignment="1">
      <alignment horizontal="center" wrapText="1"/>
    </xf>
    <xf numFmtId="0" fontId="2" fillId="6" borderId="52" xfId="0" applyFont="1" applyFill="1" applyBorder="1" applyAlignment="1">
      <alignment horizontal="center" wrapText="1"/>
    </xf>
    <xf numFmtId="0" fontId="2" fillId="6" borderId="20" xfId="0" applyFont="1" applyFill="1" applyBorder="1" applyAlignment="1">
      <alignment horizontal="center" wrapText="1"/>
    </xf>
    <xf numFmtId="0" fontId="2" fillId="6" borderId="21" xfId="0" applyFont="1" applyFill="1" applyBorder="1" applyAlignment="1">
      <alignment horizontal="center" wrapText="1"/>
    </xf>
    <xf numFmtId="0" fontId="2" fillId="6" borderId="28" xfId="0" applyFont="1" applyFill="1" applyBorder="1" applyAlignment="1">
      <alignment horizontal="center" wrapText="1"/>
    </xf>
    <xf numFmtId="0" fontId="2" fillId="6" borderId="30" xfId="0" applyFont="1" applyFill="1" applyBorder="1" applyAlignment="1">
      <alignment horizontal="center" wrapText="1"/>
    </xf>
    <xf numFmtId="49" fontId="7" fillId="6" borderId="6" xfId="2" applyNumberFormat="1" applyFont="1" applyFill="1" applyBorder="1" applyAlignment="1">
      <alignment horizontal="center" wrapText="1"/>
    </xf>
    <xf numFmtId="49" fontId="7" fillId="6" borderId="54" xfId="2" applyNumberFormat="1" applyFont="1" applyFill="1" applyBorder="1" applyAlignment="1">
      <alignment horizontal="center" wrapText="1"/>
    </xf>
    <xf numFmtId="49" fontId="7" fillId="6" borderId="7" xfId="2" applyNumberFormat="1" applyFont="1" applyFill="1" applyBorder="1" applyAlignment="1">
      <alignment horizontal="center" wrapText="1"/>
    </xf>
    <xf numFmtId="3" fontId="7" fillId="6" borderId="16" xfId="2" applyFont="1" applyFill="1" applyBorder="1" applyAlignment="1">
      <alignment horizontal="center"/>
    </xf>
    <xf numFmtId="3" fontId="7" fillId="6" borderId="49" xfId="2" applyFont="1" applyFill="1" applyBorder="1" applyAlignment="1">
      <alignment horizontal="center"/>
    </xf>
    <xf numFmtId="3" fontId="7" fillId="6" borderId="13" xfId="2" applyFont="1" applyFill="1" applyBorder="1" applyAlignment="1">
      <alignment horizontal="center"/>
    </xf>
    <xf numFmtId="0" fontId="20" fillId="0" borderId="36" xfId="0" applyFont="1" applyBorder="1" applyAlignment="1">
      <alignment wrapText="1"/>
    </xf>
    <xf numFmtId="0" fontId="0" fillId="0" borderId="36" xfId="0" applyBorder="1" applyAlignment="1">
      <alignment wrapText="1"/>
    </xf>
    <xf numFmtId="0" fontId="34" fillId="0" borderId="20" xfId="0" applyFont="1" applyBorder="1" applyAlignment="1">
      <alignment horizontal="left" vertical="center" wrapText="1"/>
    </xf>
    <xf numFmtId="0" fontId="0" fillId="0" borderId="21" xfId="0" applyBorder="1" applyAlignment="1">
      <alignment horizontal="left" vertical="center" wrapText="1"/>
    </xf>
    <xf numFmtId="14" fontId="34" fillId="0" borderId="54" xfId="0" applyNumberFormat="1" applyFont="1" applyBorder="1" applyAlignment="1">
      <alignment horizontal="center" vertical="center" wrapText="1"/>
    </xf>
    <xf numFmtId="0" fontId="0" fillId="0" borderId="54" xfId="0" applyBorder="1" applyAlignment="1">
      <alignment horizontal="center" vertical="center" wrapText="1"/>
    </xf>
    <xf numFmtId="0" fontId="0" fillId="0" borderId="30" xfId="0" applyBorder="1" applyAlignment="1">
      <alignment horizontal="left" vertical="center" wrapText="1"/>
    </xf>
    <xf numFmtId="0" fontId="0" fillId="0" borderId="7" xfId="0" applyBorder="1" applyAlignment="1">
      <alignment horizontal="center" vertical="center" wrapText="1"/>
    </xf>
    <xf numFmtId="14" fontId="34" fillId="0" borderId="6" xfId="0" applyNumberFormat="1" applyFont="1" applyBorder="1" applyAlignment="1">
      <alignment horizontal="center" vertical="center" wrapText="1"/>
    </xf>
    <xf numFmtId="0" fontId="20" fillId="0" borderId="51" xfId="0" applyFont="1" applyFill="1" applyBorder="1" applyAlignment="1">
      <alignment horizontal="center" vertical="center" wrapText="1"/>
    </xf>
    <xf numFmtId="0" fontId="23" fillId="0" borderId="52" xfId="0" applyFont="1" applyBorder="1" applyAlignment="1">
      <alignment horizontal="center" vertical="center" wrapText="1"/>
    </xf>
    <xf numFmtId="0" fontId="0" fillId="0" borderId="28" xfId="0" applyBorder="1" applyAlignment="1">
      <alignment horizontal="center" vertical="center" wrapText="1"/>
    </xf>
    <xf numFmtId="0" fontId="0" fillId="0" borderId="30" xfId="0" applyBorder="1" applyAlignment="1">
      <alignment horizontal="center" vertical="center" wrapText="1"/>
    </xf>
    <xf numFmtId="3" fontId="8" fillId="5" borderId="1" xfId="2" applyFont="1" applyFill="1" applyBorder="1" applyAlignment="1">
      <alignment horizontal="left"/>
    </xf>
    <xf numFmtId="0" fontId="34" fillId="0" borderId="0" xfId="0" applyFont="1" applyBorder="1" applyAlignment="1">
      <alignment horizontal="left" vertical="center" wrapText="1"/>
    </xf>
    <xf numFmtId="0" fontId="24" fillId="0" borderId="55" xfId="0" applyFont="1" applyFill="1" applyBorder="1" applyAlignment="1">
      <alignment horizontal="left" vertical="center" wrapText="1"/>
    </xf>
    <xf numFmtId="0" fontId="24" fillId="0" borderId="37" xfId="0" applyFont="1" applyFill="1" applyBorder="1" applyAlignment="1">
      <alignment horizontal="left" vertical="center" wrapText="1"/>
    </xf>
    <xf numFmtId="0" fontId="22" fillId="2" borderId="13" xfId="0" applyFont="1" applyFill="1" applyBorder="1" applyAlignment="1">
      <alignment horizontal="center" vertical="center" wrapText="1"/>
    </xf>
    <xf numFmtId="0" fontId="24" fillId="0" borderId="0" xfId="0" applyFont="1" applyBorder="1" applyAlignment="1">
      <alignment horizontal="left" vertical="center" wrapText="1"/>
    </xf>
    <xf numFmtId="0" fontId="24" fillId="0" borderId="16" xfId="0" applyFont="1" applyFill="1" applyBorder="1" applyAlignment="1">
      <alignment horizontal="left" vertical="center" wrapText="1"/>
    </xf>
    <xf numFmtId="0" fontId="24" fillId="0" borderId="50" xfId="0" applyFont="1" applyFill="1" applyBorder="1" applyAlignment="1">
      <alignment horizontal="left" vertical="center" wrapText="1"/>
    </xf>
    <xf numFmtId="0" fontId="22" fillId="3" borderId="29" xfId="0" applyFont="1" applyFill="1" applyBorder="1" applyAlignment="1">
      <alignment horizontal="center" vertical="center" wrapText="1"/>
    </xf>
    <xf numFmtId="0" fontId="0" fillId="3" borderId="29" xfId="0" applyFill="1" applyBorder="1" applyAlignment="1">
      <alignment horizontal="center" vertical="center" wrapText="1"/>
    </xf>
    <xf numFmtId="0" fontId="21" fillId="3" borderId="28" xfId="0" applyFont="1" applyFill="1" applyBorder="1" applyAlignment="1">
      <alignment horizontal="center" vertical="center"/>
    </xf>
    <xf numFmtId="0" fontId="0" fillId="3" borderId="30" xfId="0" applyFill="1" applyBorder="1" applyAlignment="1">
      <alignment horizontal="center" vertical="center"/>
    </xf>
    <xf numFmtId="4" fontId="30" fillId="0" borderId="25" xfId="0" applyNumberFormat="1" applyFont="1" applyBorder="1" applyAlignment="1">
      <alignment horizontal="center" vertical="center" wrapText="1"/>
    </xf>
    <xf numFmtId="4" fontId="30" fillId="0" borderId="26" xfId="0" applyNumberFormat="1" applyFont="1" applyBorder="1" applyAlignment="1">
      <alignment horizontal="center" vertical="center" wrapText="1"/>
    </xf>
    <xf numFmtId="4" fontId="30" fillId="0" borderId="16" xfId="0" applyNumberFormat="1" applyFont="1" applyBorder="1" applyAlignment="1">
      <alignment horizontal="center" vertical="center" wrapText="1"/>
    </xf>
    <xf numFmtId="4" fontId="30" fillId="0" borderId="13" xfId="0" applyNumberFormat="1" applyFont="1" applyBorder="1" applyAlignment="1">
      <alignment horizontal="center" vertical="center" wrapText="1"/>
    </xf>
    <xf numFmtId="0" fontId="24" fillId="0" borderId="20" xfId="0" applyFont="1" applyFill="1" applyBorder="1" applyAlignment="1">
      <alignment horizontal="left" vertical="center" wrapText="1"/>
    </xf>
    <xf numFmtId="0" fontId="46" fillId="0" borderId="0" xfId="0" applyFont="1" applyBorder="1" applyAlignment="1"/>
    <xf numFmtId="0" fontId="46" fillId="0" borderId="21" xfId="0" applyFont="1" applyBorder="1" applyAlignment="1"/>
    <xf numFmtId="0" fontId="24" fillId="0" borderId="23" xfId="0" applyFont="1" applyBorder="1" applyAlignment="1">
      <alignment horizontal="left" vertical="top" wrapText="1"/>
    </xf>
    <xf numFmtId="0" fontId="24" fillId="0" borderId="24" xfId="0" applyFont="1" applyBorder="1" applyAlignment="1">
      <alignment horizontal="left" vertical="top" wrapText="1"/>
    </xf>
    <xf numFmtId="0" fontId="22" fillId="0" borderId="55" xfId="0" applyFont="1" applyBorder="1" applyAlignment="1">
      <alignment horizontal="left" vertical="top" wrapText="1"/>
    </xf>
    <xf numFmtId="0" fontId="34" fillId="0" borderId="21" xfId="0" applyFont="1" applyBorder="1" applyAlignment="1">
      <alignment horizontal="left" vertical="center" wrapText="1"/>
    </xf>
    <xf numFmtId="4" fontId="7" fillId="2" borderId="13" xfId="2" applyNumberFormat="1" applyFont="1" applyFill="1" applyBorder="1" applyAlignment="1">
      <alignment horizontal="center" wrapText="1"/>
    </xf>
    <xf numFmtId="3" fontId="7" fillId="2" borderId="11" xfId="2" applyFont="1" applyFill="1" applyBorder="1" applyAlignment="1">
      <alignment horizontal="center" wrapText="1"/>
    </xf>
    <xf numFmtId="3" fontId="7" fillId="2" borderId="11" xfId="2" applyFont="1" applyFill="1" applyBorder="1" applyAlignment="1">
      <alignment horizontal="center"/>
    </xf>
    <xf numFmtId="3" fontId="7" fillId="2" borderId="12" xfId="2" applyFont="1" applyFill="1" applyBorder="1" applyAlignment="1">
      <alignment horizontal="center"/>
    </xf>
    <xf numFmtId="3" fontId="7" fillId="2" borderId="13" xfId="2" applyFont="1" applyFill="1" applyBorder="1" applyAlignment="1">
      <alignment horizontal="center"/>
    </xf>
    <xf numFmtId="4" fontId="7" fillId="2" borderId="12" xfId="2" applyNumberFormat="1" applyFont="1" applyFill="1" applyBorder="1" applyAlignment="1">
      <alignment horizontal="center" wrapText="1"/>
    </xf>
    <xf numFmtId="0" fontId="34" fillId="0" borderId="51" xfId="0" applyFont="1" applyBorder="1" applyAlignment="1">
      <alignment horizontal="left" vertical="top" wrapText="1"/>
    </xf>
    <xf numFmtId="0" fontId="34" fillId="0" borderId="84" xfId="0" applyFont="1" applyBorder="1" applyAlignment="1">
      <alignment horizontal="left" vertical="top" wrapText="1"/>
    </xf>
    <xf numFmtId="0" fontId="34" fillId="0" borderId="20" xfId="0" applyFont="1" applyBorder="1" applyAlignment="1">
      <alignment horizontal="left" vertical="top" wrapText="1"/>
    </xf>
    <xf numFmtId="0" fontId="34" fillId="0" borderId="86" xfId="0" applyFont="1" applyBorder="1" applyAlignment="1">
      <alignment horizontal="left" vertical="top" wrapText="1"/>
    </xf>
    <xf numFmtId="4" fontId="30" fillId="0" borderId="14" xfId="0" applyNumberFormat="1" applyFont="1" applyBorder="1" applyAlignment="1">
      <alignment horizontal="center" vertical="center" wrapText="1"/>
    </xf>
    <xf numFmtId="4" fontId="30" fillId="0" borderId="2" xfId="0" applyNumberFormat="1" applyFont="1" applyBorder="1" applyAlignment="1">
      <alignment horizontal="center" vertical="center" wrapText="1"/>
    </xf>
    <xf numFmtId="4" fontId="30" fillId="0" borderId="15" xfId="0" applyNumberFormat="1" applyFont="1" applyBorder="1" applyAlignment="1">
      <alignment horizontal="center" vertical="center" wrapText="1"/>
    </xf>
    <xf numFmtId="4" fontId="30" fillId="0" borderId="76" xfId="0" applyNumberFormat="1" applyFont="1" applyBorder="1" applyAlignment="1">
      <alignment horizontal="center" vertical="center" wrapText="1"/>
    </xf>
    <xf numFmtId="0" fontId="20" fillId="0" borderId="16" xfId="0" applyFont="1" applyFill="1" applyBorder="1" applyAlignment="1">
      <alignment horizontal="justify" vertical="top" wrapText="1"/>
    </xf>
    <xf numFmtId="0" fontId="23" fillId="0" borderId="13" xfId="0" applyFont="1" applyBorder="1" applyAlignment="1">
      <alignment horizontal="justify" vertical="top" wrapText="1"/>
    </xf>
    <xf numFmtId="4" fontId="29" fillId="4" borderId="15" xfId="0" applyNumberFormat="1" applyFont="1" applyFill="1" applyBorder="1" applyAlignment="1">
      <alignment horizontal="center" vertical="center" wrapText="1"/>
    </xf>
    <xf numFmtId="4" fontId="29" fillId="4" borderId="76" xfId="0" applyNumberFormat="1" applyFont="1" applyFill="1" applyBorder="1" applyAlignment="1">
      <alignment horizontal="center" vertical="center" wrapText="1"/>
    </xf>
    <xf numFmtId="4" fontId="29" fillId="0" borderId="15" xfId="0" applyNumberFormat="1" applyFont="1" applyBorder="1" applyAlignment="1">
      <alignment horizontal="center" vertical="center" wrapText="1"/>
    </xf>
    <xf numFmtId="4" fontId="29" fillId="0" borderId="76" xfId="0" applyNumberFormat="1" applyFont="1" applyBorder="1" applyAlignment="1">
      <alignment horizontal="center" vertical="center" wrapText="1"/>
    </xf>
    <xf numFmtId="4" fontId="30" fillId="0" borderId="4" xfId="0" applyNumberFormat="1" applyFont="1" applyBorder="1" applyAlignment="1">
      <alignment horizontal="center" vertical="center" wrapText="1"/>
    </xf>
    <xf numFmtId="4" fontId="30" fillId="0" borderId="83" xfId="0" applyNumberFormat="1" applyFont="1" applyBorder="1" applyAlignment="1">
      <alignment horizontal="center" vertical="center" wrapText="1"/>
    </xf>
    <xf numFmtId="0" fontId="34" fillId="0" borderId="28" xfId="0" applyFont="1" applyBorder="1" applyAlignment="1">
      <alignment horizontal="justify" vertical="center" wrapText="1"/>
    </xf>
    <xf numFmtId="0" fontId="34" fillId="0" borderId="29" xfId="0" applyFont="1" applyBorder="1" applyAlignment="1">
      <alignment horizontal="justify" vertical="center" wrapText="1"/>
    </xf>
    <xf numFmtId="0" fontId="24" fillId="0" borderId="55" xfId="0" applyFont="1" applyBorder="1" applyAlignment="1">
      <alignment horizontal="left" vertical="top" wrapText="1"/>
    </xf>
    <xf numFmtId="0" fontId="37" fillId="0" borderId="39" xfId="0" applyFont="1" applyBorder="1" applyAlignment="1">
      <alignment horizontal="left" vertical="center" wrapText="1"/>
    </xf>
    <xf numFmtId="0" fontId="37" fillId="0" borderId="61" xfId="0" applyFont="1" applyBorder="1" applyAlignment="1">
      <alignment horizontal="left" vertical="center" wrapText="1"/>
    </xf>
    <xf numFmtId="0" fontId="25" fillId="0" borderId="25" xfId="0" applyFont="1" applyBorder="1" applyAlignment="1">
      <alignment horizontal="left" vertical="top" wrapText="1"/>
    </xf>
    <xf numFmtId="0" fontId="0" fillId="0" borderId="59" xfId="0" applyBorder="1" applyAlignment="1">
      <alignment horizontal="left" vertical="top" wrapText="1"/>
    </xf>
    <xf numFmtId="0" fontId="24" fillId="0" borderId="57" xfId="0" applyFont="1" applyBorder="1" applyAlignment="1">
      <alignment horizontal="left" vertical="top" wrapText="1"/>
    </xf>
    <xf numFmtId="0" fontId="0" fillId="0" borderId="58" xfId="0" applyBorder="1" applyAlignment="1">
      <alignment horizontal="left" vertical="top" wrapText="1"/>
    </xf>
    <xf numFmtId="0" fontId="25" fillId="0" borderId="57" xfId="0" applyFont="1" applyBorder="1" applyAlignment="1">
      <alignment horizontal="left" vertical="top" wrapText="1"/>
    </xf>
    <xf numFmtId="0" fontId="34" fillId="0" borderId="28" xfId="0" applyFont="1" applyBorder="1" applyAlignment="1">
      <alignment horizontal="left" vertical="center" wrapText="1"/>
    </xf>
    <xf numFmtId="0" fontId="0" fillId="0" borderId="52" xfId="0" applyBorder="1" applyAlignment="1">
      <alignment horizontal="left" vertical="center" wrapText="1"/>
    </xf>
    <xf numFmtId="0" fontId="34" fillId="0" borderId="30" xfId="0" applyFont="1" applyBorder="1" applyAlignment="1">
      <alignment horizontal="left" vertical="center" wrapText="1"/>
    </xf>
    <xf numFmtId="0" fontId="22" fillId="2" borderId="28" xfId="0" applyFont="1" applyFill="1" applyBorder="1" applyAlignment="1">
      <alignment horizontal="center" vertical="center" wrapText="1"/>
    </xf>
    <xf numFmtId="0" fontId="22" fillId="2" borderId="29" xfId="0" applyFont="1" applyFill="1" applyBorder="1" applyAlignment="1">
      <alignment horizontal="center" vertical="center" wrapText="1"/>
    </xf>
    <xf numFmtId="0" fontId="34" fillId="0" borderId="52" xfId="0" applyFont="1" applyBorder="1" applyAlignment="1">
      <alignment horizontal="left" vertical="center" wrapText="1"/>
    </xf>
    <xf numFmtId="0" fontId="22" fillId="3" borderId="51" xfId="0" applyFont="1" applyFill="1" applyBorder="1" applyAlignment="1">
      <alignment horizontal="center" vertical="center" wrapText="1"/>
    </xf>
    <xf numFmtId="0" fontId="22" fillId="3" borderId="53" xfId="0" applyFont="1" applyFill="1" applyBorder="1" applyAlignment="1">
      <alignment horizontal="center" vertical="center" wrapText="1"/>
    </xf>
    <xf numFmtId="0" fontId="24" fillId="0" borderId="16" xfId="0" applyFont="1" applyBorder="1" applyAlignment="1">
      <alignment horizontal="left" vertical="top" wrapText="1"/>
    </xf>
    <xf numFmtId="0" fontId="24" fillId="0" borderId="49" xfId="0" applyFont="1" applyBorder="1" applyAlignment="1">
      <alignment horizontal="left" vertical="top" wrapText="1"/>
    </xf>
    <xf numFmtId="0" fontId="24" fillId="0" borderId="13" xfId="0" applyFont="1" applyBorder="1" applyAlignment="1">
      <alignment horizontal="left" vertical="top" wrapText="1"/>
    </xf>
    <xf numFmtId="0" fontId="22" fillId="10" borderId="16" xfId="0" applyFont="1" applyFill="1" applyBorder="1" applyAlignment="1">
      <alignment horizontal="left" vertical="top" wrapText="1"/>
    </xf>
    <xf numFmtId="0" fontId="22" fillId="10" borderId="49" xfId="0" applyFont="1" applyFill="1" applyBorder="1" applyAlignment="1">
      <alignment horizontal="left" vertical="top" wrapText="1"/>
    </xf>
    <xf numFmtId="0" fontId="22" fillId="10" borderId="13" xfId="0" applyFont="1" applyFill="1" applyBorder="1" applyAlignment="1">
      <alignment horizontal="left" vertical="top" wrapText="1"/>
    </xf>
    <xf numFmtId="0" fontId="20" fillId="0" borderId="53" xfId="0" applyFont="1" applyBorder="1" applyAlignment="1">
      <alignment horizontal="left"/>
    </xf>
    <xf numFmtId="0" fontId="20" fillId="0" borderId="53" xfId="0" applyFont="1" applyFill="1" applyBorder="1" applyAlignment="1">
      <alignment horizontal="left"/>
    </xf>
    <xf numFmtId="3" fontId="27" fillId="0" borderId="1" xfId="0" applyNumberFormat="1" applyFont="1" applyBorder="1" applyAlignment="1">
      <alignment horizontal="right" vertical="top"/>
    </xf>
    <xf numFmtId="3" fontId="77" fillId="0" borderId="1" xfId="0" applyNumberFormat="1" applyFont="1" applyBorder="1" applyAlignment="1">
      <alignment horizontal="right" vertical="top"/>
    </xf>
    <xf numFmtId="43" fontId="77" fillId="0" borderId="1" xfId="1" applyNumberFormat="1" applyFont="1" applyBorder="1" applyAlignment="1">
      <alignment horizontal="right" vertical="top"/>
    </xf>
  </cellXfs>
  <cellStyles count="3">
    <cellStyle name="Čárka" xfId="1" builtinId="3"/>
    <cellStyle name="Normální" xfId="0" builtinId="0"/>
    <cellStyle name="normální_MŠ Raisova"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6"/>
  <sheetViews>
    <sheetView workbookViewId="0">
      <selection activeCell="C51" sqref="C51"/>
    </sheetView>
  </sheetViews>
  <sheetFormatPr defaultColWidth="3.7109375" defaultRowHeight="15" x14ac:dyDescent="0.25"/>
  <cols>
    <col min="1" max="1" width="3.140625" style="2" customWidth="1"/>
    <col min="2" max="2" width="3.7109375" style="3" customWidth="1"/>
    <col min="3" max="3" width="21" style="3" customWidth="1"/>
    <col min="4" max="4" width="4.85546875" style="3" customWidth="1"/>
    <col min="5" max="7" width="6.28515625" style="3" customWidth="1"/>
    <col min="8" max="8" width="5" style="3" customWidth="1"/>
    <col min="9" max="12" width="6.28515625" style="3" customWidth="1"/>
    <col min="13" max="13" width="5" style="3" customWidth="1"/>
    <col min="14" max="17" width="6.28515625" style="3" customWidth="1"/>
    <col min="18" max="18" width="5" style="3" customWidth="1"/>
    <col min="19" max="22" width="6.28515625" style="3" customWidth="1"/>
    <col min="23" max="23" width="5" style="3" customWidth="1"/>
    <col min="24" max="24" width="6.28515625" style="3" customWidth="1"/>
    <col min="25" max="16384" width="3.7109375" style="3"/>
  </cols>
  <sheetData>
    <row r="1" spans="1:24" s="6" customFormat="1" ht="15.75" x14ac:dyDescent="0.25">
      <c r="A1" s="759" t="s">
        <v>84</v>
      </c>
      <c r="B1" s="759"/>
      <c r="C1" s="759"/>
      <c r="D1" s="759"/>
      <c r="E1" s="759"/>
      <c r="F1" s="759"/>
      <c r="G1" s="759"/>
      <c r="H1" s="759"/>
      <c r="I1" s="759"/>
      <c r="J1" s="759"/>
      <c r="K1" s="759"/>
      <c r="L1" s="759"/>
      <c r="M1" s="759"/>
      <c r="N1" s="759"/>
      <c r="O1" s="759"/>
      <c r="P1" s="759"/>
      <c r="Q1" s="759"/>
      <c r="R1" s="759"/>
      <c r="S1" s="759"/>
      <c r="T1" s="759"/>
      <c r="U1" s="759"/>
      <c r="V1" s="759"/>
      <c r="W1" s="759"/>
      <c r="X1" s="759"/>
    </row>
    <row r="3" spans="1:24" s="7" customFormat="1" ht="9.75" customHeight="1" x14ac:dyDescent="0.2">
      <c r="A3" s="752" t="s">
        <v>1</v>
      </c>
      <c r="B3" s="761" t="s">
        <v>2</v>
      </c>
      <c r="C3" s="760"/>
      <c r="D3" s="761" t="s">
        <v>3</v>
      </c>
      <c r="E3" s="762" t="s">
        <v>4</v>
      </c>
      <c r="F3" s="762"/>
      <c r="G3" s="762"/>
      <c r="H3" s="762"/>
      <c r="I3" s="762"/>
      <c r="J3" s="762" t="s">
        <v>5</v>
      </c>
      <c r="K3" s="762"/>
      <c r="L3" s="762"/>
      <c r="M3" s="762"/>
      <c r="N3" s="762"/>
      <c r="O3" s="762" t="s">
        <v>6</v>
      </c>
      <c r="P3" s="762"/>
      <c r="Q3" s="762"/>
      <c r="R3" s="762"/>
      <c r="S3" s="762"/>
      <c r="T3" s="762" t="s">
        <v>7</v>
      </c>
      <c r="U3" s="762"/>
      <c r="V3" s="762"/>
      <c r="W3" s="762"/>
      <c r="X3" s="762"/>
    </row>
    <row r="4" spans="1:24" s="8" customFormat="1" ht="9.75" customHeight="1" x14ac:dyDescent="0.2">
      <c r="A4" s="760"/>
      <c r="B4" s="760"/>
      <c r="C4" s="760"/>
      <c r="D4" s="761"/>
      <c r="E4" s="754" t="s">
        <v>8</v>
      </c>
      <c r="F4" s="755" t="s">
        <v>9</v>
      </c>
      <c r="G4" s="755"/>
      <c r="H4" s="755"/>
      <c r="I4" s="752" t="s">
        <v>10</v>
      </c>
      <c r="J4" s="754" t="s">
        <v>8</v>
      </c>
      <c r="K4" s="755" t="s">
        <v>9</v>
      </c>
      <c r="L4" s="755"/>
      <c r="M4" s="755"/>
      <c r="N4" s="756" t="s">
        <v>10</v>
      </c>
      <c r="O4" s="754" t="s">
        <v>8</v>
      </c>
      <c r="P4" s="755" t="s">
        <v>9</v>
      </c>
      <c r="Q4" s="755"/>
      <c r="R4" s="755"/>
      <c r="S4" s="752" t="s">
        <v>10</v>
      </c>
      <c r="T4" s="754" t="s">
        <v>8</v>
      </c>
      <c r="U4" s="755" t="s">
        <v>9</v>
      </c>
      <c r="V4" s="755"/>
      <c r="W4" s="755"/>
      <c r="X4" s="752" t="s">
        <v>10</v>
      </c>
    </row>
    <row r="5" spans="1:24" s="10" customFormat="1" ht="9.75" customHeight="1" x14ac:dyDescent="0.2">
      <c r="A5" s="760"/>
      <c r="B5" s="760"/>
      <c r="C5" s="760"/>
      <c r="D5" s="761"/>
      <c r="E5" s="754"/>
      <c r="F5" s="9" t="s">
        <v>11</v>
      </c>
      <c r="G5" s="9" t="s">
        <v>12</v>
      </c>
      <c r="H5" s="9" t="s">
        <v>13</v>
      </c>
      <c r="I5" s="752"/>
      <c r="J5" s="754"/>
      <c r="K5" s="9" t="s">
        <v>11</v>
      </c>
      <c r="L5" s="9" t="s">
        <v>12</v>
      </c>
      <c r="M5" s="9" t="s">
        <v>13</v>
      </c>
      <c r="N5" s="757"/>
      <c r="O5" s="754"/>
      <c r="P5" s="9" t="s">
        <v>11</v>
      </c>
      <c r="Q5" s="9" t="s">
        <v>12</v>
      </c>
      <c r="R5" s="9" t="s">
        <v>13</v>
      </c>
      <c r="S5" s="752"/>
      <c r="T5" s="754"/>
      <c r="U5" s="9" t="s">
        <v>11</v>
      </c>
      <c r="V5" s="9" t="s">
        <v>12</v>
      </c>
      <c r="W5" s="9" t="s">
        <v>13</v>
      </c>
      <c r="X5" s="752"/>
    </row>
    <row r="6" spans="1:24" s="7" customFormat="1" ht="9.75" customHeight="1" x14ac:dyDescent="0.2">
      <c r="A6" s="11" t="s">
        <v>14</v>
      </c>
      <c r="B6" s="753" t="s">
        <v>15</v>
      </c>
      <c r="C6" s="753"/>
      <c r="D6" s="12" t="s">
        <v>16</v>
      </c>
      <c r="E6" s="13">
        <f>SUM(E7:E9)</f>
        <v>14378843</v>
      </c>
      <c r="F6" s="13">
        <f>SUM(F7:F9)</f>
        <v>14941702</v>
      </c>
      <c r="G6" s="13">
        <f>SUM(G7:G9)</f>
        <v>7558859</v>
      </c>
      <c r="H6" s="14">
        <f t="shared" ref="H6:H36" si="0">G6/F6*100</f>
        <v>50.58900920390461</v>
      </c>
      <c r="I6" s="13">
        <f>SUM(I7:I9)</f>
        <v>6762676</v>
      </c>
      <c r="J6" s="13">
        <f>SUM(J7:J9)</f>
        <v>5988743</v>
      </c>
      <c r="K6" s="13">
        <f t="shared" ref="K6:V6" si="1">SUM(K7:K9)</f>
        <v>6389860</v>
      </c>
      <c r="L6" s="13">
        <f t="shared" si="1"/>
        <v>3348927</v>
      </c>
      <c r="M6" s="14">
        <f t="shared" ref="M6:M36" si="2">L6/K6*100</f>
        <v>52.410021502818523</v>
      </c>
      <c r="N6" s="13">
        <v>3217781</v>
      </c>
      <c r="O6" s="13">
        <f t="shared" si="1"/>
        <v>8390100</v>
      </c>
      <c r="P6" s="13">
        <f t="shared" si="1"/>
        <v>8551842</v>
      </c>
      <c r="Q6" s="13">
        <f t="shared" si="1"/>
        <v>4209932</v>
      </c>
      <c r="R6" s="14">
        <f t="shared" ref="R6:R21" si="3">Q6/P6*100</f>
        <v>49.228365070355601</v>
      </c>
      <c r="S6" s="13">
        <v>3544895</v>
      </c>
      <c r="T6" s="13">
        <f t="shared" si="1"/>
        <v>43438</v>
      </c>
      <c r="U6" s="13">
        <f t="shared" si="1"/>
        <v>43438</v>
      </c>
      <c r="V6" s="13">
        <f t="shared" si="1"/>
        <v>23068</v>
      </c>
      <c r="W6" s="14">
        <f t="shared" ref="W6:W33" si="4">V6/U6*100</f>
        <v>53.105575763156686</v>
      </c>
      <c r="X6" s="13">
        <v>23068</v>
      </c>
    </row>
    <row r="7" spans="1:24" s="7" customFormat="1" ht="9.75" x14ac:dyDescent="0.2">
      <c r="A7" s="15" t="s">
        <v>17</v>
      </c>
      <c r="B7" s="750" t="s">
        <v>18</v>
      </c>
      <c r="C7" s="750"/>
      <c r="D7" s="16" t="s">
        <v>16</v>
      </c>
      <c r="E7" s="17">
        <f t="shared" ref="E7:G10" si="5">SUM(J7,O7)</f>
        <v>3204000</v>
      </c>
      <c r="F7" s="17">
        <f t="shared" si="5"/>
        <v>3205117</v>
      </c>
      <c r="G7" s="17">
        <f t="shared" si="5"/>
        <v>1956557</v>
      </c>
      <c r="H7" s="18">
        <f t="shared" si="0"/>
        <v>61.04479181259218</v>
      </c>
      <c r="I7" s="17">
        <f>SUM(N7,S7)</f>
        <v>1824803</v>
      </c>
      <c r="J7" s="42">
        <v>3204000</v>
      </c>
      <c r="K7" s="19">
        <v>3205117</v>
      </c>
      <c r="L7" s="19">
        <v>1956557</v>
      </c>
      <c r="M7" s="18">
        <f t="shared" si="2"/>
        <v>61.04479181259218</v>
      </c>
      <c r="N7" s="19">
        <v>1824803</v>
      </c>
      <c r="O7" s="19">
        <v>0</v>
      </c>
      <c r="P7" s="19">
        <v>0</v>
      </c>
      <c r="Q7" s="19">
        <v>0</v>
      </c>
      <c r="R7" s="18">
        <v>0</v>
      </c>
      <c r="S7" s="19">
        <v>0</v>
      </c>
      <c r="T7" s="19">
        <v>43438</v>
      </c>
      <c r="U7" s="19">
        <v>43438</v>
      </c>
      <c r="V7" s="19">
        <v>23068</v>
      </c>
      <c r="W7" s="18">
        <f t="shared" si="4"/>
        <v>53.105575763156686</v>
      </c>
      <c r="X7" s="19">
        <v>23068</v>
      </c>
    </row>
    <row r="8" spans="1:24" s="7" customFormat="1" ht="9.75" x14ac:dyDescent="0.2">
      <c r="A8" s="20" t="s">
        <v>19</v>
      </c>
      <c r="B8" s="758" t="s">
        <v>20</v>
      </c>
      <c r="C8" s="758"/>
      <c r="D8" s="16" t="s">
        <v>16</v>
      </c>
      <c r="E8" s="17">
        <f t="shared" si="5"/>
        <v>0</v>
      </c>
      <c r="F8" s="17">
        <f t="shared" si="5"/>
        <v>0</v>
      </c>
      <c r="G8" s="17">
        <f t="shared" si="5"/>
        <v>0</v>
      </c>
      <c r="H8" s="18">
        <v>0</v>
      </c>
      <c r="I8" s="17">
        <f>SUM(N8,S8)</f>
        <v>0</v>
      </c>
      <c r="J8" s="43">
        <v>0</v>
      </c>
      <c r="K8" s="17">
        <v>0</v>
      </c>
      <c r="L8" s="17">
        <v>0</v>
      </c>
      <c r="M8" s="18">
        <v>0</v>
      </c>
      <c r="N8" s="17">
        <v>0</v>
      </c>
      <c r="O8" s="17">
        <v>0</v>
      </c>
      <c r="P8" s="17">
        <v>0</v>
      </c>
      <c r="Q8" s="17">
        <v>0</v>
      </c>
      <c r="R8" s="18">
        <v>0</v>
      </c>
      <c r="S8" s="17">
        <v>0</v>
      </c>
      <c r="T8" s="17">
        <v>0</v>
      </c>
      <c r="U8" s="17">
        <v>0</v>
      </c>
      <c r="V8" s="17">
        <v>0</v>
      </c>
      <c r="W8" s="18">
        <v>0</v>
      </c>
      <c r="X8" s="17">
        <v>0</v>
      </c>
    </row>
    <row r="9" spans="1:24" s="7" customFormat="1" ht="9.75" x14ac:dyDescent="0.2">
      <c r="A9" s="20" t="s">
        <v>21</v>
      </c>
      <c r="B9" s="21" t="s">
        <v>22</v>
      </c>
      <c r="C9" s="22"/>
      <c r="D9" s="16" t="s">
        <v>16</v>
      </c>
      <c r="E9" s="17">
        <f t="shared" si="5"/>
        <v>11174843</v>
      </c>
      <c r="F9" s="17">
        <f t="shared" si="5"/>
        <v>11736585</v>
      </c>
      <c r="G9" s="17">
        <f t="shared" si="5"/>
        <v>5602302</v>
      </c>
      <c r="H9" s="18">
        <f t="shared" si="0"/>
        <v>47.73366358272019</v>
      </c>
      <c r="I9" s="17">
        <f>SUM(N9,S9)</f>
        <v>4937873</v>
      </c>
      <c r="J9" s="43">
        <v>2784743</v>
      </c>
      <c r="K9" s="17">
        <v>3184743</v>
      </c>
      <c r="L9" s="17">
        <v>1392370</v>
      </c>
      <c r="M9" s="18">
        <f t="shared" si="2"/>
        <v>43.72001131645473</v>
      </c>
      <c r="N9" s="17">
        <v>1392978</v>
      </c>
      <c r="O9" s="17">
        <v>8390100</v>
      </c>
      <c r="P9" s="17">
        <v>8551842</v>
      </c>
      <c r="Q9" s="17">
        <v>4209932</v>
      </c>
      <c r="R9" s="18">
        <f t="shared" si="3"/>
        <v>49.228365070355601</v>
      </c>
      <c r="S9" s="17">
        <v>3544895</v>
      </c>
      <c r="T9" s="17">
        <v>0</v>
      </c>
      <c r="U9" s="17">
        <v>0</v>
      </c>
      <c r="V9" s="17">
        <v>0</v>
      </c>
      <c r="W9" s="18">
        <v>0</v>
      </c>
      <c r="X9" s="17">
        <v>0</v>
      </c>
    </row>
    <row r="10" spans="1:24" s="7" customFormat="1" ht="9.75" x14ac:dyDescent="0.2">
      <c r="A10" s="11" t="s">
        <v>23</v>
      </c>
      <c r="B10" s="753" t="s">
        <v>24</v>
      </c>
      <c r="C10" s="753"/>
      <c r="D10" s="12" t="s">
        <v>16</v>
      </c>
      <c r="E10" s="23">
        <f t="shared" si="5"/>
        <v>0</v>
      </c>
      <c r="F10" s="23">
        <f t="shared" si="5"/>
        <v>0</v>
      </c>
      <c r="G10" s="23">
        <f t="shared" si="5"/>
        <v>0</v>
      </c>
      <c r="H10" s="14">
        <v>0</v>
      </c>
      <c r="I10" s="23">
        <f>SUM(N10,S10)</f>
        <v>0</v>
      </c>
      <c r="J10" s="24"/>
      <c r="K10" s="23"/>
      <c r="L10" s="23"/>
      <c r="M10" s="14">
        <v>0</v>
      </c>
      <c r="N10" s="23"/>
      <c r="O10" s="23"/>
      <c r="P10" s="23"/>
      <c r="Q10" s="23"/>
      <c r="R10" s="14">
        <v>0</v>
      </c>
      <c r="S10" s="23"/>
      <c r="T10" s="23"/>
      <c r="U10" s="23"/>
      <c r="V10" s="23"/>
      <c r="W10" s="14">
        <v>0</v>
      </c>
      <c r="X10" s="23"/>
    </row>
    <row r="11" spans="1:24" s="7" customFormat="1" ht="9.75" x14ac:dyDescent="0.2">
      <c r="A11" s="11" t="s">
        <v>25</v>
      </c>
      <c r="B11" s="753" t="s">
        <v>26</v>
      </c>
      <c r="C11" s="753"/>
      <c r="D11" s="12" t="s">
        <v>16</v>
      </c>
      <c r="E11" s="13">
        <f>SUM(E12:E31)</f>
        <v>14378843</v>
      </c>
      <c r="F11" s="13">
        <f>SUM(F12:F31)</f>
        <v>14941702</v>
      </c>
      <c r="G11" s="13">
        <f>SUM(G12:G31)</f>
        <v>7157927</v>
      </c>
      <c r="H11" s="14">
        <f t="shared" si="0"/>
        <v>47.905700434930374</v>
      </c>
      <c r="I11" s="13">
        <f>SUM(I12:I31)</f>
        <v>6040494</v>
      </c>
      <c r="J11" s="13">
        <f>SUM(J12:J31)</f>
        <v>5988743</v>
      </c>
      <c r="K11" s="13">
        <f>SUM(K12:K31)</f>
        <v>6389860</v>
      </c>
      <c r="L11" s="13">
        <f>SUM(L12:L31)</f>
        <v>2947995</v>
      </c>
      <c r="M11" s="14">
        <f t="shared" si="2"/>
        <v>46.135517836071529</v>
      </c>
      <c r="N11" s="13">
        <v>2495599</v>
      </c>
      <c r="O11" s="13">
        <f>SUM(O12:O31)</f>
        <v>8390100</v>
      </c>
      <c r="P11" s="13">
        <f>SUM(P12:P31)</f>
        <v>8551842</v>
      </c>
      <c r="Q11" s="13">
        <f>SUM(Q12:Q31)</f>
        <v>4209932</v>
      </c>
      <c r="R11" s="14">
        <f t="shared" si="3"/>
        <v>49.228365070355601</v>
      </c>
      <c r="S11" s="13">
        <v>3544895</v>
      </c>
      <c r="T11" s="13">
        <f>SUM(T12:T31)</f>
        <v>11140</v>
      </c>
      <c r="U11" s="13">
        <f>SUM(U12:U31)</f>
        <v>11140</v>
      </c>
      <c r="V11" s="13">
        <f>SUM(V12:V31)</f>
        <v>2820</v>
      </c>
      <c r="W11" s="14">
        <f t="shared" si="4"/>
        <v>25.314183123877914</v>
      </c>
      <c r="X11" s="13">
        <v>2820</v>
      </c>
    </row>
    <row r="12" spans="1:24" s="7" customFormat="1" ht="9.75" x14ac:dyDescent="0.2">
      <c r="A12" s="15" t="s">
        <v>27</v>
      </c>
      <c r="B12" s="750" t="s">
        <v>28</v>
      </c>
      <c r="C12" s="750"/>
      <c r="D12" s="16" t="s">
        <v>16</v>
      </c>
      <c r="E12" s="17">
        <f t="shared" ref="E12:I29" si="6">SUM(J12,O12)</f>
        <v>3393000</v>
      </c>
      <c r="F12" s="17">
        <f t="shared" si="6"/>
        <v>3434347</v>
      </c>
      <c r="G12" s="17">
        <f t="shared" si="6"/>
        <v>1876327</v>
      </c>
      <c r="H12" s="18">
        <f t="shared" si="0"/>
        <v>54.634170629816957</v>
      </c>
      <c r="I12" s="17">
        <f t="shared" si="6"/>
        <v>1604098</v>
      </c>
      <c r="J12" s="44">
        <v>3393000</v>
      </c>
      <c r="K12" s="25">
        <v>3394117</v>
      </c>
      <c r="L12" s="25">
        <v>1876327</v>
      </c>
      <c r="M12" s="18">
        <f t="shared" si="2"/>
        <v>55.281741908131046</v>
      </c>
      <c r="N12" s="25">
        <v>1604098</v>
      </c>
      <c r="O12" s="19">
        <v>0</v>
      </c>
      <c r="P12" s="19">
        <v>40230</v>
      </c>
      <c r="Q12" s="19">
        <v>0</v>
      </c>
      <c r="R12" s="18">
        <f t="shared" si="3"/>
        <v>0</v>
      </c>
      <c r="S12" s="25">
        <v>0</v>
      </c>
      <c r="T12" s="17">
        <v>0</v>
      </c>
      <c r="U12" s="17">
        <v>0</v>
      </c>
      <c r="V12" s="17">
        <v>0</v>
      </c>
      <c r="W12" s="18">
        <v>0</v>
      </c>
      <c r="X12" s="25">
        <v>0</v>
      </c>
    </row>
    <row r="13" spans="1:24" s="7" customFormat="1" ht="9.75" x14ac:dyDescent="0.2">
      <c r="A13" s="15" t="s">
        <v>29</v>
      </c>
      <c r="B13" s="750" t="s">
        <v>30</v>
      </c>
      <c r="C13" s="750"/>
      <c r="D13" s="16" t="s">
        <v>16</v>
      </c>
      <c r="E13" s="17">
        <f t="shared" si="6"/>
        <v>650000</v>
      </c>
      <c r="F13" s="17">
        <f t="shared" si="6"/>
        <v>650000</v>
      </c>
      <c r="G13" s="17">
        <f t="shared" si="6"/>
        <v>256465</v>
      </c>
      <c r="H13" s="18">
        <f t="shared" si="0"/>
        <v>39.456153846153846</v>
      </c>
      <c r="I13" s="17">
        <f t="shared" si="6"/>
        <v>272301</v>
      </c>
      <c r="J13" s="44">
        <v>650000</v>
      </c>
      <c r="K13" s="17">
        <v>650000</v>
      </c>
      <c r="L13" s="17">
        <v>256465</v>
      </c>
      <c r="M13" s="18">
        <f t="shared" si="2"/>
        <v>39.456153846153846</v>
      </c>
      <c r="N13" s="17">
        <v>272301</v>
      </c>
      <c r="O13" s="19">
        <v>0</v>
      </c>
      <c r="P13" s="19">
        <v>0</v>
      </c>
      <c r="Q13" s="19">
        <v>0</v>
      </c>
      <c r="R13" s="18">
        <v>0</v>
      </c>
      <c r="S13" s="17">
        <v>0</v>
      </c>
      <c r="T13" s="17">
        <v>0</v>
      </c>
      <c r="U13" s="17">
        <v>0</v>
      </c>
      <c r="V13" s="17">
        <v>0</v>
      </c>
      <c r="W13" s="18">
        <v>0</v>
      </c>
      <c r="X13" s="17">
        <v>0</v>
      </c>
    </row>
    <row r="14" spans="1:24" s="7" customFormat="1" ht="9.75" x14ac:dyDescent="0.2">
      <c r="A14" s="15" t="s">
        <v>31</v>
      </c>
      <c r="B14" s="21" t="s">
        <v>32</v>
      </c>
      <c r="C14" s="21"/>
      <c r="D14" s="16" t="s">
        <v>16</v>
      </c>
      <c r="E14" s="17">
        <f t="shared" si="6"/>
        <v>0</v>
      </c>
      <c r="F14" s="17">
        <f t="shared" si="6"/>
        <v>0</v>
      </c>
      <c r="G14" s="17">
        <f t="shared" si="6"/>
        <v>0</v>
      </c>
      <c r="H14" s="18">
        <v>0</v>
      </c>
      <c r="I14" s="17">
        <f t="shared" si="6"/>
        <v>0</v>
      </c>
      <c r="J14" s="44">
        <v>0</v>
      </c>
      <c r="K14" s="17">
        <v>0</v>
      </c>
      <c r="L14" s="17">
        <v>0</v>
      </c>
      <c r="M14" s="18">
        <v>0</v>
      </c>
      <c r="N14" s="17">
        <v>0</v>
      </c>
      <c r="O14" s="19">
        <v>0</v>
      </c>
      <c r="P14" s="19">
        <v>0</v>
      </c>
      <c r="Q14" s="19">
        <v>0</v>
      </c>
      <c r="R14" s="18">
        <v>0</v>
      </c>
      <c r="S14" s="17">
        <v>0</v>
      </c>
      <c r="T14" s="17">
        <v>0</v>
      </c>
      <c r="U14" s="17">
        <v>0</v>
      </c>
      <c r="V14" s="17">
        <v>0</v>
      </c>
      <c r="W14" s="18">
        <v>0</v>
      </c>
      <c r="X14" s="17">
        <v>0</v>
      </c>
    </row>
    <row r="15" spans="1:24" s="7" customFormat="1" ht="9.75" x14ac:dyDescent="0.2">
      <c r="A15" s="15" t="s">
        <v>33</v>
      </c>
      <c r="B15" s="750" t="s">
        <v>34</v>
      </c>
      <c r="C15" s="750"/>
      <c r="D15" s="16" t="s">
        <v>16</v>
      </c>
      <c r="E15" s="17">
        <f t="shared" si="6"/>
        <v>432356</v>
      </c>
      <c r="F15" s="17">
        <f t="shared" si="6"/>
        <v>832356</v>
      </c>
      <c r="G15" s="17">
        <f t="shared" si="6"/>
        <v>153544</v>
      </c>
      <c r="H15" s="18">
        <f t="shared" si="0"/>
        <v>18.446914541374124</v>
      </c>
      <c r="I15" s="17">
        <f t="shared" si="6"/>
        <v>39211</v>
      </c>
      <c r="J15" s="44">
        <v>432356</v>
      </c>
      <c r="K15" s="17">
        <v>832356</v>
      </c>
      <c r="L15" s="17">
        <v>153544</v>
      </c>
      <c r="M15" s="18">
        <f t="shared" si="2"/>
        <v>18.446914541374124</v>
      </c>
      <c r="N15" s="17">
        <v>39211</v>
      </c>
      <c r="O15" s="19">
        <v>0</v>
      </c>
      <c r="P15" s="19">
        <v>0</v>
      </c>
      <c r="Q15" s="19">
        <v>0</v>
      </c>
      <c r="R15" s="18">
        <v>0</v>
      </c>
      <c r="S15" s="17">
        <v>0</v>
      </c>
      <c r="T15" s="17">
        <v>3000</v>
      </c>
      <c r="U15" s="17">
        <v>3000</v>
      </c>
      <c r="V15" s="17">
        <v>0</v>
      </c>
      <c r="W15" s="18">
        <f t="shared" si="4"/>
        <v>0</v>
      </c>
      <c r="X15" s="17">
        <v>0</v>
      </c>
    </row>
    <row r="16" spans="1:24" s="7" customFormat="1" ht="9.75" x14ac:dyDescent="0.2">
      <c r="A16" s="15" t="s">
        <v>35</v>
      </c>
      <c r="B16" s="750" t="s">
        <v>36</v>
      </c>
      <c r="C16" s="750"/>
      <c r="D16" s="16" t="s">
        <v>16</v>
      </c>
      <c r="E16" s="17">
        <f t="shared" si="6"/>
        <v>5000</v>
      </c>
      <c r="F16" s="17">
        <f t="shared" si="6"/>
        <v>5000</v>
      </c>
      <c r="G16" s="17">
        <f t="shared" si="6"/>
        <v>0</v>
      </c>
      <c r="H16" s="18">
        <f t="shared" si="0"/>
        <v>0</v>
      </c>
      <c r="I16" s="17">
        <f t="shared" si="6"/>
        <v>0</v>
      </c>
      <c r="J16" s="44">
        <v>5000</v>
      </c>
      <c r="K16" s="17">
        <v>5000</v>
      </c>
      <c r="L16" s="17">
        <v>0</v>
      </c>
      <c r="M16" s="18">
        <f t="shared" si="2"/>
        <v>0</v>
      </c>
      <c r="N16" s="17">
        <v>0</v>
      </c>
      <c r="O16" s="19">
        <v>0</v>
      </c>
      <c r="P16" s="19">
        <v>0</v>
      </c>
      <c r="Q16" s="19">
        <v>0</v>
      </c>
      <c r="R16" s="18">
        <v>0</v>
      </c>
      <c r="S16" s="17">
        <v>0</v>
      </c>
      <c r="T16" s="17">
        <v>0</v>
      </c>
      <c r="U16" s="17">
        <v>0</v>
      </c>
      <c r="V16" s="17">
        <v>0</v>
      </c>
      <c r="W16" s="18">
        <v>0</v>
      </c>
      <c r="X16" s="17">
        <v>0</v>
      </c>
    </row>
    <row r="17" spans="1:24" s="7" customFormat="1" ht="9.75" x14ac:dyDescent="0.2">
      <c r="A17" s="15" t="s">
        <v>37</v>
      </c>
      <c r="B17" s="21" t="s">
        <v>38</v>
      </c>
      <c r="C17" s="21"/>
      <c r="D17" s="16" t="s">
        <v>16</v>
      </c>
      <c r="E17" s="17">
        <f t="shared" si="6"/>
        <v>0</v>
      </c>
      <c r="F17" s="17">
        <f t="shared" si="6"/>
        <v>0</v>
      </c>
      <c r="G17" s="17">
        <f t="shared" si="6"/>
        <v>0</v>
      </c>
      <c r="H17" s="18">
        <v>0</v>
      </c>
      <c r="I17" s="17">
        <f t="shared" si="6"/>
        <v>0</v>
      </c>
      <c r="J17" s="44">
        <v>0</v>
      </c>
      <c r="K17" s="17">
        <v>0</v>
      </c>
      <c r="L17" s="17">
        <v>0</v>
      </c>
      <c r="M17" s="18">
        <v>0</v>
      </c>
      <c r="N17" s="17">
        <v>0</v>
      </c>
      <c r="O17" s="19">
        <v>0</v>
      </c>
      <c r="P17" s="19">
        <v>0</v>
      </c>
      <c r="Q17" s="19">
        <v>0</v>
      </c>
      <c r="R17" s="18">
        <v>0</v>
      </c>
      <c r="S17" s="17">
        <v>0</v>
      </c>
      <c r="T17" s="17">
        <v>0</v>
      </c>
      <c r="U17" s="17">
        <v>0</v>
      </c>
      <c r="V17" s="17">
        <v>0</v>
      </c>
      <c r="W17" s="18">
        <v>0</v>
      </c>
      <c r="X17" s="17">
        <v>0</v>
      </c>
    </row>
    <row r="18" spans="1:24" s="7" customFormat="1" ht="9.75" x14ac:dyDescent="0.2">
      <c r="A18" s="15" t="s">
        <v>39</v>
      </c>
      <c r="B18" s="750" t="s">
        <v>40</v>
      </c>
      <c r="C18" s="750"/>
      <c r="D18" s="16" t="s">
        <v>16</v>
      </c>
      <c r="E18" s="17">
        <f t="shared" si="6"/>
        <v>390860</v>
      </c>
      <c r="F18" s="17">
        <f t="shared" si="6"/>
        <v>413360</v>
      </c>
      <c r="G18" s="17">
        <f t="shared" si="6"/>
        <v>154894</v>
      </c>
      <c r="H18" s="18">
        <f t="shared" si="0"/>
        <v>37.471937294368104</v>
      </c>
      <c r="I18" s="17">
        <f t="shared" si="6"/>
        <v>105229</v>
      </c>
      <c r="J18" s="44">
        <v>390860</v>
      </c>
      <c r="K18" s="17">
        <v>390860</v>
      </c>
      <c r="L18" s="17">
        <v>151394</v>
      </c>
      <c r="M18" s="18">
        <f t="shared" si="2"/>
        <v>38.733561889167476</v>
      </c>
      <c r="N18" s="17">
        <v>105229</v>
      </c>
      <c r="O18" s="17">
        <v>0</v>
      </c>
      <c r="P18" s="17">
        <v>22500</v>
      </c>
      <c r="Q18" s="17">
        <v>3500</v>
      </c>
      <c r="R18" s="18">
        <f t="shared" si="3"/>
        <v>15.555555555555555</v>
      </c>
      <c r="S18" s="17">
        <v>0</v>
      </c>
      <c r="T18" s="17">
        <v>2500</v>
      </c>
      <c r="U18" s="17">
        <v>2500</v>
      </c>
      <c r="V18" s="17"/>
      <c r="W18" s="18">
        <f t="shared" si="4"/>
        <v>0</v>
      </c>
      <c r="X18" s="17">
        <v>0</v>
      </c>
    </row>
    <row r="19" spans="1:24" s="28" customFormat="1" ht="9.75" x14ac:dyDescent="0.2">
      <c r="A19" s="15" t="s">
        <v>41</v>
      </c>
      <c r="B19" s="750" t="s">
        <v>42</v>
      </c>
      <c r="C19" s="750"/>
      <c r="D19" s="16" t="s">
        <v>16</v>
      </c>
      <c r="E19" s="17">
        <v>6287960</v>
      </c>
      <c r="F19" s="17">
        <f t="shared" si="6"/>
        <v>6353472</v>
      </c>
      <c r="G19" s="17">
        <f t="shared" si="6"/>
        <v>3178460</v>
      </c>
      <c r="H19" s="18">
        <f t="shared" si="0"/>
        <v>50.027134769776268</v>
      </c>
      <c r="I19" s="17">
        <f t="shared" si="6"/>
        <v>2705152</v>
      </c>
      <c r="J19" s="45">
        <v>177960</v>
      </c>
      <c r="K19" s="17">
        <v>177960</v>
      </c>
      <c r="L19" s="17">
        <v>99061</v>
      </c>
      <c r="M19" s="18">
        <f t="shared" si="2"/>
        <v>55.664756124971902</v>
      </c>
      <c r="N19" s="17">
        <v>99815</v>
      </c>
      <c r="O19" s="17">
        <v>6110000</v>
      </c>
      <c r="P19" s="17">
        <v>6175512</v>
      </c>
      <c r="Q19" s="17">
        <v>3079399</v>
      </c>
      <c r="R19" s="18">
        <f t="shared" si="3"/>
        <v>49.864675188065377</v>
      </c>
      <c r="S19" s="17">
        <v>2605337</v>
      </c>
      <c r="T19" s="17">
        <v>0</v>
      </c>
      <c r="U19" s="17">
        <v>0</v>
      </c>
      <c r="V19" s="17">
        <v>0</v>
      </c>
      <c r="W19" s="18">
        <v>0</v>
      </c>
      <c r="X19" s="27">
        <v>0</v>
      </c>
    </row>
    <row r="20" spans="1:24" s="7" customFormat="1" ht="9.75" x14ac:dyDescent="0.2">
      <c r="A20" s="15" t="s">
        <v>43</v>
      </c>
      <c r="B20" s="750" t="s">
        <v>44</v>
      </c>
      <c r="C20" s="750"/>
      <c r="D20" s="16" t="s">
        <v>16</v>
      </c>
      <c r="E20" s="17">
        <f t="shared" si="6"/>
        <v>2138212</v>
      </c>
      <c r="F20" s="17">
        <f t="shared" si="6"/>
        <v>2153142</v>
      </c>
      <c r="G20" s="17">
        <f t="shared" si="6"/>
        <v>1089096</v>
      </c>
      <c r="H20" s="18">
        <f t="shared" si="0"/>
        <v>50.581708034119444</v>
      </c>
      <c r="I20" s="17">
        <f t="shared" si="6"/>
        <v>921769</v>
      </c>
      <c r="J20" s="44">
        <v>60812</v>
      </c>
      <c r="K20" s="17">
        <v>60812</v>
      </c>
      <c r="L20" s="17">
        <v>36691</v>
      </c>
      <c r="M20" s="18">
        <f t="shared" si="2"/>
        <v>60.3351312241005</v>
      </c>
      <c r="N20" s="17">
        <v>34617</v>
      </c>
      <c r="O20" s="17">
        <v>2077400</v>
      </c>
      <c r="P20" s="17">
        <v>2092330</v>
      </c>
      <c r="Q20" s="17">
        <v>1052405</v>
      </c>
      <c r="R20" s="18">
        <f t="shared" si="3"/>
        <v>50.298232114437013</v>
      </c>
      <c r="S20" s="17">
        <v>887152</v>
      </c>
      <c r="T20" s="17">
        <v>0</v>
      </c>
      <c r="U20" s="17">
        <v>0</v>
      </c>
      <c r="V20" s="17">
        <v>0</v>
      </c>
      <c r="W20" s="18">
        <v>0</v>
      </c>
      <c r="X20" s="17">
        <v>0</v>
      </c>
    </row>
    <row r="21" spans="1:24" s="7" customFormat="1" ht="9.75" x14ac:dyDescent="0.2">
      <c r="A21" s="15" t="s">
        <v>45</v>
      </c>
      <c r="B21" s="750" t="s">
        <v>46</v>
      </c>
      <c r="C21" s="750"/>
      <c r="D21" s="16" t="s">
        <v>16</v>
      </c>
      <c r="E21" s="17">
        <f t="shared" si="6"/>
        <v>219252</v>
      </c>
      <c r="F21" s="17">
        <f t="shared" si="6"/>
        <v>228022</v>
      </c>
      <c r="G21" s="17">
        <f t="shared" si="6"/>
        <v>66723</v>
      </c>
      <c r="H21" s="18">
        <f t="shared" si="0"/>
        <v>29.261650191648176</v>
      </c>
      <c r="I21" s="17">
        <f t="shared" si="6"/>
        <v>54702</v>
      </c>
      <c r="J21" s="44">
        <v>16552</v>
      </c>
      <c r="K21" s="17">
        <v>16552</v>
      </c>
      <c r="L21" s="17">
        <v>1895</v>
      </c>
      <c r="M21" s="18">
        <f t="shared" si="2"/>
        <v>11.448767520541324</v>
      </c>
      <c r="N21" s="17">
        <v>2296</v>
      </c>
      <c r="O21" s="17">
        <v>202700</v>
      </c>
      <c r="P21" s="17">
        <v>211470</v>
      </c>
      <c r="Q21" s="17">
        <v>64828</v>
      </c>
      <c r="R21" s="18">
        <f t="shared" si="3"/>
        <v>30.655884995507638</v>
      </c>
      <c r="S21" s="17">
        <v>52406</v>
      </c>
      <c r="T21" s="17">
        <v>0</v>
      </c>
      <c r="U21" s="17">
        <v>0</v>
      </c>
      <c r="V21" s="17">
        <v>0</v>
      </c>
      <c r="W21" s="18">
        <v>0</v>
      </c>
      <c r="X21" s="17">
        <v>0</v>
      </c>
    </row>
    <row r="22" spans="1:24" s="7" customFormat="1" ht="9.75" x14ac:dyDescent="0.2">
      <c r="A22" s="15" t="s">
        <v>47</v>
      </c>
      <c r="B22" s="750" t="s">
        <v>48</v>
      </c>
      <c r="C22" s="750"/>
      <c r="D22" s="16" t="s">
        <v>16</v>
      </c>
      <c r="E22" s="17">
        <f t="shared" si="6"/>
        <v>0</v>
      </c>
      <c r="F22" s="17">
        <f t="shared" si="6"/>
        <v>0</v>
      </c>
      <c r="G22" s="17">
        <f t="shared" si="6"/>
        <v>0</v>
      </c>
      <c r="H22" s="18">
        <v>0</v>
      </c>
      <c r="I22" s="17">
        <f t="shared" si="6"/>
        <v>0</v>
      </c>
      <c r="J22" s="44">
        <v>0</v>
      </c>
      <c r="K22" s="17">
        <v>0</v>
      </c>
      <c r="L22" s="17">
        <v>0</v>
      </c>
      <c r="M22" s="18">
        <v>0</v>
      </c>
      <c r="N22" s="17">
        <v>0</v>
      </c>
      <c r="O22" s="19">
        <v>0</v>
      </c>
      <c r="P22" s="19">
        <v>0</v>
      </c>
      <c r="Q22" s="19">
        <v>0</v>
      </c>
      <c r="R22" s="18">
        <v>0</v>
      </c>
      <c r="S22" s="17">
        <v>0</v>
      </c>
      <c r="T22" s="17">
        <v>0</v>
      </c>
      <c r="U22" s="17">
        <v>0</v>
      </c>
      <c r="V22" s="17">
        <v>0</v>
      </c>
      <c r="W22" s="18">
        <v>0</v>
      </c>
      <c r="X22" s="17">
        <v>0</v>
      </c>
    </row>
    <row r="23" spans="1:24" s="7" customFormat="1" ht="9.75" x14ac:dyDescent="0.2">
      <c r="A23" s="15" t="s">
        <v>49</v>
      </c>
      <c r="B23" s="21" t="s">
        <v>50</v>
      </c>
      <c r="C23" s="21"/>
      <c r="D23" s="16" t="s">
        <v>16</v>
      </c>
      <c r="E23" s="17">
        <f t="shared" si="6"/>
        <v>0</v>
      </c>
      <c r="F23" s="17">
        <f t="shared" si="6"/>
        <v>0</v>
      </c>
      <c r="G23" s="17">
        <f t="shared" si="6"/>
        <v>0</v>
      </c>
      <c r="H23" s="18">
        <v>0</v>
      </c>
      <c r="I23" s="17">
        <f t="shared" si="6"/>
        <v>0</v>
      </c>
      <c r="J23" s="44">
        <v>0</v>
      </c>
      <c r="K23" s="17">
        <v>0</v>
      </c>
      <c r="L23" s="17">
        <v>0</v>
      </c>
      <c r="M23" s="18">
        <v>0</v>
      </c>
      <c r="N23" s="17">
        <v>0</v>
      </c>
      <c r="O23" s="19">
        <v>0</v>
      </c>
      <c r="P23" s="19">
        <v>0</v>
      </c>
      <c r="Q23" s="19">
        <v>0</v>
      </c>
      <c r="R23" s="18">
        <v>0</v>
      </c>
      <c r="S23" s="17">
        <v>0</v>
      </c>
      <c r="T23" s="17">
        <v>0</v>
      </c>
      <c r="U23" s="17">
        <v>0</v>
      </c>
      <c r="V23" s="17">
        <v>0</v>
      </c>
      <c r="W23" s="18">
        <v>0</v>
      </c>
      <c r="X23" s="17">
        <v>0</v>
      </c>
    </row>
    <row r="24" spans="1:24" s="7" customFormat="1" ht="9.75" x14ac:dyDescent="0.2">
      <c r="A24" s="15" t="s">
        <v>51</v>
      </c>
      <c r="B24" s="21" t="s">
        <v>52</v>
      </c>
      <c r="C24" s="21"/>
      <c r="D24" s="16" t="s">
        <v>16</v>
      </c>
      <c r="E24" s="17">
        <f t="shared" si="6"/>
        <v>0</v>
      </c>
      <c r="F24" s="17">
        <f t="shared" si="6"/>
        <v>0</v>
      </c>
      <c r="G24" s="17">
        <f t="shared" si="6"/>
        <v>0</v>
      </c>
      <c r="H24" s="18">
        <v>0</v>
      </c>
      <c r="I24" s="17">
        <f t="shared" si="6"/>
        <v>0</v>
      </c>
      <c r="J24" s="44">
        <v>0</v>
      </c>
      <c r="K24" s="17">
        <v>0</v>
      </c>
      <c r="L24" s="17">
        <v>0</v>
      </c>
      <c r="M24" s="18">
        <v>0</v>
      </c>
      <c r="N24" s="17">
        <v>0</v>
      </c>
      <c r="O24" s="19">
        <v>0</v>
      </c>
      <c r="P24" s="19">
        <v>0</v>
      </c>
      <c r="Q24" s="19">
        <v>0</v>
      </c>
      <c r="R24" s="18">
        <v>0</v>
      </c>
      <c r="S24" s="17">
        <v>0</v>
      </c>
      <c r="T24" s="17">
        <v>0</v>
      </c>
      <c r="U24" s="17">
        <v>0</v>
      </c>
      <c r="V24" s="17">
        <v>0</v>
      </c>
      <c r="W24" s="18">
        <v>0</v>
      </c>
      <c r="X24" s="17">
        <v>0</v>
      </c>
    </row>
    <row r="25" spans="1:24" s="7" customFormat="1" ht="9.75" x14ac:dyDescent="0.2">
      <c r="A25" s="15" t="s">
        <v>53</v>
      </c>
      <c r="B25" s="21" t="s">
        <v>54</v>
      </c>
      <c r="C25" s="21"/>
      <c r="D25" s="16" t="s">
        <v>16</v>
      </c>
      <c r="E25" s="17">
        <f t="shared" si="6"/>
        <v>0</v>
      </c>
      <c r="F25" s="17">
        <f t="shared" si="6"/>
        <v>0</v>
      </c>
      <c r="G25" s="17">
        <f t="shared" si="6"/>
        <v>0</v>
      </c>
      <c r="H25" s="18">
        <v>0</v>
      </c>
      <c r="I25" s="17">
        <f t="shared" si="6"/>
        <v>0</v>
      </c>
      <c r="J25" s="44">
        <v>0</v>
      </c>
      <c r="K25" s="25">
        <v>0</v>
      </c>
      <c r="L25" s="25">
        <v>0</v>
      </c>
      <c r="M25" s="18">
        <v>0</v>
      </c>
      <c r="N25" s="17">
        <v>0</v>
      </c>
      <c r="O25" s="19">
        <v>0</v>
      </c>
      <c r="P25" s="19">
        <v>0</v>
      </c>
      <c r="Q25" s="19">
        <v>0</v>
      </c>
      <c r="R25" s="18">
        <v>0</v>
      </c>
      <c r="S25" s="25">
        <v>0</v>
      </c>
      <c r="T25" s="17">
        <v>0</v>
      </c>
      <c r="U25" s="17">
        <v>0</v>
      </c>
      <c r="V25" s="17">
        <v>0</v>
      </c>
      <c r="W25" s="18">
        <v>0</v>
      </c>
      <c r="X25" s="25">
        <v>0</v>
      </c>
    </row>
    <row r="26" spans="1:24" s="30" customFormat="1" ht="9.75" x14ac:dyDescent="0.2">
      <c r="A26" s="15" t="s">
        <v>55</v>
      </c>
      <c r="B26" s="750" t="s">
        <v>56</v>
      </c>
      <c r="C26" s="750"/>
      <c r="D26" s="16" t="s">
        <v>16</v>
      </c>
      <c r="E26" s="17">
        <f t="shared" si="6"/>
        <v>644834</v>
      </c>
      <c r="F26" s="17">
        <f t="shared" si="6"/>
        <v>644834</v>
      </c>
      <c r="G26" s="17">
        <f t="shared" si="6"/>
        <v>322418</v>
      </c>
      <c r="H26" s="29">
        <f>G26/F26*100</f>
        <v>50.000155078671412</v>
      </c>
      <c r="I26" s="17">
        <f>SUM(N26,S26)</f>
        <v>324697</v>
      </c>
      <c r="J26" s="44">
        <v>644834</v>
      </c>
      <c r="K26" s="26">
        <v>644834</v>
      </c>
      <c r="L26" s="26">
        <v>322418</v>
      </c>
      <c r="M26" s="18">
        <f>L26/K26*100</f>
        <v>50.000155078671412</v>
      </c>
      <c r="N26" s="26">
        <v>324697</v>
      </c>
      <c r="O26" s="19">
        <v>0</v>
      </c>
      <c r="P26" s="19">
        <v>0</v>
      </c>
      <c r="Q26" s="19">
        <v>0</v>
      </c>
      <c r="R26" s="18">
        <v>0</v>
      </c>
      <c r="S26" s="26">
        <v>0</v>
      </c>
      <c r="T26" s="46">
        <v>5640</v>
      </c>
      <c r="U26" s="46">
        <v>5640</v>
      </c>
      <c r="V26" s="46">
        <v>2820</v>
      </c>
      <c r="W26" s="18">
        <f>V26/U26*100</f>
        <v>50</v>
      </c>
      <c r="X26" s="46">
        <v>2820</v>
      </c>
    </row>
    <row r="27" spans="1:24" s="30" customFormat="1" ht="9.75" x14ac:dyDescent="0.2">
      <c r="A27" s="15" t="s">
        <v>57</v>
      </c>
      <c r="B27" s="21" t="s">
        <v>58</v>
      </c>
      <c r="C27" s="21"/>
      <c r="D27" s="16" t="s">
        <v>16</v>
      </c>
      <c r="E27" s="17">
        <f t="shared" si="6"/>
        <v>0</v>
      </c>
      <c r="F27" s="17">
        <f t="shared" si="6"/>
        <v>0</v>
      </c>
      <c r="G27" s="17">
        <f t="shared" si="6"/>
        <v>0</v>
      </c>
      <c r="H27" s="29">
        <v>0</v>
      </c>
      <c r="I27" s="17">
        <f t="shared" si="6"/>
        <v>0</v>
      </c>
      <c r="J27" s="44">
        <v>0</v>
      </c>
      <c r="K27" s="26">
        <v>0</v>
      </c>
      <c r="L27" s="26">
        <v>0</v>
      </c>
      <c r="M27" s="18">
        <v>0</v>
      </c>
      <c r="N27" s="26">
        <v>0</v>
      </c>
      <c r="O27" s="19">
        <v>0</v>
      </c>
      <c r="P27" s="19">
        <v>0</v>
      </c>
      <c r="Q27" s="19">
        <v>0</v>
      </c>
      <c r="R27" s="18">
        <v>0</v>
      </c>
      <c r="S27" s="26">
        <v>0</v>
      </c>
      <c r="T27" s="17">
        <v>0</v>
      </c>
      <c r="U27" s="17">
        <v>0</v>
      </c>
      <c r="V27" s="17">
        <v>0</v>
      </c>
      <c r="W27" s="18">
        <v>0</v>
      </c>
      <c r="X27" s="46">
        <v>0</v>
      </c>
    </row>
    <row r="28" spans="1:24" s="30" customFormat="1" ht="9.75" x14ac:dyDescent="0.2">
      <c r="A28" s="15" t="s">
        <v>59</v>
      </c>
      <c r="B28" s="21" t="s">
        <v>60</v>
      </c>
      <c r="C28" s="21"/>
      <c r="D28" s="16" t="s">
        <v>16</v>
      </c>
      <c r="E28" s="17">
        <f>SUM(J28,O28)</f>
        <v>217000</v>
      </c>
      <c r="F28" s="17">
        <f>SUM(K28,P28)</f>
        <v>226800</v>
      </c>
      <c r="G28" s="17">
        <f>SUM(L28,Q28)</f>
        <v>59631</v>
      </c>
      <c r="H28" s="29">
        <f>G28/F28*100</f>
        <v>26.292328042328045</v>
      </c>
      <c r="I28" s="17">
        <f>SUM(N28,S28)</f>
        <v>12966</v>
      </c>
      <c r="J28" s="44">
        <v>217000</v>
      </c>
      <c r="K28" s="26">
        <v>217000</v>
      </c>
      <c r="L28" s="26">
        <v>49831</v>
      </c>
      <c r="M28" s="18">
        <f>L28/K28*100</f>
        <v>22.963594470046083</v>
      </c>
      <c r="N28" s="26">
        <v>12966</v>
      </c>
      <c r="O28" s="26">
        <v>0</v>
      </c>
      <c r="P28" s="26">
        <v>9800</v>
      </c>
      <c r="Q28" s="26">
        <v>9800</v>
      </c>
      <c r="R28" s="18">
        <f>Q28/P28*100</f>
        <v>100</v>
      </c>
      <c r="S28" s="26">
        <v>0</v>
      </c>
      <c r="T28" s="17">
        <v>0</v>
      </c>
      <c r="U28" s="17">
        <v>0</v>
      </c>
      <c r="V28" s="17">
        <v>0</v>
      </c>
      <c r="W28" s="18">
        <v>0</v>
      </c>
      <c r="X28" s="46">
        <v>0</v>
      </c>
    </row>
    <row r="29" spans="1:24" s="31" customFormat="1" ht="9.75" x14ac:dyDescent="0.2">
      <c r="A29" s="15" t="s">
        <v>61</v>
      </c>
      <c r="B29" s="21" t="s">
        <v>62</v>
      </c>
      <c r="C29" s="21"/>
      <c r="D29" s="16" t="s">
        <v>16</v>
      </c>
      <c r="E29" s="17">
        <f t="shared" si="6"/>
        <v>369</v>
      </c>
      <c r="F29" s="17">
        <f t="shared" si="6"/>
        <v>369</v>
      </c>
      <c r="G29" s="17">
        <f t="shared" si="6"/>
        <v>369</v>
      </c>
      <c r="H29" s="29">
        <f t="shared" si="0"/>
        <v>100</v>
      </c>
      <c r="I29" s="17">
        <f t="shared" si="6"/>
        <v>369</v>
      </c>
      <c r="J29" s="44">
        <v>369</v>
      </c>
      <c r="K29" s="26">
        <v>369</v>
      </c>
      <c r="L29" s="26">
        <v>369</v>
      </c>
      <c r="M29" s="18">
        <f t="shared" si="2"/>
        <v>100</v>
      </c>
      <c r="N29" s="26">
        <v>369</v>
      </c>
      <c r="O29" s="19">
        <v>0</v>
      </c>
      <c r="P29" s="19">
        <v>0</v>
      </c>
      <c r="Q29" s="19">
        <v>0</v>
      </c>
      <c r="R29" s="18">
        <v>0</v>
      </c>
      <c r="S29" s="26">
        <v>0</v>
      </c>
      <c r="T29" s="17">
        <v>0</v>
      </c>
      <c r="U29" s="17">
        <v>0</v>
      </c>
      <c r="V29" s="17">
        <v>0</v>
      </c>
      <c r="W29" s="18">
        <v>0</v>
      </c>
      <c r="X29" s="46">
        <v>0</v>
      </c>
    </row>
    <row r="30" spans="1:24" s="7" customFormat="1" ht="9.75" x14ac:dyDescent="0.2">
      <c r="A30" s="15" t="s">
        <v>63</v>
      </c>
      <c r="B30" s="21" t="s">
        <v>64</v>
      </c>
      <c r="C30" s="21"/>
      <c r="D30" s="16" t="s">
        <v>16</v>
      </c>
      <c r="E30" s="17">
        <f t="shared" ref="E30:G31" si="7">SUM(J30,O30)</f>
        <v>0</v>
      </c>
      <c r="F30" s="17">
        <f t="shared" si="7"/>
        <v>0</v>
      </c>
      <c r="G30" s="17">
        <f t="shared" si="7"/>
        <v>0</v>
      </c>
      <c r="H30" s="29">
        <v>0</v>
      </c>
      <c r="I30" s="17">
        <f>SUM(N30,S30)</f>
        <v>0</v>
      </c>
      <c r="J30" s="44">
        <v>0</v>
      </c>
      <c r="K30" s="26"/>
      <c r="L30" s="26">
        <v>0</v>
      </c>
      <c r="M30" s="18">
        <v>0</v>
      </c>
      <c r="N30" s="17">
        <v>0</v>
      </c>
      <c r="O30" s="19">
        <v>0</v>
      </c>
      <c r="P30" s="19">
        <v>0</v>
      </c>
      <c r="Q30" s="19">
        <v>0</v>
      </c>
      <c r="R30" s="18">
        <v>0</v>
      </c>
      <c r="S30" s="26">
        <v>0</v>
      </c>
      <c r="T30" s="17">
        <v>0</v>
      </c>
      <c r="U30" s="17">
        <v>0</v>
      </c>
      <c r="V30" s="17">
        <v>0</v>
      </c>
      <c r="W30" s="18">
        <v>0</v>
      </c>
      <c r="X30" s="46">
        <v>0</v>
      </c>
    </row>
    <row r="31" spans="1:24" s="34" customFormat="1" ht="9.75" x14ac:dyDescent="0.2">
      <c r="A31" s="15" t="s">
        <v>65</v>
      </c>
      <c r="B31" s="21" t="s">
        <v>66</v>
      </c>
      <c r="C31" s="21"/>
      <c r="D31" s="16" t="s">
        <v>16</v>
      </c>
      <c r="E31" s="17">
        <f t="shared" si="7"/>
        <v>0</v>
      </c>
      <c r="F31" s="17">
        <f t="shared" si="7"/>
        <v>0</v>
      </c>
      <c r="G31" s="17">
        <f t="shared" si="7"/>
        <v>0</v>
      </c>
      <c r="H31" s="29">
        <v>0</v>
      </c>
      <c r="I31" s="17">
        <f>SUM(N31,S31)</f>
        <v>0</v>
      </c>
      <c r="J31" s="44">
        <v>0</v>
      </c>
      <c r="K31" s="32">
        <v>0</v>
      </c>
      <c r="L31" s="32">
        <v>0</v>
      </c>
      <c r="M31" s="18">
        <v>0</v>
      </c>
      <c r="N31" s="17">
        <v>0</v>
      </c>
      <c r="O31" s="19">
        <v>0</v>
      </c>
      <c r="P31" s="19">
        <v>0</v>
      </c>
      <c r="Q31" s="19">
        <v>0</v>
      </c>
      <c r="R31" s="18">
        <v>0</v>
      </c>
      <c r="S31" s="32">
        <v>0</v>
      </c>
      <c r="T31" s="17">
        <v>0</v>
      </c>
      <c r="U31" s="17">
        <v>0</v>
      </c>
      <c r="V31" s="17">
        <v>0</v>
      </c>
      <c r="W31" s="18">
        <v>0</v>
      </c>
      <c r="X31" s="33">
        <v>0</v>
      </c>
    </row>
    <row r="32" spans="1:24" s="34" customFormat="1" ht="9.75" x14ac:dyDescent="0.2">
      <c r="A32" s="15" t="s">
        <v>67</v>
      </c>
      <c r="B32" s="21" t="s">
        <v>68</v>
      </c>
      <c r="C32" s="21"/>
      <c r="D32" s="16" t="s">
        <v>16</v>
      </c>
      <c r="E32" s="17">
        <f>SUM(J32,O32)</f>
        <v>0</v>
      </c>
      <c r="F32" s="17">
        <f>SUM(K32,P32)</f>
        <v>0</v>
      </c>
      <c r="G32" s="17">
        <f>SUM(L32,Q32)</f>
        <v>0</v>
      </c>
      <c r="H32" s="29">
        <v>0</v>
      </c>
      <c r="I32" s="17">
        <f>SUM(N32,S32)</f>
        <v>0</v>
      </c>
      <c r="J32" s="47">
        <v>0</v>
      </c>
      <c r="K32" s="33">
        <v>0</v>
      </c>
      <c r="L32" s="33">
        <v>0</v>
      </c>
      <c r="M32" s="18">
        <v>0</v>
      </c>
      <c r="N32" s="17">
        <v>0</v>
      </c>
      <c r="O32" s="19">
        <v>0</v>
      </c>
      <c r="P32" s="19">
        <v>0</v>
      </c>
      <c r="Q32" s="19">
        <v>0</v>
      </c>
      <c r="R32" s="18">
        <v>0</v>
      </c>
      <c r="S32" s="33">
        <v>0</v>
      </c>
      <c r="T32" s="33">
        <v>0</v>
      </c>
      <c r="U32" s="33">
        <v>0</v>
      </c>
      <c r="V32" s="33"/>
      <c r="W32" s="18">
        <v>0</v>
      </c>
      <c r="X32" s="33">
        <v>0</v>
      </c>
    </row>
    <row r="33" spans="1:24" s="34" customFormat="1" ht="9.75" x14ac:dyDescent="0.2">
      <c r="A33" s="11" t="s">
        <v>69</v>
      </c>
      <c r="B33" s="35" t="s">
        <v>70</v>
      </c>
      <c r="C33" s="35"/>
      <c r="D33" s="12" t="s">
        <v>16</v>
      </c>
      <c r="E33" s="13">
        <f>E6-E11</f>
        <v>0</v>
      </c>
      <c r="F33" s="13">
        <f>F6-F11</f>
        <v>0</v>
      </c>
      <c r="G33" s="13">
        <f>G6-G11</f>
        <v>400932</v>
      </c>
      <c r="H33" s="36">
        <v>0</v>
      </c>
      <c r="I33" s="13">
        <f>I6-I11</f>
        <v>722182</v>
      </c>
      <c r="J33" s="13">
        <f>J6-J11</f>
        <v>0</v>
      </c>
      <c r="K33" s="13">
        <f>K6-K11</f>
        <v>0</v>
      </c>
      <c r="L33" s="13">
        <f>L6-L11</f>
        <v>400932</v>
      </c>
      <c r="M33" s="14">
        <v>0</v>
      </c>
      <c r="N33" s="13">
        <v>722182</v>
      </c>
      <c r="O33" s="13">
        <f>O6-O11</f>
        <v>0</v>
      </c>
      <c r="P33" s="13">
        <f>P6-P11</f>
        <v>0</v>
      </c>
      <c r="Q33" s="13">
        <f>Q6-Q11</f>
        <v>0</v>
      </c>
      <c r="R33" s="14">
        <v>0</v>
      </c>
      <c r="S33" s="13">
        <v>0</v>
      </c>
      <c r="T33" s="13">
        <f>T6-T11</f>
        <v>32298</v>
      </c>
      <c r="U33" s="13">
        <f>U6-U11</f>
        <v>32298</v>
      </c>
      <c r="V33" s="13">
        <f>V6-V11</f>
        <v>20248</v>
      </c>
      <c r="W33" s="14">
        <f t="shared" si="4"/>
        <v>62.691188308873613</v>
      </c>
      <c r="X33" s="13">
        <v>20248</v>
      </c>
    </row>
    <row r="34" spans="1:24" s="1" customFormat="1" ht="9.75" x14ac:dyDescent="0.2">
      <c r="A34" s="37" t="s">
        <v>71</v>
      </c>
      <c r="B34" s="749" t="s">
        <v>72</v>
      </c>
      <c r="C34" s="749"/>
      <c r="D34" s="38" t="s">
        <v>16</v>
      </c>
      <c r="E34" s="48">
        <v>20959</v>
      </c>
      <c r="F34" s="48">
        <v>23019</v>
      </c>
      <c r="G34" s="48">
        <v>23032</v>
      </c>
      <c r="H34" s="29">
        <f t="shared" si="0"/>
        <v>100.0564750857987</v>
      </c>
      <c r="I34" s="48">
        <v>18034</v>
      </c>
      <c r="J34" s="39">
        <v>14830</v>
      </c>
      <c r="K34" s="39">
        <v>14830</v>
      </c>
      <c r="L34" s="39">
        <v>16510</v>
      </c>
      <c r="M34" s="14">
        <f t="shared" si="2"/>
        <v>111.32838840188806</v>
      </c>
      <c r="N34" s="39">
        <v>15864</v>
      </c>
      <c r="O34" s="39">
        <v>21215</v>
      </c>
      <c r="P34" s="39">
        <v>23392</v>
      </c>
      <c r="Q34" s="39">
        <v>23328</v>
      </c>
      <c r="R34" s="98">
        <v>0</v>
      </c>
      <c r="S34" s="39">
        <v>18092</v>
      </c>
      <c r="T34" s="39"/>
      <c r="U34" s="39"/>
      <c r="V34" s="39"/>
      <c r="W34" s="14">
        <v>0</v>
      </c>
      <c r="X34" s="39"/>
    </row>
    <row r="35" spans="1:24" s="1" customFormat="1" ht="9.75" x14ac:dyDescent="0.2">
      <c r="A35" s="40" t="s">
        <v>73</v>
      </c>
      <c r="B35" s="751" t="s">
        <v>74</v>
      </c>
      <c r="C35" s="751"/>
      <c r="D35" s="40" t="s">
        <v>75</v>
      </c>
      <c r="E35" s="48">
        <v>25</v>
      </c>
      <c r="F35" s="48">
        <v>23</v>
      </c>
      <c r="G35" s="48">
        <v>23</v>
      </c>
      <c r="H35" s="29">
        <f t="shared" si="0"/>
        <v>100</v>
      </c>
      <c r="I35" s="48">
        <v>25</v>
      </c>
      <c r="J35" s="39">
        <v>1</v>
      </c>
      <c r="K35" s="49">
        <v>1</v>
      </c>
      <c r="L35" s="39">
        <v>1</v>
      </c>
      <c r="M35" s="14">
        <f t="shared" si="2"/>
        <v>100</v>
      </c>
      <c r="N35" s="39">
        <v>1</v>
      </c>
      <c r="O35" s="39">
        <v>24</v>
      </c>
      <c r="P35" s="39">
        <v>22</v>
      </c>
      <c r="Q35" s="39">
        <v>22</v>
      </c>
      <c r="R35" s="98">
        <v>0</v>
      </c>
      <c r="S35" s="39">
        <v>24</v>
      </c>
      <c r="T35" s="39"/>
      <c r="U35" s="39"/>
      <c r="V35" s="39"/>
      <c r="W35" s="14">
        <v>0</v>
      </c>
      <c r="X35" s="39"/>
    </row>
    <row r="36" spans="1:24" s="1" customFormat="1" ht="9.75" x14ac:dyDescent="0.2">
      <c r="A36" s="37" t="s">
        <v>76</v>
      </c>
      <c r="B36" s="749" t="s">
        <v>77</v>
      </c>
      <c r="C36" s="749"/>
      <c r="D36" s="38" t="s">
        <v>75</v>
      </c>
      <c r="E36" s="48">
        <v>37</v>
      </c>
      <c r="F36" s="48">
        <v>36</v>
      </c>
      <c r="G36" s="48">
        <v>36</v>
      </c>
      <c r="H36" s="29">
        <f t="shared" si="0"/>
        <v>100</v>
      </c>
      <c r="I36" s="48">
        <v>38</v>
      </c>
      <c r="J36" s="39">
        <v>1</v>
      </c>
      <c r="K36" s="39">
        <v>1</v>
      </c>
      <c r="L36" s="39">
        <v>1</v>
      </c>
      <c r="M36" s="14">
        <f t="shared" si="2"/>
        <v>100</v>
      </c>
      <c r="N36" s="39">
        <v>2</v>
      </c>
      <c r="O36" s="39">
        <v>36</v>
      </c>
      <c r="P36" s="39">
        <v>35</v>
      </c>
      <c r="Q36" s="39">
        <v>35</v>
      </c>
      <c r="R36" s="98">
        <v>0</v>
      </c>
      <c r="S36" s="39">
        <v>36</v>
      </c>
      <c r="T36" s="39"/>
      <c r="U36" s="39"/>
      <c r="V36" s="39"/>
      <c r="W36" s="14">
        <v>0</v>
      </c>
      <c r="X36" s="39"/>
    </row>
  </sheetData>
  <mergeCells count="38">
    <mergeCell ref="A1:X1"/>
    <mergeCell ref="A3:A5"/>
    <mergeCell ref="B3:C5"/>
    <mergeCell ref="D3:D5"/>
    <mergeCell ref="E3:I3"/>
    <mergeCell ref="J3:N3"/>
    <mergeCell ref="O3:S3"/>
    <mergeCell ref="T3:X3"/>
    <mergeCell ref="E4:E5"/>
    <mergeCell ref="F4:H4"/>
    <mergeCell ref="I4:I5"/>
    <mergeCell ref="J4:J5"/>
    <mergeCell ref="X4:X5"/>
    <mergeCell ref="B6:C6"/>
    <mergeCell ref="O4:O5"/>
    <mergeCell ref="P4:R4"/>
    <mergeCell ref="B12:C12"/>
    <mergeCell ref="K4:M4"/>
    <mergeCell ref="N4:N5"/>
    <mergeCell ref="S4:S5"/>
    <mergeCell ref="T4:T5"/>
    <mergeCell ref="U4:W4"/>
    <mergeCell ref="B8:C8"/>
    <mergeCell ref="B10:C10"/>
    <mergeCell ref="B11:C11"/>
    <mergeCell ref="B7:C7"/>
    <mergeCell ref="B13:C13"/>
    <mergeCell ref="B26:C26"/>
    <mergeCell ref="B34:C34"/>
    <mergeCell ref="B35:C35"/>
    <mergeCell ref="B15:C15"/>
    <mergeCell ref="B36:C36"/>
    <mergeCell ref="B16:C16"/>
    <mergeCell ref="B18:C18"/>
    <mergeCell ref="B19:C19"/>
    <mergeCell ref="B20:C20"/>
    <mergeCell ref="B21:C21"/>
    <mergeCell ref="B22:C22"/>
  </mergeCells>
  <pageMargins left="0.70866141732283472" right="0.70866141732283472" top="0.78740157480314965" bottom="0.78740157480314965" header="0.31496062992125984" footer="0.31496062992125984"/>
  <pageSetup paperSize="9" scale="85" firstPageNumber="95" orientation="landscape" useFirstPageNumber="1"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9"/>
  <sheetViews>
    <sheetView topLeftCell="A28" workbookViewId="0">
      <selection activeCell="C51" sqref="C51"/>
    </sheetView>
  </sheetViews>
  <sheetFormatPr defaultRowHeight="12.75" x14ac:dyDescent="0.2"/>
  <cols>
    <col min="1" max="1" width="33.140625" style="4" customWidth="1"/>
    <col min="2" max="2" width="19.140625" style="4" customWidth="1"/>
    <col min="3" max="5" width="14.7109375" style="4" customWidth="1"/>
    <col min="6" max="7" width="13" style="4" customWidth="1"/>
    <col min="8" max="8" width="18.42578125" style="4" customWidth="1"/>
    <col min="9" max="16384" width="9.140625" style="4"/>
  </cols>
  <sheetData>
    <row r="1" spans="1:9" s="168" customFormat="1" ht="18.75" x14ac:dyDescent="0.3">
      <c r="A1" s="818" t="s">
        <v>265</v>
      </c>
      <c r="B1" s="818"/>
      <c r="C1" s="818"/>
      <c r="D1" s="818"/>
      <c r="E1" s="818"/>
      <c r="F1" s="818"/>
      <c r="G1" s="818"/>
      <c r="H1" s="818"/>
      <c r="I1" s="818"/>
    </row>
    <row r="3" spans="1:9" s="169" customFormat="1" ht="10.5" x14ac:dyDescent="0.15">
      <c r="A3" s="781" t="s">
        <v>99</v>
      </c>
      <c r="B3" s="781"/>
      <c r="C3" s="781"/>
      <c r="D3" s="781"/>
      <c r="E3" s="781"/>
      <c r="F3" s="781"/>
      <c r="G3" s="781"/>
      <c r="H3" s="781"/>
      <c r="I3" s="781"/>
    </row>
    <row r="4" spans="1:9" s="170" customFormat="1" ht="11.25" x14ac:dyDescent="0.2"/>
    <row r="5" spans="1:9" s="172" customFormat="1" ht="9.75" x14ac:dyDescent="0.2">
      <c r="A5" s="819" t="s">
        <v>100</v>
      </c>
      <c r="B5" s="820"/>
      <c r="C5" s="171" t="s">
        <v>16</v>
      </c>
      <c r="D5" s="805" t="s">
        <v>101</v>
      </c>
      <c r="E5" s="805"/>
      <c r="F5" s="805"/>
      <c r="G5" s="805"/>
      <c r="H5" s="805"/>
      <c r="I5" s="805"/>
    </row>
    <row r="6" spans="1:9" s="170" customFormat="1" ht="51" customHeight="1" x14ac:dyDescent="0.2">
      <c r="A6" s="821" t="s">
        <v>102</v>
      </c>
      <c r="B6" s="822"/>
      <c r="C6" s="173">
        <v>1296856</v>
      </c>
      <c r="D6" s="823" t="s">
        <v>266</v>
      </c>
      <c r="E6" s="824"/>
      <c r="F6" s="824"/>
      <c r="G6" s="824"/>
      <c r="H6" s="824"/>
      <c r="I6" s="825"/>
    </row>
    <row r="7" spans="1:9" s="174" customFormat="1" ht="24.75" customHeight="1" x14ac:dyDescent="0.15">
      <c r="A7" s="821" t="s">
        <v>103</v>
      </c>
      <c r="B7" s="822"/>
      <c r="C7" s="173">
        <v>0</v>
      </c>
      <c r="D7" s="826" t="s">
        <v>267</v>
      </c>
      <c r="E7" s="827"/>
      <c r="F7" s="827"/>
      <c r="G7" s="827"/>
      <c r="H7" s="827"/>
      <c r="I7" s="828"/>
    </row>
    <row r="8" spans="1:9" s="174" customFormat="1" ht="15" customHeight="1" x14ac:dyDescent="0.15">
      <c r="A8" s="829" t="s">
        <v>105</v>
      </c>
      <c r="B8" s="830"/>
      <c r="C8" s="175">
        <v>177469</v>
      </c>
      <c r="D8" s="831"/>
      <c r="E8" s="832"/>
      <c r="F8" s="832"/>
      <c r="G8" s="832"/>
      <c r="H8" s="832"/>
      <c r="I8" s="833"/>
    </row>
    <row r="9" spans="1:9" s="170" customFormat="1" ht="11.25" x14ac:dyDescent="0.2">
      <c r="C9" s="176"/>
    </row>
    <row r="10" spans="1:9" s="177" customFormat="1" ht="11.25" x14ac:dyDescent="0.2">
      <c r="A10" s="781" t="s">
        <v>106</v>
      </c>
      <c r="B10" s="781"/>
      <c r="C10" s="781"/>
      <c r="D10" s="781"/>
      <c r="E10" s="781"/>
      <c r="F10" s="781"/>
      <c r="G10" s="781"/>
      <c r="H10" s="781"/>
      <c r="I10" s="781"/>
    </row>
    <row r="11" spans="1:9" s="170" customFormat="1" ht="12" thickBot="1" x14ac:dyDescent="0.25">
      <c r="C11" s="176"/>
    </row>
    <row r="12" spans="1:9" s="181" customFormat="1" ht="21" x14ac:dyDescent="0.15">
      <c r="A12" s="178" t="s">
        <v>107</v>
      </c>
      <c r="B12" s="178" t="s">
        <v>108</v>
      </c>
      <c r="C12" s="179" t="s">
        <v>109</v>
      </c>
      <c r="D12" s="180" t="s">
        <v>110</v>
      </c>
      <c r="E12" s="179" t="s">
        <v>111</v>
      </c>
      <c r="F12" s="814" t="s">
        <v>112</v>
      </c>
      <c r="G12" s="815"/>
      <c r="H12" s="816" t="s">
        <v>113</v>
      </c>
      <c r="I12" s="817"/>
    </row>
    <row r="13" spans="1:9" s="181" customFormat="1" ht="43.5" customHeight="1" x14ac:dyDescent="0.15">
      <c r="A13" s="182" t="s">
        <v>114</v>
      </c>
      <c r="B13" s="183">
        <v>103014.26</v>
      </c>
      <c r="C13" s="184">
        <v>196965.46</v>
      </c>
      <c r="D13" s="185">
        <v>15300</v>
      </c>
      <c r="E13" s="184">
        <f>B13+C13-D13</f>
        <v>284679.71999999997</v>
      </c>
      <c r="F13" s="809">
        <v>284679.71999999997</v>
      </c>
      <c r="G13" s="809"/>
      <c r="H13" s="801" t="s">
        <v>268</v>
      </c>
      <c r="I13" s="802"/>
    </row>
    <row r="14" spans="1:9" s="181" customFormat="1" ht="43.5" customHeight="1" x14ac:dyDescent="0.15">
      <c r="A14" s="182" t="s">
        <v>115</v>
      </c>
      <c r="B14" s="183">
        <v>437669.89</v>
      </c>
      <c r="C14" s="184">
        <v>5000</v>
      </c>
      <c r="D14" s="185">
        <v>372626.4</v>
      </c>
      <c r="E14" s="184">
        <f t="shared" ref="E14:E17" si="0">B14+C14-D14</f>
        <v>70043.489999999991</v>
      </c>
      <c r="F14" s="810">
        <v>70043.490000000005</v>
      </c>
      <c r="G14" s="811"/>
      <c r="H14" s="801" t="s">
        <v>269</v>
      </c>
      <c r="I14" s="812"/>
    </row>
    <row r="15" spans="1:9" s="181" customFormat="1" ht="48" customHeight="1" x14ac:dyDescent="0.15">
      <c r="A15" s="186" t="s">
        <v>116</v>
      </c>
      <c r="B15" s="187">
        <v>200514.22</v>
      </c>
      <c r="C15" s="188">
        <v>382616</v>
      </c>
      <c r="D15" s="189">
        <v>332110</v>
      </c>
      <c r="E15" s="184">
        <f t="shared" si="0"/>
        <v>251020.21999999997</v>
      </c>
      <c r="F15" s="813">
        <v>251020.22</v>
      </c>
      <c r="G15" s="813"/>
      <c r="H15" s="801" t="s">
        <v>270</v>
      </c>
      <c r="I15" s="802"/>
    </row>
    <row r="16" spans="1:9" s="181" customFormat="1" ht="35.25" customHeight="1" x14ac:dyDescent="0.15">
      <c r="A16" s="190" t="s">
        <v>117</v>
      </c>
      <c r="B16" s="191">
        <v>78810.67</v>
      </c>
      <c r="C16" s="192">
        <v>0</v>
      </c>
      <c r="D16" s="193">
        <v>0</v>
      </c>
      <c r="E16" s="184">
        <f t="shared" si="0"/>
        <v>78810.67</v>
      </c>
      <c r="F16" s="800">
        <v>78810.67</v>
      </c>
      <c r="G16" s="800"/>
      <c r="H16" s="801" t="s">
        <v>271</v>
      </c>
      <c r="I16" s="802"/>
    </row>
    <row r="17" spans="1:9" s="181" customFormat="1" ht="51" customHeight="1" x14ac:dyDescent="0.15">
      <c r="A17" s="194" t="s">
        <v>118</v>
      </c>
      <c r="B17" s="195">
        <v>301318.09000000003</v>
      </c>
      <c r="C17" s="196">
        <v>117017.64</v>
      </c>
      <c r="D17" s="197">
        <v>84252</v>
      </c>
      <c r="E17" s="184">
        <f t="shared" si="0"/>
        <v>334083.73000000004</v>
      </c>
      <c r="F17" s="803">
        <v>334083.73</v>
      </c>
      <c r="G17" s="803"/>
      <c r="H17" s="801" t="s">
        <v>272</v>
      </c>
      <c r="I17" s="802"/>
    </row>
    <row r="18" spans="1:9" s="181" customFormat="1" thickBot="1" x14ac:dyDescent="0.2">
      <c r="A18" s="198" t="s">
        <v>120</v>
      </c>
      <c r="B18" s="199">
        <f>SUM(B13:B17)</f>
        <v>1121327.1300000001</v>
      </c>
      <c r="C18" s="200">
        <f>SUM(C13:C17)</f>
        <v>701599.1</v>
      </c>
      <c r="D18" s="201">
        <f>SUM(D13:D17)</f>
        <v>804288.4</v>
      </c>
      <c r="E18" s="200">
        <f>SUM(E13:E17)</f>
        <v>1018637.8300000001</v>
      </c>
      <c r="F18" s="804">
        <f>SUM(F13:G17)</f>
        <v>1018637.83</v>
      </c>
      <c r="G18" s="804"/>
      <c r="H18" s="202"/>
      <c r="I18" s="203"/>
    </row>
    <row r="19" spans="1:9" s="204" customFormat="1" ht="11.25" x14ac:dyDescent="0.2">
      <c r="C19" s="205"/>
    </row>
    <row r="20" spans="1:9" s="177" customFormat="1" ht="11.25" x14ac:dyDescent="0.2">
      <c r="A20" s="781" t="s">
        <v>121</v>
      </c>
      <c r="B20" s="781"/>
      <c r="C20" s="781"/>
      <c r="D20" s="781"/>
      <c r="E20" s="781"/>
      <c r="F20" s="781"/>
      <c r="G20" s="781"/>
      <c r="H20" s="781"/>
      <c r="I20" s="781"/>
    </row>
    <row r="21" spans="1:9" s="170" customFormat="1" ht="11.25" x14ac:dyDescent="0.2">
      <c r="A21" s="170" t="s">
        <v>174</v>
      </c>
      <c r="C21" s="176"/>
    </row>
    <row r="22" spans="1:9" s="170" customFormat="1" ht="11.25" x14ac:dyDescent="0.2">
      <c r="A22" s="171" t="s">
        <v>122</v>
      </c>
      <c r="B22" s="171" t="s">
        <v>16</v>
      </c>
      <c r="C22" s="206" t="s">
        <v>123</v>
      </c>
      <c r="D22" s="805" t="s">
        <v>273</v>
      </c>
      <c r="E22" s="805"/>
      <c r="F22" s="805"/>
      <c r="G22" s="805"/>
      <c r="H22" s="805"/>
      <c r="I22" s="805"/>
    </row>
    <row r="23" spans="1:9" s="170" customFormat="1" ht="11.25" customHeight="1" x14ac:dyDescent="0.2">
      <c r="A23" s="207"/>
      <c r="B23" s="208"/>
      <c r="C23" s="209"/>
      <c r="D23" s="797"/>
      <c r="E23" s="798"/>
      <c r="F23" s="798"/>
      <c r="G23" s="798"/>
      <c r="H23" s="798"/>
      <c r="I23" s="799"/>
    </row>
    <row r="24" spans="1:9" s="174" customFormat="1" ht="11.25" x14ac:dyDescent="0.2">
      <c r="A24" s="210" t="s">
        <v>120</v>
      </c>
      <c r="B24" s="211">
        <f>SUM(B23:B23)</f>
        <v>0</v>
      </c>
      <c r="C24" s="806"/>
      <c r="D24" s="806"/>
      <c r="E24" s="806"/>
      <c r="F24" s="806"/>
      <c r="G24" s="806"/>
      <c r="H24" s="806"/>
      <c r="I24" s="807"/>
    </row>
    <row r="25" spans="1:9" s="204" customFormat="1" ht="11.25" x14ac:dyDescent="0.2">
      <c r="C25" s="205"/>
    </row>
    <row r="26" spans="1:9" s="204" customFormat="1" ht="11.25" x14ac:dyDescent="0.2">
      <c r="C26" s="205"/>
    </row>
    <row r="27" spans="1:9" s="177" customFormat="1" ht="11.25" x14ac:dyDescent="0.2">
      <c r="A27" s="781" t="s">
        <v>126</v>
      </c>
      <c r="B27" s="781"/>
      <c r="C27" s="781"/>
      <c r="D27" s="781"/>
      <c r="E27" s="781"/>
      <c r="F27" s="781"/>
      <c r="G27" s="781"/>
      <c r="H27" s="781"/>
      <c r="I27" s="781"/>
    </row>
    <row r="28" spans="1:9" s="170" customFormat="1" ht="11.25" x14ac:dyDescent="0.2">
      <c r="A28" s="170" t="s">
        <v>274</v>
      </c>
      <c r="C28" s="176"/>
    </row>
    <row r="29" spans="1:9" s="170" customFormat="1" ht="11.25" x14ac:dyDescent="0.2">
      <c r="A29" s="171" t="s">
        <v>122</v>
      </c>
      <c r="B29" s="171" t="s">
        <v>16</v>
      </c>
      <c r="C29" s="206" t="s">
        <v>123</v>
      </c>
      <c r="D29" s="805" t="s">
        <v>275</v>
      </c>
      <c r="E29" s="805"/>
      <c r="F29" s="805"/>
      <c r="G29" s="805"/>
      <c r="H29" s="805"/>
      <c r="I29" s="808"/>
    </row>
    <row r="30" spans="1:9" s="170" customFormat="1" ht="11.25" customHeight="1" x14ac:dyDescent="0.2">
      <c r="A30" s="207"/>
      <c r="B30" s="208"/>
      <c r="C30" s="209"/>
      <c r="D30" s="797"/>
      <c r="E30" s="798"/>
      <c r="F30" s="798"/>
      <c r="G30" s="798"/>
      <c r="H30" s="798"/>
      <c r="I30" s="799"/>
    </row>
    <row r="31" spans="1:9" s="174" customFormat="1" ht="10.5" x14ac:dyDescent="0.15">
      <c r="A31" s="210" t="s">
        <v>120</v>
      </c>
      <c r="B31" s="211">
        <f>SUM(B30:B30)</f>
        <v>0</v>
      </c>
      <c r="C31" s="784"/>
      <c r="D31" s="784"/>
      <c r="E31" s="784"/>
      <c r="F31" s="784"/>
      <c r="G31" s="784"/>
      <c r="H31" s="784"/>
      <c r="I31" s="784"/>
    </row>
    <row r="32" spans="1:9" s="170" customFormat="1" ht="11.25" x14ac:dyDescent="0.2">
      <c r="C32" s="176"/>
    </row>
    <row r="33" spans="1:9" s="170" customFormat="1" ht="11.25" x14ac:dyDescent="0.2">
      <c r="C33" s="176"/>
    </row>
    <row r="34" spans="1:9" s="177" customFormat="1" ht="11.25" x14ac:dyDescent="0.2">
      <c r="A34" s="781" t="s">
        <v>129</v>
      </c>
      <c r="B34" s="781"/>
      <c r="C34" s="781"/>
      <c r="D34" s="781"/>
      <c r="E34" s="781"/>
      <c r="F34" s="781"/>
      <c r="G34" s="781"/>
      <c r="H34" s="781"/>
      <c r="I34" s="781"/>
    </row>
    <row r="35" spans="1:9" s="170" customFormat="1" ht="11.25" x14ac:dyDescent="0.2">
      <c r="C35" s="212"/>
    </row>
    <row r="36" spans="1:9" s="170" customFormat="1" ht="11.25" x14ac:dyDescent="0.2">
      <c r="A36" s="171" t="s">
        <v>130</v>
      </c>
      <c r="B36" s="206" t="s">
        <v>131</v>
      </c>
      <c r="C36" s="785" t="s">
        <v>132</v>
      </c>
      <c r="D36" s="785"/>
      <c r="E36" s="785"/>
      <c r="F36" s="785"/>
      <c r="G36" s="785"/>
      <c r="H36" s="785"/>
      <c r="I36" s="786"/>
    </row>
    <row r="37" spans="1:9" s="170" customFormat="1" ht="11.25" x14ac:dyDescent="0.2">
      <c r="A37" s="213">
        <v>5000</v>
      </c>
      <c r="B37" s="213">
        <v>0</v>
      </c>
      <c r="C37" s="854" t="s">
        <v>276</v>
      </c>
      <c r="D37" s="787"/>
      <c r="E37" s="787"/>
      <c r="F37" s="787"/>
      <c r="G37" s="787"/>
      <c r="H37" s="787"/>
      <c r="I37" s="787"/>
    </row>
    <row r="38" spans="1:9" s="174" customFormat="1" ht="10.5" x14ac:dyDescent="0.15">
      <c r="A38" s="214">
        <v>5000</v>
      </c>
      <c r="B38" s="214">
        <f>SUM(B37:B37)</f>
        <v>0</v>
      </c>
      <c r="C38" s="788" t="s">
        <v>120</v>
      </c>
      <c r="D38" s="789"/>
      <c r="E38" s="789"/>
      <c r="F38" s="789"/>
      <c r="G38" s="789"/>
      <c r="H38" s="789"/>
      <c r="I38" s="790"/>
    </row>
    <row r="39" spans="1:9" s="170" customFormat="1" ht="11.25" x14ac:dyDescent="0.2">
      <c r="C39" s="212"/>
    </row>
    <row r="40" spans="1:9" s="170" customFormat="1" ht="11.25" x14ac:dyDescent="0.2">
      <c r="C40" s="212"/>
    </row>
    <row r="41" spans="1:9" s="170" customFormat="1" ht="11.25" x14ac:dyDescent="0.2">
      <c r="A41" s="781" t="s">
        <v>177</v>
      </c>
      <c r="B41" s="766"/>
      <c r="C41" s="766"/>
      <c r="D41" s="766"/>
      <c r="E41" s="766"/>
      <c r="F41" s="766"/>
      <c r="G41" s="766"/>
      <c r="H41" s="766"/>
      <c r="I41" s="766"/>
    </row>
    <row r="42" spans="1:9" s="170" customFormat="1" ht="11.25" x14ac:dyDescent="0.2">
      <c r="C42" s="212"/>
    </row>
    <row r="43" spans="1:9" s="216" customFormat="1" ht="31.5" x14ac:dyDescent="0.25">
      <c r="A43" s="767" t="s">
        <v>135</v>
      </c>
      <c r="B43" s="768"/>
      <c r="C43" s="215" t="s">
        <v>136</v>
      </c>
      <c r="D43" s="215" t="s">
        <v>137</v>
      </c>
      <c r="E43" s="215" t="s">
        <v>138</v>
      </c>
      <c r="F43" s="215" t="s">
        <v>139</v>
      </c>
      <c r="G43" s="215" t="s">
        <v>140</v>
      </c>
    </row>
    <row r="44" spans="1:9" s="170" customFormat="1" ht="12" x14ac:dyDescent="0.2">
      <c r="A44" s="270" t="s">
        <v>277</v>
      </c>
      <c r="B44" s="271"/>
      <c r="C44" s="217" t="s">
        <v>278</v>
      </c>
      <c r="D44" s="218">
        <v>164000</v>
      </c>
      <c r="E44" s="219"/>
      <c r="F44" s="220">
        <v>43109</v>
      </c>
      <c r="G44" s="221"/>
    </row>
    <row r="45" spans="1:9" s="170" customFormat="1" ht="12" x14ac:dyDescent="0.2">
      <c r="A45" s="272" t="s">
        <v>277</v>
      </c>
      <c r="B45" s="273"/>
      <c r="C45" s="222" t="s">
        <v>279</v>
      </c>
      <c r="D45" s="223"/>
      <c r="E45" s="224">
        <v>164000</v>
      </c>
      <c r="F45" s="225"/>
      <c r="G45" s="226">
        <v>43118</v>
      </c>
    </row>
    <row r="46" spans="1:9" s="170" customFormat="1" ht="12" x14ac:dyDescent="0.2">
      <c r="A46" s="274" t="s">
        <v>280</v>
      </c>
      <c r="B46" s="275"/>
      <c r="C46" s="222" t="s">
        <v>278</v>
      </c>
      <c r="D46" s="223">
        <v>220000</v>
      </c>
      <c r="E46" s="224"/>
      <c r="F46" s="225">
        <v>43179</v>
      </c>
      <c r="G46" s="226"/>
    </row>
    <row r="47" spans="1:9" s="170" customFormat="1" ht="12" x14ac:dyDescent="0.2">
      <c r="A47" s="274" t="s">
        <v>281</v>
      </c>
      <c r="B47" s="275"/>
      <c r="C47" s="222" t="s">
        <v>282</v>
      </c>
      <c r="D47" s="223"/>
      <c r="E47" s="224">
        <v>220000</v>
      </c>
      <c r="F47" s="225"/>
      <c r="G47" s="226">
        <v>43193</v>
      </c>
    </row>
    <row r="48" spans="1:9" s="170" customFormat="1" ht="24" x14ac:dyDescent="0.2">
      <c r="A48" s="274" t="s">
        <v>283</v>
      </c>
      <c r="B48" s="275"/>
      <c r="C48" s="222" t="s">
        <v>278</v>
      </c>
      <c r="D48" s="223">
        <v>310000</v>
      </c>
      <c r="E48" s="224"/>
      <c r="F48" s="225">
        <v>43179</v>
      </c>
      <c r="G48" s="226"/>
    </row>
    <row r="49" spans="1:9" s="170" customFormat="1" ht="12" x14ac:dyDescent="0.2">
      <c r="A49" s="274" t="s">
        <v>284</v>
      </c>
      <c r="B49" s="275"/>
      <c r="C49" s="222" t="s">
        <v>282</v>
      </c>
      <c r="D49" s="223"/>
      <c r="E49" s="224">
        <v>310000</v>
      </c>
      <c r="F49" s="225"/>
      <c r="G49" s="226">
        <v>43193</v>
      </c>
    </row>
    <row r="50" spans="1:9" s="170" customFormat="1" ht="12" x14ac:dyDescent="0.2">
      <c r="A50" s="276"/>
      <c r="B50" s="277"/>
      <c r="C50" s="227"/>
      <c r="D50" s="232"/>
      <c r="E50" s="229"/>
      <c r="F50" s="230"/>
      <c r="G50" s="231"/>
    </row>
    <row r="51" spans="1:9" s="170" customFormat="1" ht="11.25" x14ac:dyDescent="0.2">
      <c r="A51" s="773" t="s">
        <v>178</v>
      </c>
      <c r="B51" s="774"/>
      <c r="C51" s="233"/>
      <c r="D51" s="234">
        <f>SUM(D44:D50)</f>
        <v>694000</v>
      </c>
      <c r="E51" s="234">
        <f>SUM(E44:E50)</f>
        <v>694000</v>
      </c>
      <c r="F51" s="795"/>
      <c r="G51" s="796"/>
    </row>
    <row r="52" spans="1:9" s="170" customFormat="1" ht="15" x14ac:dyDescent="0.25">
      <c r="A52" s="782"/>
      <c r="B52" s="783"/>
      <c r="C52" s="212"/>
    </row>
    <row r="53" spans="1:9" s="170" customFormat="1" ht="11.25" x14ac:dyDescent="0.2">
      <c r="A53" s="235"/>
      <c r="C53" s="212"/>
    </row>
    <row r="54" spans="1:9" s="170" customFormat="1" ht="11.25" x14ac:dyDescent="0.2">
      <c r="A54" s="766" t="s">
        <v>180</v>
      </c>
      <c r="B54" s="766"/>
      <c r="C54" s="766"/>
      <c r="D54" s="766"/>
      <c r="E54" s="766"/>
      <c r="F54" s="766"/>
      <c r="G54" s="766"/>
      <c r="H54" s="766"/>
      <c r="I54" s="766"/>
    </row>
    <row r="55" spans="1:9" s="170" customFormat="1" ht="11.25" x14ac:dyDescent="0.2">
      <c r="A55" s="170" t="s">
        <v>285</v>
      </c>
      <c r="C55" s="212"/>
    </row>
    <row r="56" spans="1:9" s="170" customFormat="1" ht="11.25" x14ac:dyDescent="0.2">
      <c r="C56" s="212"/>
    </row>
    <row r="57" spans="1:9" s="170" customFormat="1" ht="11.25" x14ac:dyDescent="0.2">
      <c r="C57" s="212"/>
    </row>
    <row r="58" spans="1:9" s="177" customFormat="1" ht="11.25" x14ac:dyDescent="0.2">
      <c r="A58" s="777" t="s">
        <v>238</v>
      </c>
      <c r="B58" s="777"/>
      <c r="C58" s="777"/>
      <c r="D58" s="777"/>
      <c r="E58" s="777"/>
      <c r="F58" s="777"/>
      <c r="G58" s="777"/>
      <c r="H58" s="777"/>
      <c r="I58" s="777"/>
    </row>
    <row r="59" spans="1:9" s="170" customFormat="1" ht="20.100000000000001" customHeight="1" x14ac:dyDescent="0.2">
      <c r="A59" s="896" t="s">
        <v>286</v>
      </c>
      <c r="B59" s="896"/>
      <c r="C59" s="896"/>
      <c r="D59" s="896"/>
      <c r="E59" s="896"/>
      <c r="F59" s="896"/>
      <c r="G59" s="896"/>
      <c r="H59" s="896"/>
      <c r="I59" s="896"/>
    </row>
    <row r="60" spans="1:9" s="170" customFormat="1" ht="11.25" x14ac:dyDescent="0.2">
      <c r="A60" s="778"/>
      <c r="B60" s="779"/>
      <c r="C60" s="779"/>
      <c r="D60" s="779"/>
      <c r="E60" s="779"/>
      <c r="F60" s="779"/>
      <c r="G60" s="779"/>
      <c r="H60" s="779"/>
      <c r="I60" s="780"/>
    </row>
    <row r="61" spans="1:9" s="170" customFormat="1" ht="11.25" x14ac:dyDescent="0.2"/>
    <row r="62" spans="1:9" s="169" customFormat="1" ht="10.5" x14ac:dyDescent="0.15">
      <c r="A62" s="781" t="s">
        <v>165</v>
      </c>
      <c r="B62" s="781"/>
      <c r="C62" s="781"/>
      <c r="D62" s="781"/>
      <c r="E62" s="781"/>
      <c r="F62" s="781"/>
      <c r="G62" s="781"/>
      <c r="H62" s="781"/>
      <c r="I62" s="781"/>
    </row>
    <row r="63" spans="1:9" s="170" customFormat="1" ht="11.25" x14ac:dyDescent="0.2"/>
    <row r="64" spans="1:9" s="170" customFormat="1" ht="28.5" customHeight="1" x14ac:dyDescent="0.2">
      <c r="A64" s="763" t="s">
        <v>287</v>
      </c>
      <c r="B64" s="764"/>
      <c r="C64" s="764"/>
      <c r="D64" s="764"/>
      <c r="E64" s="764"/>
      <c r="F64" s="764"/>
      <c r="G64" s="764"/>
      <c r="H64" s="764"/>
      <c r="I64" s="765"/>
    </row>
    <row r="65" spans="1:9" s="170" customFormat="1" ht="39" customHeight="1" x14ac:dyDescent="0.2">
      <c r="A65" s="763" t="s">
        <v>288</v>
      </c>
      <c r="B65" s="764"/>
      <c r="C65" s="764"/>
      <c r="D65" s="764"/>
      <c r="E65" s="764"/>
      <c r="F65" s="764"/>
      <c r="G65" s="764"/>
      <c r="H65" s="764"/>
      <c r="I65" s="765"/>
    </row>
    <row r="66" spans="1:9" s="170" customFormat="1" ht="18.75" customHeight="1" x14ac:dyDescent="0.2">
      <c r="A66" s="763"/>
      <c r="B66" s="764"/>
      <c r="C66" s="764"/>
      <c r="D66" s="764"/>
      <c r="E66" s="764"/>
      <c r="F66" s="764"/>
      <c r="G66" s="764"/>
      <c r="H66" s="764"/>
      <c r="I66" s="765"/>
    </row>
    <row r="67" spans="1:9" x14ac:dyDescent="0.2">
      <c r="A67" s="4" t="s">
        <v>289</v>
      </c>
    </row>
    <row r="68" spans="1:9" ht="14.25" customHeight="1" x14ac:dyDescent="0.2">
      <c r="A68" s="246" t="s">
        <v>290</v>
      </c>
    </row>
    <row r="69" spans="1:9" ht="13.5" customHeight="1" x14ac:dyDescent="0.2">
      <c r="A69" s="246"/>
    </row>
  </sheetData>
  <mergeCells count="49">
    <mergeCell ref="F12:G12"/>
    <mergeCell ref="H12:I12"/>
    <mergeCell ref="A1:I1"/>
    <mergeCell ref="A3:I3"/>
    <mergeCell ref="A5:B5"/>
    <mergeCell ref="D5:I5"/>
    <mergeCell ref="A6:B6"/>
    <mergeCell ref="D6:I6"/>
    <mergeCell ref="A7:B7"/>
    <mergeCell ref="D7:I7"/>
    <mergeCell ref="A8:B8"/>
    <mergeCell ref="D8:I8"/>
    <mergeCell ref="A10:I10"/>
    <mergeCell ref="A20:I20"/>
    <mergeCell ref="F13:G13"/>
    <mergeCell ref="H13:I13"/>
    <mergeCell ref="F14:G14"/>
    <mergeCell ref="H14:I14"/>
    <mergeCell ref="F15:G15"/>
    <mergeCell ref="H15:I15"/>
    <mergeCell ref="F16:G16"/>
    <mergeCell ref="H16:I16"/>
    <mergeCell ref="F17:G17"/>
    <mergeCell ref="H17:I17"/>
    <mergeCell ref="F18:G18"/>
    <mergeCell ref="A41:I41"/>
    <mergeCell ref="D22:I22"/>
    <mergeCell ref="D23:I23"/>
    <mergeCell ref="C24:I24"/>
    <mergeCell ref="A27:I27"/>
    <mergeCell ref="D29:I29"/>
    <mergeCell ref="D30:I30"/>
    <mergeCell ref="C31:I31"/>
    <mergeCell ref="A34:I34"/>
    <mergeCell ref="C36:I36"/>
    <mergeCell ref="C37:I37"/>
    <mergeCell ref="C38:I38"/>
    <mergeCell ref="A66:I66"/>
    <mergeCell ref="A43:B43"/>
    <mergeCell ref="A51:B51"/>
    <mergeCell ref="F51:G51"/>
    <mergeCell ref="A52:B52"/>
    <mergeCell ref="A54:I54"/>
    <mergeCell ref="A58:I58"/>
    <mergeCell ref="A59:I59"/>
    <mergeCell ref="A60:I60"/>
    <mergeCell ref="A62:I62"/>
    <mergeCell ref="A64:I64"/>
    <mergeCell ref="A65:I65"/>
  </mergeCells>
  <pageMargins left="0.70866141732283472" right="0.70866141732283472" top="0.78740157480314965" bottom="0.78740157480314965" header="0.31496062992125984" footer="0.31496062992125984"/>
  <pageSetup paperSize="9" scale="58" firstPageNumber="104" orientation="portrait" useFirstPageNumber="1" r:id="rId1"/>
  <headerFoot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6"/>
  <sheetViews>
    <sheetView workbookViewId="0">
      <selection activeCell="C51" sqref="C51"/>
    </sheetView>
  </sheetViews>
  <sheetFormatPr defaultColWidth="3.7109375" defaultRowHeight="15" x14ac:dyDescent="0.25"/>
  <cols>
    <col min="1" max="1" width="3.140625" style="2" customWidth="1"/>
    <col min="2" max="2" width="3.7109375" style="3" customWidth="1"/>
    <col min="3" max="3" width="21" style="3" customWidth="1"/>
    <col min="4" max="4" width="4.85546875" style="3" customWidth="1"/>
    <col min="5" max="7" width="6.28515625" style="3" customWidth="1"/>
    <col min="8" max="8" width="5" style="3" customWidth="1"/>
    <col min="9" max="12" width="6.28515625" style="3" customWidth="1"/>
    <col min="13" max="13" width="5" style="3" customWidth="1"/>
    <col min="14" max="17" width="6.28515625" style="3" customWidth="1"/>
    <col min="18" max="18" width="5" style="3" customWidth="1"/>
    <col min="19" max="22" width="6.28515625" style="3" customWidth="1"/>
    <col min="23" max="23" width="5" style="3" customWidth="1"/>
    <col min="24" max="24" width="6.28515625" style="3" customWidth="1"/>
    <col min="25" max="16384" width="3.7109375" style="3"/>
  </cols>
  <sheetData>
    <row r="1" spans="1:24" s="6" customFormat="1" ht="15.75" x14ac:dyDescent="0.25">
      <c r="A1" s="759" t="s">
        <v>96</v>
      </c>
      <c r="B1" s="759"/>
      <c r="C1" s="759"/>
      <c r="D1" s="759"/>
      <c r="E1" s="759"/>
      <c r="F1" s="759"/>
      <c r="G1" s="759"/>
      <c r="H1" s="759"/>
      <c r="I1" s="759"/>
      <c r="J1" s="759"/>
      <c r="K1" s="759"/>
      <c r="L1" s="759"/>
      <c r="M1" s="759"/>
      <c r="N1" s="759"/>
      <c r="O1" s="759"/>
      <c r="P1" s="759"/>
      <c r="Q1" s="759"/>
      <c r="R1" s="759"/>
      <c r="S1" s="759"/>
      <c r="T1" s="759"/>
      <c r="U1" s="759"/>
      <c r="V1" s="759"/>
      <c r="W1" s="759"/>
      <c r="X1" s="759"/>
    </row>
    <row r="3" spans="1:24" s="7" customFormat="1" ht="9.75" customHeight="1" x14ac:dyDescent="0.2">
      <c r="A3" s="752" t="s">
        <v>1</v>
      </c>
      <c r="B3" s="761" t="s">
        <v>2</v>
      </c>
      <c r="C3" s="760"/>
      <c r="D3" s="761" t="s">
        <v>3</v>
      </c>
      <c r="E3" s="762" t="s">
        <v>4</v>
      </c>
      <c r="F3" s="762"/>
      <c r="G3" s="762"/>
      <c r="H3" s="762"/>
      <c r="I3" s="762"/>
      <c r="J3" s="762" t="s">
        <v>5</v>
      </c>
      <c r="K3" s="762"/>
      <c r="L3" s="762"/>
      <c r="M3" s="762"/>
      <c r="N3" s="762"/>
      <c r="O3" s="762" t="s">
        <v>6</v>
      </c>
      <c r="P3" s="762"/>
      <c r="Q3" s="762"/>
      <c r="R3" s="762"/>
      <c r="S3" s="762"/>
      <c r="T3" s="762" t="s">
        <v>7</v>
      </c>
      <c r="U3" s="762"/>
      <c r="V3" s="762"/>
      <c r="W3" s="762"/>
      <c r="X3" s="762"/>
    </row>
    <row r="4" spans="1:24" s="8" customFormat="1" ht="9.75" customHeight="1" x14ac:dyDescent="0.2">
      <c r="A4" s="760"/>
      <c r="B4" s="760"/>
      <c r="C4" s="760"/>
      <c r="D4" s="761"/>
      <c r="E4" s="754" t="s">
        <v>8</v>
      </c>
      <c r="F4" s="755" t="s">
        <v>9</v>
      </c>
      <c r="G4" s="755"/>
      <c r="H4" s="755"/>
      <c r="I4" s="752" t="s">
        <v>10</v>
      </c>
      <c r="J4" s="754" t="s">
        <v>8</v>
      </c>
      <c r="K4" s="755" t="s">
        <v>9</v>
      </c>
      <c r="L4" s="755"/>
      <c r="M4" s="755"/>
      <c r="N4" s="752" t="s">
        <v>10</v>
      </c>
      <c r="O4" s="754" t="s">
        <v>8</v>
      </c>
      <c r="P4" s="755" t="s">
        <v>9</v>
      </c>
      <c r="Q4" s="755"/>
      <c r="R4" s="755"/>
      <c r="S4" s="752" t="s">
        <v>10</v>
      </c>
      <c r="T4" s="754" t="s">
        <v>8</v>
      </c>
      <c r="U4" s="755" t="s">
        <v>9</v>
      </c>
      <c r="V4" s="755"/>
      <c r="W4" s="755"/>
      <c r="X4" s="752" t="s">
        <v>10</v>
      </c>
    </row>
    <row r="5" spans="1:24" s="10" customFormat="1" ht="9.75" customHeight="1" x14ac:dyDescent="0.2">
      <c r="A5" s="760"/>
      <c r="B5" s="760"/>
      <c r="C5" s="760"/>
      <c r="D5" s="761"/>
      <c r="E5" s="754"/>
      <c r="F5" s="9" t="s">
        <v>11</v>
      </c>
      <c r="G5" s="9" t="s">
        <v>12</v>
      </c>
      <c r="H5" s="9" t="s">
        <v>13</v>
      </c>
      <c r="I5" s="752"/>
      <c r="J5" s="754"/>
      <c r="K5" s="9" t="s">
        <v>11</v>
      </c>
      <c r="L5" s="9" t="s">
        <v>12</v>
      </c>
      <c r="M5" s="9" t="s">
        <v>13</v>
      </c>
      <c r="N5" s="752"/>
      <c r="O5" s="754"/>
      <c r="P5" s="9" t="s">
        <v>11</v>
      </c>
      <c r="Q5" s="9" t="s">
        <v>12</v>
      </c>
      <c r="R5" s="9" t="s">
        <v>13</v>
      </c>
      <c r="S5" s="752"/>
      <c r="T5" s="754"/>
      <c r="U5" s="9" t="s">
        <v>11</v>
      </c>
      <c r="V5" s="9" t="s">
        <v>12</v>
      </c>
      <c r="W5" s="9" t="s">
        <v>13</v>
      </c>
      <c r="X5" s="752"/>
    </row>
    <row r="6" spans="1:24" s="7" customFormat="1" ht="9.75" customHeight="1" x14ac:dyDescent="0.2">
      <c r="A6" s="11" t="s">
        <v>14</v>
      </c>
      <c r="B6" s="753" t="s">
        <v>15</v>
      </c>
      <c r="C6" s="753"/>
      <c r="D6" s="12" t="s">
        <v>16</v>
      </c>
      <c r="E6" s="13">
        <f>SUM(E7:E9)</f>
        <v>34216385</v>
      </c>
      <c r="F6" s="13">
        <f>SUM(F7:F9)</f>
        <v>34764807.409999996</v>
      </c>
      <c r="G6" s="13">
        <f>SUM(G7:G9)</f>
        <v>17221987.210000001</v>
      </c>
      <c r="H6" s="14">
        <f t="shared" ref="H6:H36" si="0">G6/F6*100</f>
        <v>49.538566421185308</v>
      </c>
      <c r="I6" s="13">
        <f>SUM(I7:I9)</f>
        <v>15227044</v>
      </c>
      <c r="J6" s="13">
        <f>SUM(J7:J9)</f>
        <v>6876345</v>
      </c>
      <c r="K6" s="13">
        <f t="shared" ref="K6:X6" si="1">SUM(K7:K9)</f>
        <v>6913885</v>
      </c>
      <c r="L6" s="13">
        <f t="shared" si="1"/>
        <v>3797677.7800000003</v>
      </c>
      <c r="M6" s="14">
        <f t="shared" ref="M6:M29" si="2">L6/K6*100</f>
        <v>54.928275202726105</v>
      </c>
      <c r="N6" s="13">
        <f t="shared" si="1"/>
        <v>3769500</v>
      </c>
      <c r="O6" s="13">
        <f t="shared" si="1"/>
        <v>27340040</v>
      </c>
      <c r="P6" s="13">
        <f t="shared" si="1"/>
        <v>27850922.41</v>
      </c>
      <c r="Q6" s="13">
        <f t="shared" si="1"/>
        <v>13424309.43</v>
      </c>
      <c r="R6" s="14">
        <f t="shared" ref="R6:R36" si="3">Q6/P6*100</f>
        <v>48.200591823773635</v>
      </c>
      <c r="S6" s="13">
        <f t="shared" si="1"/>
        <v>11457544</v>
      </c>
      <c r="T6" s="13">
        <f t="shared" si="1"/>
        <v>565000</v>
      </c>
      <c r="U6" s="13">
        <f t="shared" si="1"/>
        <v>605307.5</v>
      </c>
      <c r="V6" s="13">
        <f t="shared" si="1"/>
        <v>307846.56</v>
      </c>
      <c r="W6" s="14">
        <f t="shared" ref="W6:W36" si="4">V6/U6*100</f>
        <v>50.857879672728323</v>
      </c>
      <c r="X6" s="13">
        <f t="shared" si="1"/>
        <v>335702</v>
      </c>
    </row>
    <row r="7" spans="1:24" s="7" customFormat="1" ht="9.75" x14ac:dyDescent="0.2">
      <c r="A7" s="15" t="s">
        <v>17</v>
      </c>
      <c r="B7" s="750" t="s">
        <v>18</v>
      </c>
      <c r="C7" s="750"/>
      <c r="D7" s="16" t="s">
        <v>16</v>
      </c>
      <c r="E7" s="17">
        <f t="shared" ref="E7:G10" si="5">SUM(J7,O7)</f>
        <v>2100600</v>
      </c>
      <c r="F7" s="17">
        <f t="shared" si="5"/>
        <v>2138140</v>
      </c>
      <c r="G7" s="17">
        <f t="shared" si="5"/>
        <v>1409912.96</v>
      </c>
      <c r="H7" s="18">
        <f t="shared" si="0"/>
        <v>65.941096467022746</v>
      </c>
      <c r="I7" s="17">
        <f>SUM(N7,S7)</f>
        <v>1330991</v>
      </c>
      <c r="J7" s="42">
        <v>2100600</v>
      </c>
      <c r="K7" s="19">
        <f>J7+37540</f>
        <v>2138140</v>
      </c>
      <c r="L7" s="19">
        <f>1371213+22641+16058.96-Q7</f>
        <v>1409912.96</v>
      </c>
      <c r="M7" s="18">
        <f t="shared" si="2"/>
        <v>65.941096467022746</v>
      </c>
      <c r="N7" s="19">
        <v>1330991</v>
      </c>
      <c r="O7" s="19">
        <v>0</v>
      </c>
      <c r="P7" s="19">
        <v>0</v>
      </c>
      <c r="Q7" s="19">
        <v>0</v>
      </c>
      <c r="R7" s="18">
        <v>0</v>
      </c>
      <c r="S7" s="19">
        <v>0</v>
      </c>
      <c r="T7" s="19">
        <v>565000</v>
      </c>
      <c r="U7" s="19">
        <f>T7</f>
        <v>565000</v>
      </c>
      <c r="V7" s="19">
        <v>281795</v>
      </c>
      <c r="W7" s="18">
        <f t="shared" si="4"/>
        <v>49.875221238938053</v>
      </c>
      <c r="X7" s="19">
        <v>290638</v>
      </c>
    </row>
    <row r="8" spans="1:24" s="7" customFormat="1" ht="9.75" x14ac:dyDescent="0.2">
      <c r="A8" s="20" t="s">
        <v>19</v>
      </c>
      <c r="B8" s="758" t="s">
        <v>20</v>
      </c>
      <c r="C8" s="758"/>
      <c r="D8" s="16" t="s">
        <v>16</v>
      </c>
      <c r="E8" s="17">
        <f t="shared" si="5"/>
        <v>1500</v>
      </c>
      <c r="F8" s="17">
        <f t="shared" si="5"/>
        <v>1500</v>
      </c>
      <c r="G8" s="17">
        <f t="shared" si="5"/>
        <v>642.82000000000005</v>
      </c>
      <c r="H8" s="18">
        <f t="shared" si="0"/>
        <v>42.854666666666667</v>
      </c>
      <c r="I8" s="17">
        <f>SUM(N8,S8)</f>
        <v>439</v>
      </c>
      <c r="J8" s="43">
        <v>1500</v>
      </c>
      <c r="K8" s="17">
        <f>J8</f>
        <v>1500</v>
      </c>
      <c r="L8" s="17">
        <f>642.82-Q8</f>
        <v>642.82000000000005</v>
      </c>
      <c r="M8" s="18">
        <f t="shared" si="2"/>
        <v>42.854666666666667</v>
      </c>
      <c r="N8" s="17">
        <v>439</v>
      </c>
      <c r="O8" s="17">
        <v>0</v>
      </c>
      <c r="P8" s="17">
        <v>0</v>
      </c>
      <c r="Q8" s="17">
        <v>0</v>
      </c>
      <c r="R8" s="18">
        <v>0</v>
      </c>
      <c r="S8" s="17">
        <v>0</v>
      </c>
      <c r="T8" s="17">
        <v>0</v>
      </c>
      <c r="U8" s="17">
        <v>0</v>
      </c>
      <c r="V8" s="17">
        <v>0</v>
      </c>
      <c r="W8" s="18">
        <v>0</v>
      </c>
      <c r="X8" s="17">
        <v>0</v>
      </c>
    </row>
    <row r="9" spans="1:24" s="7" customFormat="1" ht="9.75" x14ac:dyDescent="0.2">
      <c r="A9" s="20" t="s">
        <v>21</v>
      </c>
      <c r="B9" s="21" t="s">
        <v>22</v>
      </c>
      <c r="C9" s="22"/>
      <c r="D9" s="16" t="s">
        <v>16</v>
      </c>
      <c r="E9" s="17">
        <f t="shared" si="5"/>
        <v>32114285</v>
      </c>
      <c r="F9" s="17">
        <f t="shared" si="5"/>
        <v>32625167.41</v>
      </c>
      <c r="G9" s="17">
        <f t="shared" si="5"/>
        <v>15811431.43</v>
      </c>
      <c r="H9" s="18">
        <f t="shared" si="0"/>
        <v>48.463908955003888</v>
      </c>
      <c r="I9" s="17">
        <f>SUM(N9,S9)</f>
        <v>13895614</v>
      </c>
      <c r="J9" s="43">
        <v>4774245</v>
      </c>
      <c r="K9" s="17">
        <f>J9</f>
        <v>4774245</v>
      </c>
      <c r="L9" s="17">
        <f>15797175.49-Q9+14255.94</f>
        <v>2387122.0000000005</v>
      </c>
      <c r="M9" s="18">
        <f t="shared" si="2"/>
        <v>49.999989527139903</v>
      </c>
      <c r="N9" s="17">
        <v>2438070</v>
      </c>
      <c r="O9" s="17">
        <v>27340040</v>
      </c>
      <c r="P9" s="17">
        <v>27850922.41</v>
      </c>
      <c r="Q9" s="26">
        <f>9625+12938327.02+421793.97+40307.5+14255.94</f>
        <v>13424309.43</v>
      </c>
      <c r="R9" s="18">
        <f t="shared" si="3"/>
        <v>48.200591823773635</v>
      </c>
      <c r="S9" s="17">
        <v>11457544</v>
      </c>
      <c r="T9" s="17">
        <v>0</v>
      </c>
      <c r="U9" s="17">
        <v>40307.5</v>
      </c>
      <c r="V9" s="26">
        <f>40307.5-14255.94</f>
        <v>26051.559999999998</v>
      </c>
      <c r="W9" s="18">
        <f t="shared" si="4"/>
        <v>64.632041183402592</v>
      </c>
      <c r="X9" s="17">
        <v>45064</v>
      </c>
    </row>
    <row r="10" spans="1:24" s="7" customFormat="1" ht="9.75" x14ac:dyDescent="0.2">
      <c r="A10" s="11" t="s">
        <v>23</v>
      </c>
      <c r="B10" s="753" t="s">
        <v>24</v>
      </c>
      <c r="C10" s="753"/>
      <c r="D10" s="12" t="s">
        <v>16</v>
      </c>
      <c r="E10" s="23">
        <f t="shared" si="5"/>
        <v>0</v>
      </c>
      <c r="F10" s="23">
        <f t="shared" si="5"/>
        <v>0</v>
      </c>
      <c r="G10" s="23">
        <f t="shared" si="5"/>
        <v>0</v>
      </c>
      <c r="H10" s="14">
        <v>0</v>
      </c>
      <c r="I10" s="23">
        <f>SUM(N10,S10)</f>
        <v>0</v>
      </c>
      <c r="J10" s="24">
        <v>0</v>
      </c>
      <c r="K10" s="23">
        <v>0</v>
      </c>
      <c r="L10" s="23">
        <v>0</v>
      </c>
      <c r="M10" s="14">
        <v>0</v>
      </c>
      <c r="N10" s="23">
        <v>0</v>
      </c>
      <c r="O10" s="23">
        <v>0</v>
      </c>
      <c r="P10" s="23">
        <v>0</v>
      </c>
      <c r="Q10" s="23">
        <v>0</v>
      </c>
      <c r="R10" s="14">
        <v>0</v>
      </c>
      <c r="S10" s="23">
        <v>0</v>
      </c>
      <c r="T10" s="23">
        <v>0</v>
      </c>
      <c r="U10" s="23">
        <v>0</v>
      </c>
      <c r="V10" s="23">
        <v>0</v>
      </c>
      <c r="W10" s="14">
        <v>0</v>
      </c>
      <c r="X10" s="23">
        <v>0</v>
      </c>
    </row>
    <row r="11" spans="1:24" s="7" customFormat="1" ht="9.75" x14ac:dyDescent="0.2">
      <c r="A11" s="11" t="s">
        <v>25</v>
      </c>
      <c r="B11" s="753" t="s">
        <v>26</v>
      </c>
      <c r="C11" s="753"/>
      <c r="D11" s="12" t="s">
        <v>16</v>
      </c>
      <c r="E11" s="13">
        <f>SUM(E12:E31)</f>
        <v>34216385</v>
      </c>
      <c r="F11" s="13">
        <f>SUM(F12:F31)</f>
        <v>34764807</v>
      </c>
      <c r="G11" s="13">
        <f>SUM(G12:G31)</f>
        <v>16615496.52</v>
      </c>
      <c r="H11" s="14">
        <f t="shared" si="0"/>
        <v>47.794013411321394</v>
      </c>
      <c r="I11" s="13">
        <f>SUM(I12:I31)</f>
        <v>14906935</v>
      </c>
      <c r="J11" s="13">
        <f>SUM(J12:J31)</f>
        <v>6876345</v>
      </c>
      <c r="K11" s="13">
        <f>SUM(K12:K31)</f>
        <v>6913885</v>
      </c>
      <c r="L11" s="13">
        <f>SUM(L12:L31)</f>
        <v>3191186.8499999996</v>
      </c>
      <c r="M11" s="14">
        <f t="shared" si="2"/>
        <v>46.156203784124259</v>
      </c>
      <c r="N11" s="13">
        <f>SUM(N12:N31)</f>
        <v>3449391</v>
      </c>
      <c r="O11" s="13">
        <f>SUM(O12:O31)</f>
        <v>27340040</v>
      </c>
      <c r="P11" s="13">
        <f>SUM(P12:P31)</f>
        <v>27850922</v>
      </c>
      <c r="Q11" s="13">
        <f>SUM(Q12:Q31)</f>
        <v>13424309.670000002</v>
      </c>
      <c r="R11" s="14">
        <f t="shared" si="3"/>
        <v>48.200593395076837</v>
      </c>
      <c r="S11" s="13">
        <f>SUM(S12:S31)</f>
        <v>11457544</v>
      </c>
      <c r="T11" s="13">
        <f>SUM(T12:T31)</f>
        <v>456747</v>
      </c>
      <c r="U11" s="13">
        <f>SUM(U12:U31)</f>
        <v>497054.5</v>
      </c>
      <c r="V11" s="13">
        <f>SUM(V12:V31)</f>
        <v>214451.41999999998</v>
      </c>
      <c r="W11" s="14">
        <f t="shared" si="4"/>
        <v>43.144447942831214</v>
      </c>
      <c r="X11" s="13">
        <f>SUM(X12:X31)</f>
        <v>249149</v>
      </c>
    </row>
    <row r="12" spans="1:24" s="7" customFormat="1" ht="9.75" x14ac:dyDescent="0.2">
      <c r="A12" s="15" t="s">
        <v>27</v>
      </c>
      <c r="B12" s="750" t="s">
        <v>28</v>
      </c>
      <c r="C12" s="750"/>
      <c r="D12" s="16" t="s">
        <v>16</v>
      </c>
      <c r="E12" s="17">
        <f t="shared" ref="E12:I29" si="6">SUM(J12,O12)</f>
        <v>2429297</v>
      </c>
      <c r="F12" s="17">
        <f t="shared" si="6"/>
        <v>2486757</v>
      </c>
      <c r="G12" s="17">
        <f t="shared" si="6"/>
        <v>1527619.68</v>
      </c>
      <c r="H12" s="18">
        <f t="shared" si="0"/>
        <v>61.430195230173268</v>
      </c>
      <c r="I12" s="17">
        <f t="shared" si="6"/>
        <v>1361156</v>
      </c>
      <c r="J12" s="44">
        <v>2289297</v>
      </c>
      <c r="K12" s="25">
        <f>J12+25000</f>
        <v>2314297</v>
      </c>
      <c r="L12" s="25">
        <f>1527619.68-Q12</f>
        <v>1387001.68</v>
      </c>
      <c r="M12" s="18">
        <f t="shared" si="2"/>
        <v>59.93187909762662</v>
      </c>
      <c r="N12" s="26">
        <v>1342691</v>
      </c>
      <c r="O12" s="25">
        <v>140000</v>
      </c>
      <c r="P12" s="25">
        <f>140000+12460+20000</f>
        <v>172460</v>
      </c>
      <c r="Q12" s="25">
        <f>12460+128158</f>
        <v>140618</v>
      </c>
      <c r="R12" s="18">
        <f t="shared" si="3"/>
        <v>81.536588194363915</v>
      </c>
      <c r="S12" s="25">
        <v>18465</v>
      </c>
      <c r="T12" s="25">
        <v>25000</v>
      </c>
      <c r="U12" s="25">
        <f>4500+T12</f>
        <v>29500</v>
      </c>
      <c r="V12" s="25">
        <v>16666.259999999998</v>
      </c>
      <c r="W12" s="18">
        <f t="shared" si="4"/>
        <v>56.495796610169492</v>
      </c>
      <c r="X12" s="26">
        <v>13373</v>
      </c>
    </row>
    <row r="13" spans="1:24" s="7" customFormat="1" ht="9.75" x14ac:dyDescent="0.2">
      <c r="A13" s="15" t="s">
        <v>29</v>
      </c>
      <c r="B13" s="750" t="s">
        <v>30</v>
      </c>
      <c r="C13" s="750"/>
      <c r="D13" s="16" t="s">
        <v>16</v>
      </c>
      <c r="E13" s="17">
        <f t="shared" si="6"/>
        <v>1900000</v>
      </c>
      <c r="F13" s="17">
        <f t="shared" si="6"/>
        <v>1900000</v>
      </c>
      <c r="G13" s="17">
        <f t="shared" si="6"/>
        <v>667129.37</v>
      </c>
      <c r="H13" s="18">
        <f t="shared" si="0"/>
        <v>35.112072105263159</v>
      </c>
      <c r="I13" s="17">
        <f t="shared" si="6"/>
        <v>1002055</v>
      </c>
      <c r="J13" s="44">
        <v>1900000</v>
      </c>
      <c r="K13" s="17">
        <f>J13</f>
        <v>1900000</v>
      </c>
      <c r="L13" s="17">
        <f>667129.37-Q13</f>
        <v>667129.37</v>
      </c>
      <c r="M13" s="18">
        <f t="shared" si="2"/>
        <v>35.112072105263159</v>
      </c>
      <c r="N13" s="17">
        <v>1002055</v>
      </c>
      <c r="O13" s="17">
        <v>0</v>
      </c>
      <c r="P13" s="17">
        <v>0</v>
      </c>
      <c r="Q13" s="17">
        <v>0</v>
      </c>
      <c r="R13" s="18">
        <v>0</v>
      </c>
      <c r="S13" s="17">
        <v>0</v>
      </c>
      <c r="T13" s="17">
        <v>306000</v>
      </c>
      <c r="U13" s="17">
        <f>-14098.32+T13</f>
        <v>291901.68</v>
      </c>
      <c r="V13" s="17">
        <v>87403.67</v>
      </c>
      <c r="W13" s="18">
        <f t="shared" si="4"/>
        <v>29.942845823977443</v>
      </c>
      <c r="X13" s="17">
        <v>141387</v>
      </c>
    </row>
    <row r="14" spans="1:24" s="7" customFormat="1" ht="9.75" x14ac:dyDescent="0.2">
      <c r="A14" s="15" t="s">
        <v>31</v>
      </c>
      <c r="B14" s="21" t="s">
        <v>32</v>
      </c>
      <c r="C14" s="21"/>
      <c r="D14" s="16" t="s">
        <v>16</v>
      </c>
      <c r="E14" s="17">
        <f t="shared" si="6"/>
        <v>0</v>
      </c>
      <c r="F14" s="17">
        <f t="shared" si="6"/>
        <v>0</v>
      </c>
      <c r="G14" s="17">
        <f t="shared" si="6"/>
        <v>0</v>
      </c>
      <c r="H14" s="18">
        <v>0</v>
      </c>
      <c r="I14" s="17">
        <f t="shared" si="6"/>
        <v>0</v>
      </c>
      <c r="J14" s="44">
        <v>0</v>
      </c>
      <c r="K14" s="17">
        <v>0</v>
      </c>
      <c r="L14" s="17">
        <v>0</v>
      </c>
      <c r="M14" s="18">
        <v>0</v>
      </c>
      <c r="N14" s="17">
        <v>0</v>
      </c>
      <c r="O14" s="17">
        <v>0</v>
      </c>
      <c r="P14" s="17">
        <v>0</v>
      </c>
      <c r="Q14" s="17">
        <v>0</v>
      </c>
      <c r="R14" s="18">
        <v>0</v>
      </c>
      <c r="S14" s="17">
        <v>0</v>
      </c>
      <c r="T14" s="17">
        <v>0</v>
      </c>
      <c r="U14" s="17">
        <f>T14</f>
        <v>0</v>
      </c>
      <c r="V14" s="17">
        <v>0</v>
      </c>
      <c r="W14" s="18">
        <v>0</v>
      </c>
      <c r="X14" s="17">
        <v>0</v>
      </c>
    </row>
    <row r="15" spans="1:24" s="7" customFormat="1" ht="9.75" x14ac:dyDescent="0.2">
      <c r="A15" s="15" t="s">
        <v>33</v>
      </c>
      <c r="B15" s="750" t="s">
        <v>34</v>
      </c>
      <c r="C15" s="750"/>
      <c r="D15" s="16" t="s">
        <v>16</v>
      </c>
      <c r="E15" s="17">
        <f t="shared" si="6"/>
        <v>497000</v>
      </c>
      <c r="F15" s="17">
        <f t="shared" si="6"/>
        <v>497000</v>
      </c>
      <c r="G15" s="17">
        <f t="shared" si="6"/>
        <v>128466.3</v>
      </c>
      <c r="H15" s="18">
        <f t="shared" si="0"/>
        <v>25.848350100603625</v>
      </c>
      <c r="I15" s="17">
        <f t="shared" si="6"/>
        <v>79692</v>
      </c>
      <c r="J15" s="44">
        <v>497000</v>
      </c>
      <c r="K15" s="17">
        <f t="shared" ref="K15:K25" si="7">J15</f>
        <v>497000</v>
      </c>
      <c r="L15" s="17">
        <f>128466.3-Q15</f>
        <v>128466.3</v>
      </c>
      <c r="M15" s="18">
        <f t="shared" si="2"/>
        <v>25.848350100603625</v>
      </c>
      <c r="N15" s="17">
        <v>79692</v>
      </c>
      <c r="O15" s="17">
        <v>0</v>
      </c>
      <c r="P15" s="17">
        <v>0</v>
      </c>
      <c r="Q15" s="17">
        <v>0</v>
      </c>
      <c r="R15" s="18">
        <v>0</v>
      </c>
      <c r="S15" s="17">
        <v>0</v>
      </c>
      <c r="T15" s="17">
        <v>5000</v>
      </c>
      <c r="U15" s="17">
        <f t="shared" ref="U15:U18" si="8">T15</f>
        <v>5000</v>
      </c>
      <c r="V15" s="17">
        <v>0</v>
      </c>
      <c r="W15" s="18">
        <f t="shared" si="4"/>
        <v>0</v>
      </c>
      <c r="X15" s="17">
        <v>0</v>
      </c>
    </row>
    <row r="16" spans="1:24" s="7" customFormat="1" ht="9.75" x14ac:dyDescent="0.2">
      <c r="A16" s="15" t="s">
        <v>35</v>
      </c>
      <c r="B16" s="750" t="s">
        <v>36</v>
      </c>
      <c r="C16" s="750"/>
      <c r="D16" s="16" t="s">
        <v>16</v>
      </c>
      <c r="E16" s="17">
        <f t="shared" si="6"/>
        <v>42000</v>
      </c>
      <c r="F16" s="17">
        <f t="shared" si="6"/>
        <v>62000</v>
      </c>
      <c r="G16" s="17">
        <f t="shared" si="6"/>
        <v>35821</v>
      </c>
      <c r="H16" s="18">
        <f t="shared" si="0"/>
        <v>57.775806451612901</v>
      </c>
      <c r="I16" s="17">
        <f t="shared" si="6"/>
        <v>28728</v>
      </c>
      <c r="J16" s="44">
        <v>7000</v>
      </c>
      <c r="K16" s="17">
        <f t="shared" si="7"/>
        <v>7000</v>
      </c>
      <c r="L16" s="17">
        <f>35821-Q16</f>
        <v>3104</v>
      </c>
      <c r="M16" s="18">
        <f t="shared" si="2"/>
        <v>44.342857142857142</v>
      </c>
      <c r="N16" s="17">
        <v>1791</v>
      </c>
      <c r="O16" s="17">
        <f>30000+5000</f>
        <v>35000</v>
      </c>
      <c r="P16" s="17">
        <f>35000+20000</f>
        <v>55000</v>
      </c>
      <c r="Q16" s="17">
        <v>32717</v>
      </c>
      <c r="R16" s="18">
        <f t="shared" si="3"/>
        <v>59.485454545454544</v>
      </c>
      <c r="S16" s="17">
        <v>26937</v>
      </c>
      <c r="T16" s="17">
        <v>0</v>
      </c>
      <c r="U16" s="17">
        <f t="shared" si="8"/>
        <v>0</v>
      </c>
      <c r="V16" s="17">
        <v>0</v>
      </c>
      <c r="W16" s="18">
        <v>0</v>
      </c>
      <c r="X16" s="17">
        <v>0</v>
      </c>
    </row>
    <row r="17" spans="1:24" s="7" customFormat="1" ht="9.75" x14ac:dyDescent="0.2">
      <c r="A17" s="15" t="s">
        <v>37</v>
      </c>
      <c r="B17" s="21" t="s">
        <v>38</v>
      </c>
      <c r="C17" s="21"/>
      <c r="D17" s="16" t="s">
        <v>16</v>
      </c>
      <c r="E17" s="17">
        <f t="shared" si="6"/>
        <v>4000</v>
      </c>
      <c r="F17" s="17">
        <f t="shared" si="6"/>
        <v>4000</v>
      </c>
      <c r="G17" s="17">
        <f t="shared" si="6"/>
        <v>2252</v>
      </c>
      <c r="H17" s="18">
        <f t="shared" si="0"/>
        <v>56.3</v>
      </c>
      <c r="I17" s="17">
        <f t="shared" si="6"/>
        <v>2094</v>
      </c>
      <c r="J17" s="44">
        <v>4000</v>
      </c>
      <c r="K17" s="17">
        <f t="shared" si="7"/>
        <v>4000</v>
      </c>
      <c r="L17" s="17">
        <f>2252-Q17</f>
        <v>2252</v>
      </c>
      <c r="M17" s="18">
        <f t="shared" si="2"/>
        <v>56.3</v>
      </c>
      <c r="N17" s="17">
        <v>2094</v>
      </c>
      <c r="O17" s="17">
        <v>0</v>
      </c>
      <c r="P17" s="17">
        <v>0</v>
      </c>
      <c r="Q17" s="17">
        <v>0</v>
      </c>
      <c r="R17" s="18">
        <v>0</v>
      </c>
      <c r="S17" s="17">
        <v>0</v>
      </c>
      <c r="T17" s="17">
        <v>0</v>
      </c>
      <c r="U17" s="17">
        <f t="shared" si="8"/>
        <v>0</v>
      </c>
      <c r="V17" s="17">
        <v>0</v>
      </c>
      <c r="W17" s="18">
        <v>0</v>
      </c>
      <c r="X17" s="17">
        <v>0</v>
      </c>
    </row>
    <row r="18" spans="1:24" s="7" customFormat="1" ht="9.75" x14ac:dyDescent="0.2">
      <c r="A18" s="15" t="s">
        <v>39</v>
      </c>
      <c r="B18" s="750" t="s">
        <v>40</v>
      </c>
      <c r="C18" s="750"/>
      <c r="D18" s="16" t="s">
        <v>16</v>
      </c>
      <c r="E18" s="17">
        <f t="shared" si="6"/>
        <v>788100</v>
      </c>
      <c r="F18" s="17">
        <f t="shared" si="6"/>
        <v>853725</v>
      </c>
      <c r="G18" s="17">
        <f t="shared" si="6"/>
        <v>377924.46</v>
      </c>
      <c r="H18" s="18">
        <f t="shared" si="0"/>
        <v>44.26770447158043</v>
      </c>
      <c r="I18" s="17">
        <f t="shared" si="6"/>
        <v>318161</v>
      </c>
      <c r="J18" s="44">
        <v>573100</v>
      </c>
      <c r="K18" s="17">
        <f t="shared" si="7"/>
        <v>573100</v>
      </c>
      <c r="L18" s="17">
        <f>377924.46-Q18</f>
        <v>205976.30000000002</v>
      </c>
      <c r="M18" s="18">
        <f t="shared" si="2"/>
        <v>35.940725876810333</v>
      </c>
      <c r="N18" s="17">
        <v>198063</v>
      </c>
      <c r="O18" s="17">
        <f>220000-5000</f>
        <v>215000</v>
      </c>
      <c r="P18" s="17">
        <f>215000+9625+56000</f>
        <v>280625</v>
      </c>
      <c r="Q18" s="17">
        <f>106323.16+56000+9625</f>
        <v>171948.16</v>
      </c>
      <c r="R18" s="18">
        <f t="shared" si="3"/>
        <v>61.273286414253903</v>
      </c>
      <c r="S18" s="17">
        <v>120098</v>
      </c>
      <c r="T18" s="17">
        <v>5000</v>
      </c>
      <c r="U18" s="17">
        <f t="shared" si="8"/>
        <v>5000</v>
      </c>
      <c r="V18" s="17">
        <v>3410.61</v>
      </c>
      <c r="W18" s="18">
        <f t="shared" si="4"/>
        <v>68.212199999999996</v>
      </c>
      <c r="X18" s="17">
        <v>2180</v>
      </c>
    </row>
    <row r="19" spans="1:24" s="28" customFormat="1" ht="9.75" x14ac:dyDescent="0.2">
      <c r="A19" s="15" t="s">
        <v>41</v>
      </c>
      <c r="B19" s="750" t="s">
        <v>42</v>
      </c>
      <c r="C19" s="750"/>
      <c r="D19" s="16" t="s">
        <v>16</v>
      </c>
      <c r="E19" s="17">
        <f t="shared" si="6"/>
        <v>19870880</v>
      </c>
      <c r="F19" s="17">
        <f t="shared" si="6"/>
        <v>20147991</v>
      </c>
      <c r="G19" s="17">
        <f t="shared" si="6"/>
        <v>9713174</v>
      </c>
      <c r="H19" s="18">
        <f t="shared" si="0"/>
        <v>48.209144028305353</v>
      </c>
      <c r="I19" s="17">
        <f t="shared" si="6"/>
        <v>8383452</v>
      </c>
      <c r="J19" s="45">
        <v>158080</v>
      </c>
      <c r="K19" s="17">
        <f t="shared" si="7"/>
        <v>158080</v>
      </c>
      <c r="L19" s="17">
        <f>9713174-Q19</f>
        <v>78480</v>
      </c>
      <c r="M19" s="18">
        <f t="shared" si="2"/>
        <v>49.645748987854248</v>
      </c>
      <c r="N19" s="17">
        <v>87740</v>
      </c>
      <c r="O19" s="17">
        <v>19712800</v>
      </c>
      <c r="P19" s="17">
        <f>19694500+295411</f>
        <v>19989911</v>
      </c>
      <c r="Q19" s="17">
        <f>9299286+295411+39997</f>
        <v>9634694</v>
      </c>
      <c r="R19" s="18">
        <f t="shared" si="3"/>
        <v>48.19778337182192</v>
      </c>
      <c r="S19" s="17">
        <v>8295712</v>
      </c>
      <c r="T19" s="27">
        <v>0</v>
      </c>
      <c r="U19" s="27">
        <v>35873</v>
      </c>
      <c r="V19" s="27">
        <v>35873</v>
      </c>
      <c r="W19" s="18">
        <f t="shared" si="4"/>
        <v>100</v>
      </c>
      <c r="X19" s="27">
        <v>25038</v>
      </c>
    </row>
    <row r="20" spans="1:24" s="7" customFormat="1" ht="9.75" x14ac:dyDescent="0.2">
      <c r="A20" s="15" t="s">
        <v>43</v>
      </c>
      <c r="B20" s="750" t="s">
        <v>44</v>
      </c>
      <c r="C20" s="750"/>
      <c r="D20" s="16" t="s">
        <v>16</v>
      </c>
      <c r="E20" s="17">
        <f t="shared" si="6"/>
        <v>6702144</v>
      </c>
      <c r="F20" s="17">
        <f t="shared" si="6"/>
        <v>6750695.9199999999</v>
      </c>
      <c r="G20" s="17">
        <f t="shared" si="6"/>
        <v>3253029.6300000004</v>
      </c>
      <c r="H20" s="18">
        <f t="shared" si="0"/>
        <v>48.188063401913681</v>
      </c>
      <c r="I20" s="17">
        <f t="shared" si="6"/>
        <v>2837366</v>
      </c>
      <c r="J20" s="44">
        <v>0</v>
      </c>
      <c r="K20" s="17">
        <f t="shared" si="7"/>
        <v>0</v>
      </c>
      <c r="L20" s="26">
        <f>3213335.24+39694.39-Q20</f>
        <v>0</v>
      </c>
      <c r="M20" s="18">
        <v>0</v>
      </c>
      <c r="N20" s="17">
        <v>10052</v>
      </c>
      <c r="O20" s="17">
        <f>7096400-O21</f>
        <v>6702144</v>
      </c>
      <c r="P20" s="17">
        <f>7089800-P21+57923</f>
        <v>6750695.9199999999</v>
      </c>
      <c r="Q20" s="17">
        <f>3145737.59+53998.91+666.98+38859.41+3599.49+9999.25+168</f>
        <v>3253029.6300000004</v>
      </c>
      <c r="R20" s="18">
        <f t="shared" si="3"/>
        <v>48.188063401913681</v>
      </c>
      <c r="S20" s="17">
        <v>2827314</v>
      </c>
      <c r="T20" s="17">
        <v>0</v>
      </c>
      <c r="U20" s="17">
        <f>8968.25+3228.51+318.66</f>
        <v>12515.42</v>
      </c>
      <c r="V20" s="17">
        <f>12196.76+150.66</f>
        <v>12347.42</v>
      </c>
      <c r="W20" s="18">
        <f t="shared" si="4"/>
        <v>98.657655915662431</v>
      </c>
      <c r="X20" s="17">
        <v>8618</v>
      </c>
    </row>
    <row r="21" spans="1:24" s="7" customFormat="1" ht="9.75" x14ac:dyDescent="0.2">
      <c r="A21" s="15" t="s">
        <v>45</v>
      </c>
      <c r="B21" s="750" t="s">
        <v>46</v>
      </c>
      <c r="C21" s="750"/>
      <c r="D21" s="16" t="s">
        <v>16</v>
      </c>
      <c r="E21" s="17">
        <f t="shared" si="6"/>
        <v>394256</v>
      </c>
      <c r="F21" s="17">
        <f t="shared" si="6"/>
        <v>397027.08</v>
      </c>
      <c r="G21" s="17">
        <f t="shared" si="6"/>
        <v>191302.87999999998</v>
      </c>
      <c r="H21" s="18">
        <f t="shared" si="0"/>
        <v>48.183836729726337</v>
      </c>
      <c r="I21" s="17">
        <f t="shared" si="6"/>
        <v>166415</v>
      </c>
      <c r="J21" s="44">
        <v>0</v>
      </c>
      <c r="K21" s="17">
        <f t="shared" si="7"/>
        <v>0</v>
      </c>
      <c r="L21" s="26">
        <f>191302.88-Q21</f>
        <v>0</v>
      </c>
      <c r="M21" s="18">
        <v>0</v>
      </c>
      <c r="N21" s="17">
        <v>876</v>
      </c>
      <c r="O21" s="17">
        <f>19712800*2%</f>
        <v>394256</v>
      </c>
      <c r="P21" s="17">
        <f>19688500*2%+3257.08</f>
        <v>397027.08</v>
      </c>
      <c r="Q21" s="17">
        <f>3257.08+187245.86+799.94</f>
        <v>191302.87999999998</v>
      </c>
      <c r="R21" s="18">
        <f t="shared" si="3"/>
        <v>48.183836729726337</v>
      </c>
      <c r="S21" s="17">
        <v>165539</v>
      </c>
      <c r="T21" s="17">
        <v>0</v>
      </c>
      <c r="U21" s="17">
        <v>1517.4</v>
      </c>
      <c r="V21" s="17">
        <v>717.46</v>
      </c>
      <c r="W21" s="18">
        <f t="shared" si="4"/>
        <v>47.282193225253721</v>
      </c>
      <c r="X21" s="17">
        <v>520</v>
      </c>
    </row>
    <row r="22" spans="1:24" s="7" customFormat="1" ht="9.75" x14ac:dyDescent="0.2">
      <c r="A22" s="15" t="s">
        <v>47</v>
      </c>
      <c r="B22" s="750" t="s">
        <v>48</v>
      </c>
      <c r="C22" s="750"/>
      <c r="D22" s="16" t="s">
        <v>16</v>
      </c>
      <c r="E22" s="17">
        <f t="shared" si="6"/>
        <v>0</v>
      </c>
      <c r="F22" s="17">
        <f t="shared" si="6"/>
        <v>0</v>
      </c>
      <c r="G22" s="17">
        <f t="shared" si="6"/>
        <v>0</v>
      </c>
      <c r="H22" s="18">
        <v>0</v>
      </c>
      <c r="I22" s="17">
        <f t="shared" si="6"/>
        <v>0</v>
      </c>
      <c r="J22" s="44">
        <v>0</v>
      </c>
      <c r="K22" s="17">
        <f t="shared" si="7"/>
        <v>0</v>
      </c>
      <c r="L22" s="17">
        <v>0</v>
      </c>
      <c r="M22" s="18">
        <v>0</v>
      </c>
      <c r="N22" s="17">
        <v>0</v>
      </c>
      <c r="O22" s="17">
        <v>0</v>
      </c>
      <c r="P22" s="17">
        <v>0</v>
      </c>
      <c r="Q22" s="17">
        <v>0</v>
      </c>
      <c r="R22" s="18">
        <v>0</v>
      </c>
      <c r="S22" s="17">
        <v>0</v>
      </c>
      <c r="T22" s="17">
        <v>0</v>
      </c>
      <c r="U22" s="17">
        <f>T22</f>
        <v>0</v>
      </c>
      <c r="V22" s="17">
        <v>0</v>
      </c>
      <c r="W22" s="18">
        <v>0</v>
      </c>
      <c r="X22" s="17">
        <v>0</v>
      </c>
    </row>
    <row r="23" spans="1:24" s="7" customFormat="1" ht="9.75" x14ac:dyDescent="0.2">
      <c r="A23" s="15" t="s">
        <v>49</v>
      </c>
      <c r="B23" s="21" t="s">
        <v>50</v>
      </c>
      <c r="C23" s="21"/>
      <c r="D23" s="16" t="s">
        <v>16</v>
      </c>
      <c r="E23" s="17">
        <f t="shared" si="6"/>
        <v>0</v>
      </c>
      <c r="F23" s="17">
        <f t="shared" si="6"/>
        <v>0</v>
      </c>
      <c r="G23" s="17">
        <f t="shared" si="6"/>
        <v>0</v>
      </c>
      <c r="H23" s="18">
        <v>0</v>
      </c>
      <c r="I23" s="17">
        <f t="shared" si="6"/>
        <v>0</v>
      </c>
      <c r="J23" s="44">
        <v>0</v>
      </c>
      <c r="K23" s="17">
        <f t="shared" si="7"/>
        <v>0</v>
      </c>
      <c r="L23" s="17">
        <v>0</v>
      </c>
      <c r="M23" s="18">
        <v>0</v>
      </c>
      <c r="N23" s="17">
        <v>0</v>
      </c>
      <c r="O23" s="17">
        <v>0</v>
      </c>
      <c r="P23" s="17">
        <v>0</v>
      </c>
      <c r="Q23" s="17">
        <v>0</v>
      </c>
      <c r="R23" s="18">
        <v>0</v>
      </c>
      <c r="S23" s="17">
        <v>0</v>
      </c>
      <c r="T23" s="17">
        <v>0</v>
      </c>
      <c r="U23" s="17">
        <f t="shared" ref="U23:U32" si="9">T23</f>
        <v>0</v>
      </c>
      <c r="V23" s="17">
        <v>0</v>
      </c>
      <c r="W23" s="18">
        <v>0</v>
      </c>
      <c r="X23" s="17">
        <v>0</v>
      </c>
    </row>
    <row r="24" spans="1:24" s="7" customFormat="1" ht="9.75" x14ac:dyDescent="0.2">
      <c r="A24" s="15" t="s">
        <v>51</v>
      </c>
      <c r="B24" s="21" t="s">
        <v>52</v>
      </c>
      <c r="C24" s="21"/>
      <c r="D24" s="16" t="s">
        <v>16</v>
      </c>
      <c r="E24" s="17">
        <f t="shared" si="6"/>
        <v>0</v>
      </c>
      <c r="F24" s="17">
        <f t="shared" si="6"/>
        <v>0</v>
      </c>
      <c r="G24" s="17">
        <f t="shared" si="6"/>
        <v>0</v>
      </c>
      <c r="H24" s="18">
        <v>0</v>
      </c>
      <c r="I24" s="17">
        <f t="shared" si="6"/>
        <v>0</v>
      </c>
      <c r="J24" s="44">
        <v>0</v>
      </c>
      <c r="K24" s="17">
        <f t="shared" si="7"/>
        <v>0</v>
      </c>
      <c r="L24" s="17">
        <v>0</v>
      </c>
      <c r="M24" s="18">
        <v>0</v>
      </c>
      <c r="N24" s="17">
        <v>0</v>
      </c>
      <c r="O24" s="17">
        <v>0</v>
      </c>
      <c r="P24" s="17">
        <v>0</v>
      </c>
      <c r="Q24" s="17">
        <v>0</v>
      </c>
      <c r="R24" s="18">
        <v>0</v>
      </c>
      <c r="S24" s="17">
        <v>0</v>
      </c>
      <c r="T24" s="17">
        <v>0</v>
      </c>
      <c r="U24" s="17">
        <f t="shared" si="9"/>
        <v>0</v>
      </c>
      <c r="V24" s="17">
        <v>0</v>
      </c>
      <c r="W24" s="18">
        <v>0</v>
      </c>
      <c r="X24" s="17">
        <v>0</v>
      </c>
    </row>
    <row r="25" spans="1:24" s="7" customFormat="1" ht="9.75" x14ac:dyDescent="0.2">
      <c r="A25" s="15" t="s">
        <v>53</v>
      </c>
      <c r="B25" s="21" t="s">
        <v>54</v>
      </c>
      <c r="C25" s="21"/>
      <c r="D25" s="16" t="s">
        <v>16</v>
      </c>
      <c r="E25" s="17">
        <f t="shared" si="6"/>
        <v>0</v>
      </c>
      <c r="F25" s="17">
        <f t="shared" si="6"/>
        <v>0</v>
      </c>
      <c r="G25" s="17">
        <f t="shared" si="6"/>
        <v>0</v>
      </c>
      <c r="H25" s="18">
        <v>0</v>
      </c>
      <c r="I25" s="17">
        <f t="shared" si="6"/>
        <v>0</v>
      </c>
      <c r="J25" s="44">
        <v>0</v>
      </c>
      <c r="K25" s="17">
        <f t="shared" si="7"/>
        <v>0</v>
      </c>
      <c r="L25" s="25">
        <v>0</v>
      </c>
      <c r="M25" s="18">
        <v>0</v>
      </c>
      <c r="N25" s="26">
        <v>0</v>
      </c>
      <c r="O25" s="25">
        <v>0</v>
      </c>
      <c r="P25" s="25">
        <v>0</v>
      </c>
      <c r="Q25" s="25">
        <v>0</v>
      </c>
      <c r="R25" s="18">
        <v>0</v>
      </c>
      <c r="S25" s="25">
        <v>0</v>
      </c>
      <c r="T25" s="25">
        <v>0</v>
      </c>
      <c r="U25" s="17">
        <f t="shared" si="9"/>
        <v>0</v>
      </c>
      <c r="V25" s="25">
        <v>0</v>
      </c>
      <c r="W25" s="18">
        <v>0</v>
      </c>
      <c r="X25" s="25">
        <v>0</v>
      </c>
    </row>
    <row r="26" spans="1:24" s="30" customFormat="1" ht="9.75" x14ac:dyDescent="0.2">
      <c r="A26" s="15" t="s">
        <v>55</v>
      </c>
      <c r="B26" s="750" t="s">
        <v>56</v>
      </c>
      <c r="C26" s="750"/>
      <c r="D26" s="16" t="s">
        <v>16</v>
      </c>
      <c r="E26" s="17">
        <f t="shared" si="6"/>
        <v>1246868</v>
      </c>
      <c r="F26" s="17">
        <f t="shared" si="6"/>
        <v>1246868</v>
      </c>
      <c r="G26" s="17">
        <f t="shared" si="6"/>
        <v>627491</v>
      </c>
      <c r="H26" s="29">
        <f>G26/F26*100</f>
        <v>50.325375260252095</v>
      </c>
      <c r="I26" s="17">
        <f>SUM(N26,S26)</f>
        <v>667261</v>
      </c>
      <c r="J26" s="44">
        <v>1246868</v>
      </c>
      <c r="K26" s="26">
        <f>J26</f>
        <v>1246868</v>
      </c>
      <c r="L26" s="26">
        <f>627491-Q26</f>
        <v>627491</v>
      </c>
      <c r="M26" s="18">
        <f>L26/K26*100</f>
        <v>50.325375260252095</v>
      </c>
      <c r="N26" s="26">
        <v>667261</v>
      </c>
      <c r="O26" s="26">
        <v>0</v>
      </c>
      <c r="P26" s="26">
        <v>0</v>
      </c>
      <c r="Q26" s="26">
        <v>0</v>
      </c>
      <c r="R26" s="18">
        <v>0</v>
      </c>
      <c r="S26" s="26">
        <v>0</v>
      </c>
      <c r="T26" s="25">
        <v>115747</v>
      </c>
      <c r="U26" s="17">
        <f t="shared" si="9"/>
        <v>115747</v>
      </c>
      <c r="V26" s="25">
        <v>58033</v>
      </c>
      <c r="W26" s="18">
        <f>V26/U26*100</f>
        <v>50.13780054774638</v>
      </c>
      <c r="X26" s="25">
        <v>58033</v>
      </c>
    </row>
    <row r="27" spans="1:24" s="30" customFormat="1" ht="9.75" x14ac:dyDescent="0.2">
      <c r="A27" s="15" t="s">
        <v>57</v>
      </c>
      <c r="B27" s="21" t="s">
        <v>58</v>
      </c>
      <c r="C27" s="21"/>
      <c r="D27" s="16" t="s">
        <v>16</v>
      </c>
      <c r="E27" s="17">
        <f t="shared" si="6"/>
        <v>0</v>
      </c>
      <c r="F27" s="17">
        <f t="shared" si="6"/>
        <v>0</v>
      </c>
      <c r="G27" s="17">
        <f t="shared" si="6"/>
        <v>0</v>
      </c>
      <c r="H27" s="29">
        <v>0</v>
      </c>
      <c r="I27" s="17">
        <f t="shared" si="6"/>
        <v>0</v>
      </c>
      <c r="J27" s="44">
        <v>0</v>
      </c>
      <c r="K27" s="26">
        <f>J27</f>
        <v>0</v>
      </c>
      <c r="L27" s="26">
        <v>0</v>
      </c>
      <c r="M27" s="18">
        <v>0</v>
      </c>
      <c r="N27" s="17">
        <v>0</v>
      </c>
      <c r="O27" s="26">
        <v>0</v>
      </c>
      <c r="P27" s="26">
        <v>0</v>
      </c>
      <c r="Q27" s="26">
        <v>0</v>
      </c>
      <c r="R27" s="18">
        <v>0</v>
      </c>
      <c r="S27" s="26">
        <v>0</v>
      </c>
      <c r="T27" s="25">
        <v>0</v>
      </c>
      <c r="U27" s="17">
        <f t="shared" si="9"/>
        <v>0</v>
      </c>
      <c r="V27" s="46"/>
      <c r="W27" s="18">
        <v>0</v>
      </c>
      <c r="X27" s="25">
        <v>0</v>
      </c>
    </row>
    <row r="28" spans="1:24" s="30" customFormat="1" ht="9.75" x14ac:dyDescent="0.2">
      <c r="A28" s="15" t="s">
        <v>59</v>
      </c>
      <c r="B28" s="21" t="s">
        <v>60</v>
      </c>
      <c r="C28" s="21"/>
      <c r="D28" s="16" t="s">
        <v>16</v>
      </c>
      <c r="E28" s="17">
        <f>SUM(J28,O28)</f>
        <v>340840</v>
      </c>
      <c r="F28" s="17">
        <f>SUM(K28,P28)</f>
        <v>381743</v>
      </c>
      <c r="G28" s="17">
        <f>SUM(L28,Q28)</f>
        <v>54337</v>
      </c>
      <c r="H28" s="29">
        <f>G28/F28*100</f>
        <v>14.233921774597047</v>
      </c>
      <c r="I28" s="17">
        <f>SUM(N28,S28)</f>
        <v>34475</v>
      </c>
      <c r="J28" s="44">
        <v>200000</v>
      </c>
      <c r="K28" s="26">
        <f>J28-23460</f>
        <v>176540</v>
      </c>
      <c r="L28" s="26">
        <f>54337-Q28</f>
        <v>54337</v>
      </c>
      <c r="M28" s="18">
        <f>L28/K28*100</f>
        <v>30.77886031494279</v>
      </c>
      <c r="N28" s="17">
        <v>30996</v>
      </c>
      <c r="O28" s="26">
        <v>140840</v>
      </c>
      <c r="P28" s="26">
        <f>140840+64363</f>
        <v>205203</v>
      </c>
      <c r="Q28" s="26">
        <v>0</v>
      </c>
      <c r="R28" s="18">
        <f>Q28/P28*100</f>
        <v>0</v>
      </c>
      <c r="S28" s="26">
        <v>3479</v>
      </c>
      <c r="T28" s="25">
        <v>0</v>
      </c>
      <c r="U28" s="17">
        <f t="shared" si="9"/>
        <v>0</v>
      </c>
      <c r="V28" s="46"/>
      <c r="W28" s="18">
        <v>0</v>
      </c>
      <c r="X28" s="25">
        <v>0</v>
      </c>
    </row>
    <row r="29" spans="1:24" s="31" customFormat="1" ht="9.75" x14ac:dyDescent="0.2">
      <c r="A29" s="15" t="s">
        <v>61</v>
      </c>
      <c r="B29" s="21" t="s">
        <v>62</v>
      </c>
      <c r="C29" s="21"/>
      <c r="D29" s="16" t="s">
        <v>16</v>
      </c>
      <c r="E29" s="17">
        <f t="shared" si="6"/>
        <v>1000</v>
      </c>
      <c r="F29" s="17">
        <f t="shared" si="6"/>
        <v>37000</v>
      </c>
      <c r="G29" s="17">
        <f t="shared" si="6"/>
        <v>36949.199999999997</v>
      </c>
      <c r="H29" s="29">
        <f t="shared" si="0"/>
        <v>99.862702702702705</v>
      </c>
      <c r="I29" s="17">
        <f t="shared" si="6"/>
        <v>26080</v>
      </c>
      <c r="J29" s="44">
        <v>1000</v>
      </c>
      <c r="K29" s="26">
        <f>J29+36000</f>
        <v>37000</v>
      </c>
      <c r="L29" s="26">
        <f>36949.2-Q29</f>
        <v>36949.199999999997</v>
      </c>
      <c r="M29" s="18">
        <f t="shared" si="2"/>
        <v>99.862702702702705</v>
      </c>
      <c r="N29" s="26">
        <v>26080</v>
      </c>
      <c r="O29" s="26">
        <v>0</v>
      </c>
      <c r="P29" s="26">
        <v>0</v>
      </c>
      <c r="Q29" s="26">
        <v>0</v>
      </c>
      <c r="R29" s="18">
        <v>0</v>
      </c>
      <c r="S29" s="26">
        <v>0</v>
      </c>
      <c r="T29" s="25">
        <v>0</v>
      </c>
      <c r="U29" s="17">
        <f t="shared" si="9"/>
        <v>0</v>
      </c>
      <c r="V29" s="46"/>
      <c r="W29" s="18">
        <v>0</v>
      </c>
      <c r="X29" s="25">
        <v>0</v>
      </c>
    </row>
    <row r="30" spans="1:24" s="7" customFormat="1" ht="9.75" x14ac:dyDescent="0.2">
      <c r="A30" s="15" t="s">
        <v>63</v>
      </c>
      <c r="B30" s="21" t="s">
        <v>64</v>
      </c>
      <c r="C30" s="21"/>
      <c r="D30" s="16" t="s">
        <v>16</v>
      </c>
      <c r="E30" s="17">
        <f t="shared" ref="E30:G31" si="10">SUM(J30,O30)</f>
        <v>0</v>
      </c>
      <c r="F30" s="17">
        <f t="shared" si="10"/>
        <v>0</v>
      </c>
      <c r="G30" s="17">
        <f t="shared" si="10"/>
        <v>0</v>
      </c>
      <c r="H30" s="29">
        <v>0</v>
      </c>
      <c r="I30" s="17">
        <f>SUM(N30,S30)</f>
        <v>0</v>
      </c>
      <c r="J30" s="44">
        <v>0</v>
      </c>
      <c r="K30" s="26">
        <f>J30</f>
        <v>0</v>
      </c>
      <c r="L30" s="26">
        <v>0</v>
      </c>
      <c r="M30" s="18">
        <v>0</v>
      </c>
      <c r="N30" s="26">
        <v>0</v>
      </c>
      <c r="O30" s="26">
        <v>0</v>
      </c>
      <c r="P30" s="26">
        <v>0</v>
      </c>
      <c r="Q30" s="26">
        <v>0</v>
      </c>
      <c r="R30" s="18">
        <v>0</v>
      </c>
      <c r="S30" s="26">
        <v>0</v>
      </c>
      <c r="T30" s="25">
        <v>0</v>
      </c>
      <c r="U30" s="17">
        <f t="shared" si="9"/>
        <v>0</v>
      </c>
      <c r="V30" s="46"/>
      <c r="W30" s="18">
        <v>0</v>
      </c>
      <c r="X30" s="25">
        <v>0</v>
      </c>
    </row>
    <row r="31" spans="1:24" s="34" customFormat="1" ht="9.75" x14ac:dyDescent="0.2">
      <c r="A31" s="15" t="s">
        <v>65</v>
      </c>
      <c r="B31" s="21" t="s">
        <v>66</v>
      </c>
      <c r="C31" s="21"/>
      <c r="D31" s="16" t="s">
        <v>16</v>
      </c>
      <c r="E31" s="17">
        <f t="shared" si="10"/>
        <v>0</v>
      </c>
      <c r="F31" s="17">
        <f t="shared" si="10"/>
        <v>0</v>
      </c>
      <c r="G31" s="17">
        <f t="shared" si="10"/>
        <v>0</v>
      </c>
      <c r="H31" s="29">
        <v>0</v>
      </c>
      <c r="I31" s="17">
        <f>SUM(N31,S31)</f>
        <v>0</v>
      </c>
      <c r="J31" s="44">
        <v>0</v>
      </c>
      <c r="K31" s="26">
        <f t="shared" ref="K31:K32" si="11">J31</f>
        <v>0</v>
      </c>
      <c r="L31" s="32">
        <v>0</v>
      </c>
      <c r="M31" s="18">
        <v>0</v>
      </c>
      <c r="N31" s="32">
        <v>0</v>
      </c>
      <c r="O31" s="32">
        <v>0</v>
      </c>
      <c r="P31" s="32">
        <v>0</v>
      </c>
      <c r="Q31" s="32">
        <v>0</v>
      </c>
      <c r="R31" s="18">
        <v>0</v>
      </c>
      <c r="S31" s="32">
        <v>0</v>
      </c>
      <c r="T31" s="33">
        <v>0</v>
      </c>
      <c r="U31" s="17">
        <f t="shared" si="9"/>
        <v>0</v>
      </c>
      <c r="V31" s="33"/>
      <c r="W31" s="18">
        <v>0</v>
      </c>
      <c r="X31" s="25">
        <v>0</v>
      </c>
    </row>
    <row r="32" spans="1:24" s="34" customFormat="1" ht="9.75" x14ac:dyDescent="0.2">
      <c r="A32" s="15" t="s">
        <v>67</v>
      </c>
      <c r="B32" s="21" t="s">
        <v>68</v>
      </c>
      <c r="C32" s="21"/>
      <c r="D32" s="16" t="s">
        <v>16</v>
      </c>
      <c r="E32" s="17">
        <f>SUM(J32,O32)</f>
        <v>0</v>
      </c>
      <c r="F32" s="17">
        <f>SUM(K32,P32)</f>
        <v>0</v>
      </c>
      <c r="G32" s="17">
        <f>SUM(L32,Q32)</f>
        <v>0</v>
      </c>
      <c r="H32" s="29">
        <v>0</v>
      </c>
      <c r="I32" s="17">
        <f>SUM(N32,S32)</f>
        <v>0</v>
      </c>
      <c r="J32" s="47">
        <v>0</v>
      </c>
      <c r="K32" s="26">
        <f t="shared" si="11"/>
        <v>0</v>
      </c>
      <c r="L32" s="33">
        <v>0</v>
      </c>
      <c r="M32" s="18">
        <v>0</v>
      </c>
      <c r="N32" s="33">
        <v>0</v>
      </c>
      <c r="O32" s="33">
        <v>0</v>
      </c>
      <c r="P32" s="33">
        <v>0</v>
      </c>
      <c r="Q32" s="33">
        <v>0</v>
      </c>
      <c r="R32" s="18">
        <v>0</v>
      </c>
      <c r="S32" s="33">
        <v>0</v>
      </c>
      <c r="T32" s="33">
        <v>0</v>
      </c>
      <c r="U32" s="17">
        <f t="shared" si="9"/>
        <v>0</v>
      </c>
      <c r="V32" s="33"/>
      <c r="W32" s="18">
        <v>0</v>
      </c>
      <c r="X32" s="25">
        <v>0</v>
      </c>
    </row>
    <row r="33" spans="1:24" s="34" customFormat="1" ht="9.75" x14ac:dyDescent="0.2">
      <c r="A33" s="11" t="s">
        <v>69</v>
      </c>
      <c r="B33" s="35" t="s">
        <v>70</v>
      </c>
      <c r="C33" s="35"/>
      <c r="D33" s="12" t="s">
        <v>16</v>
      </c>
      <c r="E33" s="13">
        <f>E6-E11</f>
        <v>0</v>
      </c>
      <c r="F33" s="13">
        <f>F6-F11</f>
        <v>0.40999999642372131</v>
      </c>
      <c r="G33" s="13">
        <f>G6-G11</f>
        <v>606490.69000000134</v>
      </c>
      <c r="H33" s="36"/>
      <c r="I33" s="13">
        <f>I6-I11</f>
        <v>320109</v>
      </c>
      <c r="J33" s="13">
        <f>J6-J11</f>
        <v>0</v>
      </c>
      <c r="K33" s="13">
        <f>K6-K11</f>
        <v>0</v>
      </c>
      <c r="L33" s="13">
        <f>L6-L11</f>
        <v>606490.93000000063</v>
      </c>
      <c r="M33" s="14"/>
      <c r="N33" s="13">
        <f>N6-N11</f>
        <v>320109</v>
      </c>
      <c r="O33" s="13">
        <f>O6-O11</f>
        <v>0</v>
      </c>
      <c r="P33" s="13">
        <f>P6-P11</f>
        <v>0.41000000014901161</v>
      </c>
      <c r="Q33" s="13">
        <f>Q6-Q11</f>
        <v>-0.24000000208616257</v>
      </c>
      <c r="R33" s="14">
        <v>0</v>
      </c>
      <c r="S33" s="13">
        <f>S6-S11</f>
        <v>0</v>
      </c>
      <c r="T33" s="13">
        <f>T6-T11</f>
        <v>108253</v>
      </c>
      <c r="U33" s="13">
        <f>U6-U11</f>
        <v>108253</v>
      </c>
      <c r="V33" s="13">
        <f>V6-V11</f>
        <v>93395.140000000014</v>
      </c>
      <c r="W33" s="14">
        <f t="shared" si="4"/>
        <v>86.274874599318281</v>
      </c>
      <c r="X33" s="13">
        <f>X6-X11</f>
        <v>86553</v>
      </c>
    </row>
    <row r="34" spans="1:24" s="1" customFormat="1" ht="9.75" x14ac:dyDescent="0.2">
      <c r="A34" s="37" t="s">
        <v>71</v>
      </c>
      <c r="B34" s="749" t="s">
        <v>72</v>
      </c>
      <c r="C34" s="749"/>
      <c r="D34" s="38" t="s">
        <v>16</v>
      </c>
      <c r="E34" s="48">
        <f>E19/E36/12</f>
        <v>26708.172043010753</v>
      </c>
      <c r="F34" s="48">
        <f t="shared" ref="F34" si="12">F19/F36/12</f>
        <v>27080.633064516132</v>
      </c>
      <c r="G34" s="48">
        <f>G19/G36/6</f>
        <v>26110.682795698925</v>
      </c>
      <c r="H34" s="29">
        <f t="shared" si="0"/>
        <v>96.418288056610706</v>
      </c>
      <c r="I34" s="48">
        <v>25722</v>
      </c>
      <c r="J34" s="39">
        <v>0</v>
      </c>
      <c r="K34" s="39">
        <v>0</v>
      </c>
      <c r="L34" s="39">
        <v>0</v>
      </c>
      <c r="M34" s="14">
        <v>0</v>
      </c>
      <c r="N34" s="39">
        <v>0</v>
      </c>
      <c r="O34" s="39">
        <f>O19/O36/12</f>
        <v>26495.698924731183</v>
      </c>
      <c r="P34" s="39">
        <f>P19/P36/12</f>
        <v>26868.159946236559</v>
      </c>
      <c r="Q34" s="39">
        <f>Q19/Q36/6</f>
        <v>25899.715053763441</v>
      </c>
      <c r="R34" s="14">
        <f t="shared" si="3"/>
        <v>96.39556674364384</v>
      </c>
      <c r="S34" s="39">
        <f>S19/S36/12</f>
        <v>11332.939890710382</v>
      </c>
      <c r="T34" s="39">
        <v>0</v>
      </c>
      <c r="U34" s="39">
        <f>U19/6</f>
        <v>5978.833333333333</v>
      </c>
      <c r="V34" s="39">
        <f>V19/6</f>
        <v>5978.833333333333</v>
      </c>
      <c r="W34" s="14">
        <f t="shared" si="4"/>
        <v>100</v>
      </c>
      <c r="X34" s="39">
        <f>X19/X36/6</f>
        <v>4173</v>
      </c>
    </row>
    <row r="35" spans="1:24" s="1" customFormat="1" ht="9.75" x14ac:dyDescent="0.2">
      <c r="A35" s="40" t="s">
        <v>73</v>
      </c>
      <c r="B35" s="751" t="s">
        <v>74</v>
      </c>
      <c r="C35" s="751"/>
      <c r="D35" s="40" t="s">
        <v>75</v>
      </c>
      <c r="E35" s="48">
        <v>58</v>
      </c>
      <c r="F35" s="48">
        <v>58</v>
      </c>
      <c r="G35" s="48">
        <v>58</v>
      </c>
      <c r="H35" s="29">
        <f t="shared" si="0"/>
        <v>100</v>
      </c>
      <c r="I35" s="48">
        <v>54</v>
      </c>
      <c r="J35" s="39">
        <v>0</v>
      </c>
      <c r="K35" s="39">
        <v>0</v>
      </c>
      <c r="L35" s="39">
        <v>0</v>
      </c>
      <c r="M35" s="14">
        <v>0</v>
      </c>
      <c r="N35" s="39">
        <v>0</v>
      </c>
      <c r="O35" s="39">
        <v>58</v>
      </c>
      <c r="P35" s="39">
        <v>58</v>
      </c>
      <c r="Q35" s="39">
        <v>58</v>
      </c>
      <c r="R35" s="14">
        <f t="shared" si="3"/>
        <v>100</v>
      </c>
      <c r="S35" s="39">
        <v>57</v>
      </c>
      <c r="T35" s="39">
        <v>0</v>
      </c>
      <c r="U35" s="39">
        <v>1</v>
      </c>
      <c r="V35" s="39">
        <v>1</v>
      </c>
      <c r="W35" s="14">
        <f t="shared" si="4"/>
        <v>100</v>
      </c>
      <c r="X35" s="39">
        <v>1</v>
      </c>
    </row>
    <row r="36" spans="1:24" s="1" customFormat="1" ht="9.75" x14ac:dyDescent="0.2">
      <c r="A36" s="37" t="s">
        <v>76</v>
      </c>
      <c r="B36" s="749" t="s">
        <v>77</v>
      </c>
      <c r="C36" s="749"/>
      <c r="D36" s="38" t="s">
        <v>75</v>
      </c>
      <c r="E36" s="48">
        <v>62</v>
      </c>
      <c r="F36" s="48">
        <v>62</v>
      </c>
      <c r="G36" s="48">
        <v>62</v>
      </c>
      <c r="H36" s="29">
        <f t="shared" si="0"/>
        <v>100</v>
      </c>
      <c r="I36" s="48">
        <v>60</v>
      </c>
      <c r="J36" s="39">
        <v>0</v>
      </c>
      <c r="K36" s="39">
        <v>0</v>
      </c>
      <c r="L36" s="39">
        <v>0</v>
      </c>
      <c r="M36" s="14">
        <v>0</v>
      </c>
      <c r="N36" s="39">
        <v>0</v>
      </c>
      <c r="O36" s="39">
        <v>62</v>
      </c>
      <c r="P36" s="39">
        <v>62</v>
      </c>
      <c r="Q36" s="39">
        <v>62</v>
      </c>
      <c r="R36" s="14">
        <f t="shared" si="3"/>
        <v>100</v>
      </c>
      <c r="S36" s="39">
        <v>61</v>
      </c>
      <c r="T36" s="39">
        <v>0</v>
      </c>
      <c r="U36" s="39">
        <v>1</v>
      </c>
      <c r="V36" s="39">
        <v>1</v>
      </c>
      <c r="W36" s="14">
        <f t="shared" si="4"/>
        <v>100</v>
      </c>
      <c r="X36" s="39">
        <v>1</v>
      </c>
    </row>
  </sheetData>
  <mergeCells count="38">
    <mergeCell ref="A1:X1"/>
    <mergeCell ref="A3:A5"/>
    <mergeCell ref="B3:C5"/>
    <mergeCell ref="D3:D5"/>
    <mergeCell ref="E3:I3"/>
    <mergeCell ref="J3:N3"/>
    <mergeCell ref="O3:S3"/>
    <mergeCell ref="T3:X3"/>
    <mergeCell ref="E4:E5"/>
    <mergeCell ref="F4:H4"/>
    <mergeCell ref="I4:I5"/>
    <mergeCell ref="J4:J5"/>
    <mergeCell ref="X4:X5"/>
    <mergeCell ref="B6:C6"/>
    <mergeCell ref="O4:O5"/>
    <mergeCell ref="P4:R4"/>
    <mergeCell ref="B12:C12"/>
    <mergeCell ref="K4:M4"/>
    <mergeCell ref="N4:N5"/>
    <mergeCell ref="S4:S5"/>
    <mergeCell ref="T4:T5"/>
    <mergeCell ref="U4:W4"/>
    <mergeCell ref="B8:C8"/>
    <mergeCell ref="B10:C10"/>
    <mergeCell ref="B11:C11"/>
    <mergeCell ref="B7:C7"/>
    <mergeCell ref="B13:C13"/>
    <mergeCell ref="B26:C26"/>
    <mergeCell ref="B34:C34"/>
    <mergeCell ref="B35:C35"/>
    <mergeCell ref="B15:C15"/>
    <mergeCell ref="B36:C36"/>
    <mergeCell ref="B16:C16"/>
    <mergeCell ref="B18:C18"/>
    <mergeCell ref="B19:C19"/>
    <mergeCell ref="B20:C20"/>
    <mergeCell ref="B21:C21"/>
    <mergeCell ref="B22:C22"/>
  </mergeCells>
  <pageMargins left="0.70866141732283472" right="0.70866141732283472" top="0.78740157480314965" bottom="0.78740157480314965" header="0.31496062992125984" footer="0.31496062992125984"/>
  <pageSetup paperSize="9" scale="85" firstPageNumber="105" orientation="landscape" useFirstPageNumber="1" r:id="rId1"/>
  <headerFoot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4"/>
  <sheetViews>
    <sheetView topLeftCell="A67" workbookViewId="0">
      <selection activeCell="C51" sqref="C51"/>
    </sheetView>
  </sheetViews>
  <sheetFormatPr defaultRowHeight="12.75" x14ac:dyDescent="0.2"/>
  <cols>
    <col min="1" max="1" width="33.140625" style="4" customWidth="1"/>
    <col min="2" max="2" width="19.140625" style="4" customWidth="1"/>
    <col min="3" max="5" width="14.7109375" style="4" customWidth="1"/>
    <col min="6" max="7" width="13" style="4" customWidth="1"/>
    <col min="8" max="8" width="18.42578125" style="4" customWidth="1"/>
    <col min="9" max="16384" width="9.140625" style="4"/>
  </cols>
  <sheetData>
    <row r="1" spans="1:9" s="168" customFormat="1" ht="18.75" x14ac:dyDescent="0.3">
      <c r="A1" s="620" t="s">
        <v>723</v>
      </c>
      <c r="B1" s="621" t="s">
        <v>96</v>
      </c>
      <c r="C1" s="620"/>
      <c r="D1" s="620"/>
      <c r="E1" s="620"/>
      <c r="F1" s="620"/>
      <c r="G1" s="620"/>
      <c r="H1" s="620"/>
      <c r="I1" s="620"/>
    </row>
    <row r="3" spans="1:9" s="169" customFormat="1" ht="10.5" x14ac:dyDescent="0.15">
      <c r="A3" s="781" t="s">
        <v>99</v>
      </c>
      <c r="B3" s="781"/>
      <c r="C3" s="781"/>
      <c r="D3" s="781"/>
      <c r="E3" s="781"/>
      <c r="F3" s="781"/>
      <c r="G3" s="781"/>
      <c r="H3" s="781"/>
      <c r="I3" s="781"/>
    </row>
    <row r="4" spans="1:9" s="170" customFormat="1" ht="11.25" x14ac:dyDescent="0.2"/>
    <row r="5" spans="1:9" s="172" customFormat="1" ht="9.75" x14ac:dyDescent="0.2">
      <c r="A5" s="819" t="s">
        <v>100</v>
      </c>
      <c r="B5" s="820"/>
      <c r="C5" s="171" t="s">
        <v>16</v>
      </c>
      <c r="D5" s="805" t="s">
        <v>101</v>
      </c>
      <c r="E5" s="805"/>
      <c r="F5" s="805"/>
      <c r="G5" s="805"/>
      <c r="H5" s="805"/>
      <c r="I5" s="805"/>
    </row>
    <row r="6" spans="1:9" s="170" customFormat="1" ht="51" customHeight="1" x14ac:dyDescent="0.2">
      <c r="A6" s="821" t="s">
        <v>102</v>
      </c>
      <c r="B6" s="822"/>
      <c r="C6" s="173">
        <v>606490.68999999994</v>
      </c>
      <c r="D6" s="823" t="s">
        <v>724</v>
      </c>
      <c r="E6" s="824"/>
      <c r="F6" s="824"/>
      <c r="G6" s="824"/>
      <c r="H6" s="824"/>
      <c r="I6" s="825"/>
    </row>
    <row r="7" spans="1:9" s="174" customFormat="1" ht="24.75" customHeight="1" x14ac:dyDescent="0.15">
      <c r="A7" s="821" t="s">
        <v>103</v>
      </c>
      <c r="B7" s="822"/>
      <c r="C7" s="173">
        <v>93395.14</v>
      </c>
      <c r="D7" s="826" t="s">
        <v>725</v>
      </c>
      <c r="E7" s="827"/>
      <c r="F7" s="827"/>
      <c r="G7" s="827"/>
      <c r="H7" s="827"/>
      <c r="I7" s="828"/>
    </row>
    <row r="8" spans="1:9" s="174" customFormat="1" ht="15" customHeight="1" x14ac:dyDescent="0.15">
      <c r="A8" s="829" t="s">
        <v>105</v>
      </c>
      <c r="B8" s="830"/>
      <c r="C8" s="175">
        <v>0</v>
      </c>
      <c r="D8" s="831"/>
      <c r="E8" s="832"/>
      <c r="F8" s="832"/>
      <c r="G8" s="832"/>
      <c r="H8" s="832"/>
      <c r="I8" s="833"/>
    </row>
    <row r="9" spans="1:9" s="170" customFormat="1" ht="11.25" x14ac:dyDescent="0.2">
      <c r="C9" s="176"/>
    </row>
    <row r="10" spans="1:9" s="177" customFormat="1" ht="11.25" x14ac:dyDescent="0.2">
      <c r="A10" s="781" t="s">
        <v>106</v>
      </c>
      <c r="B10" s="781"/>
      <c r="C10" s="781"/>
      <c r="D10" s="781"/>
      <c r="E10" s="781"/>
      <c r="F10" s="781"/>
      <c r="G10" s="781"/>
      <c r="H10" s="781"/>
      <c r="I10" s="781"/>
    </row>
    <row r="11" spans="1:9" s="170" customFormat="1" ht="12" thickBot="1" x14ac:dyDescent="0.25">
      <c r="C11" s="176"/>
    </row>
    <row r="12" spans="1:9" s="181" customFormat="1" ht="21" x14ac:dyDescent="0.15">
      <c r="A12" s="178" t="s">
        <v>107</v>
      </c>
      <c r="B12" s="178" t="s">
        <v>108</v>
      </c>
      <c r="C12" s="179" t="s">
        <v>109</v>
      </c>
      <c r="D12" s="180" t="s">
        <v>110</v>
      </c>
      <c r="E12" s="179" t="s">
        <v>111</v>
      </c>
      <c r="F12" s="814" t="s">
        <v>112</v>
      </c>
      <c r="G12" s="815"/>
      <c r="H12" s="816" t="s">
        <v>113</v>
      </c>
      <c r="I12" s="817"/>
    </row>
    <row r="13" spans="1:9" s="181" customFormat="1" ht="43.5" customHeight="1" x14ac:dyDescent="0.15">
      <c r="A13" s="182" t="s">
        <v>114</v>
      </c>
      <c r="B13" s="183">
        <v>263310.64</v>
      </c>
      <c r="C13" s="184">
        <v>132486.99</v>
      </c>
      <c r="D13" s="185">
        <v>0</v>
      </c>
      <c r="E13" s="184">
        <f>B13+C13-D13</f>
        <v>395797.63</v>
      </c>
      <c r="F13" s="809">
        <v>395797.63</v>
      </c>
      <c r="G13" s="809"/>
      <c r="H13" s="801" t="s">
        <v>726</v>
      </c>
      <c r="I13" s="802"/>
    </row>
    <row r="14" spans="1:9" s="181" customFormat="1" ht="43.5" customHeight="1" x14ac:dyDescent="0.15">
      <c r="A14" s="182" t="s">
        <v>115</v>
      </c>
      <c r="B14" s="183">
        <v>709120.24</v>
      </c>
      <c r="C14" s="184">
        <v>28884</v>
      </c>
      <c r="D14" s="185">
        <v>716916.62</v>
      </c>
      <c r="E14" s="184">
        <f t="shared" ref="E14:E17" si="0">B14+C14-D14</f>
        <v>21087.619999999995</v>
      </c>
      <c r="F14" s="810">
        <v>21087.62</v>
      </c>
      <c r="G14" s="811"/>
      <c r="H14" s="801" t="s">
        <v>727</v>
      </c>
      <c r="I14" s="812"/>
    </row>
    <row r="15" spans="1:9" s="181" customFormat="1" ht="48" customHeight="1" x14ac:dyDescent="0.15">
      <c r="A15" s="186" t="s">
        <v>116</v>
      </c>
      <c r="B15" s="187">
        <v>396834.34</v>
      </c>
      <c r="C15" s="188">
        <v>685524</v>
      </c>
      <c r="D15" s="189">
        <v>568630</v>
      </c>
      <c r="E15" s="184">
        <f t="shared" si="0"/>
        <v>513728.34000000008</v>
      </c>
      <c r="F15" s="813">
        <v>513728.34</v>
      </c>
      <c r="G15" s="813"/>
      <c r="H15" s="801" t="s">
        <v>728</v>
      </c>
      <c r="I15" s="802"/>
    </row>
    <row r="16" spans="1:9" s="181" customFormat="1" ht="35.25" customHeight="1" x14ac:dyDescent="0.15">
      <c r="A16" s="190" t="s">
        <v>117</v>
      </c>
      <c r="B16" s="191">
        <v>99463.72</v>
      </c>
      <c r="C16" s="192">
        <v>0</v>
      </c>
      <c r="D16" s="193">
        <v>0</v>
      </c>
      <c r="E16" s="184">
        <f t="shared" si="0"/>
        <v>99463.72</v>
      </c>
      <c r="F16" s="800">
        <v>99463.72</v>
      </c>
      <c r="G16" s="800"/>
      <c r="H16" s="801" t="s">
        <v>729</v>
      </c>
      <c r="I16" s="802"/>
    </row>
    <row r="17" spans="1:9" s="181" customFormat="1" ht="59.25" customHeight="1" x14ac:dyDescent="0.15">
      <c r="A17" s="194" t="s">
        <v>118</v>
      </c>
      <c r="B17" s="195">
        <v>246125.37</v>
      </c>
      <c r="C17" s="196">
        <v>190571.34</v>
      </c>
      <c r="D17" s="197">
        <v>89123</v>
      </c>
      <c r="E17" s="184">
        <f t="shared" si="0"/>
        <v>347573.70999999996</v>
      </c>
      <c r="F17" s="803">
        <v>330960.84000000003</v>
      </c>
      <c r="G17" s="803"/>
      <c r="H17" s="801" t="s">
        <v>730</v>
      </c>
      <c r="I17" s="802"/>
    </row>
    <row r="18" spans="1:9" s="181" customFormat="1" thickBot="1" x14ac:dyDescent="0.2">
      <c r="A18" s="198" t="s">
        <v>120</v>
      </c>
      <c r="B18" s="199">
        <f>SUM(B13:B17)</f>
        <v>1714854.31</v>
      </c>
      <c r="C18" s="200">
        <f>SUM(C13:C17)</f>
        <v>1037466.33</v>
      </c>
      <c r="D18" s="201">
        <f>SUM(D13:D17)</f>
        <v>1374669.62</v>
      </c>
      <c r="E18" s="200">
        <f>SUM(E13:E17)</f>
        <v>1377651.02</v>
      </c>
      <c r="F18" s="804">
        <f>SUM(F13:G17)</f>
        <v>1361038.1500000001</v>
      </c>
      <c r="G18" s="804"/>
      <c r="H18" s="202"/>
      <c r="I18" s="203"/>
    </row>
    <row r="19" spans="1:9" s="204" customFormat="1" ht="11.25" x14ac:dyDescent="0.2">
      <c r="C19" s="205"/>
    </row>
    <row r="20" spans="1:9" s="177" customFormat="1" ht="11.25" x14ac:dyDescent="0.2">
      <c r="A20" s="781" t="s">
        <v>121</v>
      </c>
      <c r="B20" s="781"/>
      <c r="C20" s="781"/>
      <c r="D20" s="781"/>
      <c r="E20" s="781"/>
      <c r="F20" s="781"/>
      <c r="G20" s="781"/>
      <c r="H20" s="781"/>
      <c r="I20" s="781"/>
    </row>
    <row r="21" spans="1:9" s="170" customFormat="1" ht="11.25" x14ac:dyDescent="0.2">
      <c r="C21" s="176"/>
    </row>
    <row r="22" spans="1:9" s="170" customFormat="1" ht="11.25" x14ac:dyDescent="0.2">
      <c r="A22" s="171" t="s">
        <v>122</v>
      </c>
      <c r="B22" s="171" t="s">
        <v>16</v>
      </c>
      <c r="C22" s="206" t="s">
        <v>123</v>
      </c>
      <c r="D22" s="805" t="s">
        <v>124</v>
      </c>
      <c r="E22" s="805"/>
      <c r="F22" s="805"/>
      <c r="G22" s="805"/>
      <c r="H22" s="805"/>
      <c r="I22" s="805"/>
    </row>
    <row r="23" spans="1:9" s="170" customFormat="1" ht="11.25" customHeight="1" x14ac:dyDescent="0.2">
      <c r="A23" s="207" t="s">
        <v>537</v>
      </c>
      <c r="B23" s="208"/>
      <c r="C23" s="209"/>
      <c r="D23" s="797"/>
      <c r="E23" s="798"/>
      <c r="F23" s="798"/>
      <c r="G23" s="798"/>
      <c r="H23" s="798"/>
      <c r="I23" s="799"/>
    </row>
    <row r="24" spans="1:9" s="174" customFormat="1" ht="11.25" x14ac:dyDescent="0.2">
      <c r="A24" s="210" t="s">
        <v>120</v>
      </c>
      <c r="B24" s="211">
        <f>SUM(B23:B23)</f>
        <v>0</v>
      </c>
      <c r="C24" s="806"/>
      <c r="D24" s="806"/>
      <c r="E24" s="806"/>
      <c r="F24" s="806"/>
      <c r="G24" s="806"/>
      <c r="H24" s="806"/>
      <c r="I24" s="807"/>
    </row>
    <row r="25" spans="1:9" s="204" customFormat="1" ht="11.25" x14ac:dyDescent="0.2">
      <c r="C25" s="205"/>
    </row>
    <row r="26" spans="1:9" s="204" customFormat="1" ht="11.25" x14ac:dyDescent="0.2">
      <c r="C26" s="205"/>
    </row>
    <row r="27" spans="1:9" s="177" customFormat="1" ht="11.25" x14ac:dyDescent="0.2">
      <c r="A27" s="781" t="s">
        <v>126</v>
      </c>
      <c r="B27" s="781"/>
      <c r="C27" s="781"/>
      <c r="D27" s="781"/>
      <c r="E27" s="781"/>
      <c r="F27" s="781"/>
      <c r="G27" s="781"/>
      <c r="H27" s="781"/>
      <c r="I27" s="781"/>
    </row>
    <row r="28" spans="1:9" s="170" customFormat="1" ht="11.25" x14ac:dyDescent="0.2">
      <c r="C28" s="176"/>
    </row>
    <row r="29" spans="1:9" s="170" customFormat="1" ht="11.25" x14ac:dyDescent="0.2">
      <c r="A29" s="171" t="s">
        <v>122</v>
      </c>
      <c r="B29" s="171" t="s">
        <v>16</v>
      </c>
      <c r="C29" s="206" t="s">
        <v>123</v>
      </c>
      <c r="D29" s="805" t="s">
        <v>127</v>
      </c>
      <c r="E29" s="805"/>
      <c r="F29" s="805"/>
      <c r="G29" s="805"/>
      <c r="H29" s="805"/>
      <c r="I29" s="808"/>
    </row>
    <row r="30" spans="1:9" s="170" customFormat="1" ht="11.25" customHeight="1" x14ac:dyDescent="0.2">
      <c r="A30" s="207" t="s">
        <v>537</v>
      </c>
      <c r="B30" s="208"/>
      <c r="C30" s="209"/>
      <c r="D30" s="797"/>
      <c r="E30" s="798"/>
      <c r="F30" s="798"/>
      <c r="G30" s="798"/>
      <c r="H30" s="798"/>
      <c r="I30" s="799"/>
    </row>
    <row r="31" spans="1:9" s="174" customFormat="1" ht="10.5" x14ac:dyDescent="0.15">
      <c r="A31" s="210" t="s">
        <v>120</v>
      </c>
      <c r="B31" s="211">
        <f>SUM(B30:B30)</f>
        <v>0</v>
      </c>
      <c r="C31" s="784"/>
      <c r="D31" s="784"/>
      <c r="E31" s="784"/>
      <c r="F31" s="784"/>
      <c r="G31" s="784"/>
      <c r="H31" s="784"/>
      <c r="I31" s="784"/>
    </row>
    <row r="32" spans="1:9" s="170" customFormat="1" ht="11.25" x14ac:dyDescent="0.2">
      <c r="C32" s="176"/>
    </row>
    <row r="33" spans="1:9" s="170" customFormat="1" ht="11.25" x14ac:dyDescent="0.2">
      <c r="C33" s="176"/>
    </row>
    <row r="34" spans="1:9" s="177" customFormat="1" ht="11.25" x14ac:dyDescent="0.2">
      <c r="A34" s="781" t="s">
        <v>129</v>
      </c>
      <c r="B34" s="781"/>
      <c r="C34" s="781"/>
      <c r="D34" s="781"/>
      <c r="E34" s="781"/>
      <c r="F34" s="781"/>
      <c r="G34" s="781"/>
      <c r="H34" s="781"/>
      <c r="I34" s="781"/>
    </row>
    <row r="35" spans="1:9" s="170" customFormat="1" ht="11.25" x14ac:dyDescent="0.2">
      <c r="C35" s="212"/>
    </row>
    <row r="36" spans="1:9" s="170" customFormat="1" ht="11.25" x14ac:dyDescent="0.2">
      <c r="A36" s="171" t="s">
        <v>130</v>
      </c>
      <c r="B36" s="206" t="s">
        <v>131</v>
      </c>
      <c r="C36" s="785" t="s">
        <v>132</v>
      </c>
      <c r="D36" s="785"/>
      <c r="E36" s="785"/>
      <c r="F36" s="785"/>
      <c r="G36" s="785"/>
      <c r="H36" s="785"/>
      <c r="I36" s="786"/>
    </row>
    <row r="37" spans="1:9" s="170" customFormat="1" ht="11.25" x14ac:dyDescent="0.2">
      <c r="A37" s="213">
        <v>28884</v>
      </c>
      <c r="B37" s="213">
        <v>22641</v>
      </c>
      <c r="C37" s="787" t="s">
        <v>731</v>
      </c>
      <c r="D37" s="787"/>
      <c r="E37" s="787"/>
      <c r="F37" s="787"/>
      <c r="G37" s="787"/>
      <c r="H37" s="787"/>
      <c r="I37" s="787"/>
    </row>
    <row r="38" spans="1:9" s="174" customFormat="1" ht="10.5" x14ac:dyDescent="0.15">
      <c r="A38" s="214">
        <f>SUM(A37:A37)</f>
        <v>28884</v>
      </c>
      <c r="B38" s="214">
        <f>SUM(B37:B37)</f>
        <v>22641</v>
      </c>
      <c r="C38" s="788" t="s">
        <v>120</v>
      </c>
      <c r="D38" s="789"/>
      <c r="E38" s="789"/>
      <c r="F38" s="789"/>
      <c r="G38" s="789"/>
      <c r="H38" s="789"/>
      <c r="I38" s="790"/>
    </row>
    <row r="39" spans="1:9" s="170" customFormat="1" ht="11.25" x14ac:dyDescent="0.2">
      <c r="C39" s="212"/>
    </row>
    <row r="40" spans="1:9" s="170" customFormat="1" ht="11.25" x14ac:dyDescent="0.2">
      <c r="C40" s="212"/>
    </row>
    <row r="41" spans="1:9" s="170" customFormat="1" ht="11.25" x14ac:dyDescent="0.2">
      <c r="A41" s="781" t="s">
        <v>177</v>
      </c>
      <c r="B41" s="766"/>
      <c r="C41" s="766"/>
      <c r="D41" s="766"/>
      <c r="E41" s="766"/>
      <c r="F41" s="766"/>
      <c r="G41" s="766"/>
      <c r="H41" s="766"/>
      <c r="I41" s="766"/>
    </row>
    <row r="42" spans="1:9" s="170" customFormat="1" ht="11.25" x14ac:dyDescent="0.2">
      <c r="C42" s="212"/>
    </row>
    <row r="43" spans="1:9" s="216" customFormat="1" ht="31.5" x14ac:dyDescent="0.25">
      <c r="A43" s="767" t="s">
        <v>135</v>
      </c>
      <c r="B43" s="768"/>
      <c r="C43" s="215" t="s">
        <v>136</v>
      </c>
      <c r="D43" s="215" t="s">
        <v>137</v>
      </c>
      <c r="E43" s="215" t="s">
        <v>138</v>
      </c>
      <c r="F43" s="215" t="s">
        <v>139</v>
      </c>
      <c r="G43" s="215" t="s">
        <v>140</v>
      </c>
    </row>
    <row r="44" spans="1:9" s="170" customFormat="1" ht="12" customHeight="1" x14ac:dyDescent="0.2">
      <c r="A44" s="769" t="s">
        <v>732</v>
      </c>
      <c r="B44" s="770"/>
      <c r="C44" s="236" t="s">
        <v>733</v>
      </c>
      <c r="D44" s="237"/>
      <c r="E44" s="237">
        <v>25000</v>
      </c>
      <c r="F44" s="504">
        <v>43281</v>
      </c>
      <c r="G44" s="504">
        <v>43281</v>
      </c>
    </row>
    <row r="45" spans="1:9" s="170" customFormat="1" ht="12" customHeight="1" x14ac:dyDescent="0.2">
      <c r="A45" s="769" t="s">
        <v>734</v>
      </c>
      <c r="B45" s="770"/>
      <c r="C45" s="236" t="s">
        <v>735</v>
      </c>
      <c r="D45" s="237"/>
      <c r="E45" s="237">
        <v>-1500</v>
      </c>
      <c r="F45" s="504">
        <v>43281</v>
      </c>
      <c r="G45" s="504">
        <v>43281</v>
      </c>
    </row>
    <row r="46" spans="1:9" s="170" customFormat="1" ht="12" customHeight="1" x14ac:dyDescent="0.2">
      <c r="A46" s="769" t="s">
        <v>736</v>
      </c>
      <c r="B46" s="770"/>
      <c r="C46" s="236" t="s">
        <v>737</v>
      </c>
      <c r="D46" s="237"/>
      <c r="E46" s="237">
        <v>1500</v>
      </c>
      <c r="F46" s="504">
        <v>43281</v>
      </c>
      <c r="G46" s="504">
        <v>43281</v>
      </c>
    </row>
    <row r="47" spans="1:9" s="170" customFormat="1" ht="12" customHeight="1" x14ac:dyDescent="0.2">
      <c r="A47" s="769" t="s">
        <v>738</v>
      </c>
      <c r="B47" s="770"/>
      <c r="C47" s="236" t="s">
        <v>237</v>
      </c>
      <c r="D47" s="237"/>
      <c r="E47" s="237">
        <v>-23460</v>
      </c>
      <c r="F47" s="504">
        <v>43281</v>
      </c>
      <c r="G47" s="504">
        <v>43281</v>
      </c>
    </row>
    <row r="48" spans="1:9" s="170" customFormat="1" ht="12" customHeight="1" x14ac:dyDescent="0.2">
      <c r="A48" s="769" t="s">
        <v>739</v>
      </c>
      <c r="B48" s="770"/>
      <c r="C48" s="236" t="s">
        <v>740</v>
      </c>
      <c r="D48" s="237"/>
      <c r="E48" s="237">
        <v>36000</v>
      </c>
      <c r="F48" s="504">
        <v>43281</v>
      </c>
      <c r="G48" s="504">
        <v>43281</v>
      </c>
    </row>
    <row r="49" spans="1:7" s="170" customFormat="1" ht="11.25" x14ac:dyDescent="0.2">
      <c r="A49" s="769" t="s">
        <v>741</v>
      </c>
      <c r="B49" s="770"/>
      <c r="C49" s="236" t="s">
        <v>742</v>
      </c>
      <c r="D49" s="237">
        <v>22641</v>
      </c>
      <c r="E49" s="237"/>
      <c r="F49" s="504">
        <v>43281</v>
      </c>
      <c r="G49" s="504">
        <v>43281</v>
      </c>
    </row>
    <row r="50" spans="1:7" s="170" customFormat="1" ht="12" customHeight="1" x14ac:dyDescent="0.2">
      <c r="A50" s="769" t="s">
        <v>743</v>
      </c>
      <c r="B50" s="770"/>
      <c r="C50" s="236" t="s">
        <v>744</v>
      </c>
      <c r="D50" s="237">
        <v>406</v>
      </c>
      <c r="E50" s="237"/>
      <c r="F50" s="504">
        <v>43281</v>
      </c>
      <c r="G50" s="504">
        <v>43281</v>
      </c>
    </row>
    <row r="51" spans="1:7" s="170" customFormat="1" ht="12" customHeight="1" x14ac:dyDescent="0.2">
      <c r="A51" s="769" t="s">
        <v>745</v>
      </c>
      <c r="B51" s="770"/>
      <c r="C51" s="236" t="s">
        <v>746</v>
      </c>
      <c r="D51" s="237">
        <v>1800</v>
      </c>
      <c r="E51" s="237"/>
      <c r="F51" s="504">
        <v>43281</v>
      </c>
      <c r="G51" s="504">
        <v>43281</v>
      </c>
    </row>
    <row r="52" spans="1:7" s="170" customFormat="1" ht="12" customHeight="1" x14ac:dyDescent="0.2">
      <c r="A52" s="769" t="s">
        <v>747</v>
      </c>
      <c r="B52" s="770"/>
      <c r="C52" s="236" t="s">
        <v>568</v>
      </c>
      <c r="D52" s="237">
        <v>12693</v>
      </c>
      <c r="E52" s="237"/>
      <c r="F52" s="504">
        <v>43281</v>
      </c>
      <c r="G52" s="504">
        <v>43281</v>
      </c>
    </row>
    <row r="53" spans="1:7" s="170" customFormat="1" ht="12" customHeight="1" x14ac:dyDescent="0.2">
      <c r="A53" s="769" t="s">
        <v>748</v>
      </c>
      <c r="B53" s="770"/>
      <c r="C53" s="236" t="s">
        <v>749</v>
      </c>
      <c r="D53" s="237">
        <v>24900</v>
      </c>
      <c r="E53" s="237"/>
      <c r="F53" s="504">
        <v>43210</v>
      </c>
      <c r="G53" s="504">
        <v>43210</v>
      </c>
    </row>
    <row r="54" spans="1:7" s="170" customFormat="1" ht="12" customHeight="1" x14ac:dyDescent="0.2">
      <c r="A54" s="769" t="s">
        <v>750</v>
      </c>
      <c r="B54" s="770"/>
      <c r="C54" s="236" t="s">
        <v>751</v>
      </c>
      <c r="D54" s="237"/>
      <c r="E54" s="237">
        <v>24900</v>
      </c>
      <c r="F54" s="504">
        <v>43210</v>
      </c>
      <c r="G54" s="504">
        <v>43210</v>
      </c>
    </row>
    <row r="55" spans="1:7" s="170" customFormat="1" ht="12" customHeight="1" x14ac:dyDescent="0.2">
      <c r="A55" s="769" t="s">
        <v>752</v>
      </c>
      <c r="B55" s="770"/>
      <c r="C55" s="236" t="s">
        <v>749</v>
      </c>
      <c r="D55" s="237">
        <v>9625</v>
      </c>
      <c r="E55" s="237"/>
      <c r="F55" s="504">
        <v>43132</v>
      </c>
      <c r="G55" s="504">
        <v>43132</v>
      </c>
    </row>
    <row r="56" spans="1:7" s="170" customFormat="1" ht="12" customHeight="1" x14ac:dyDescent="0.2">
      <c r="A56" s="769" t="s">
        <v>753</v>
      </c>
      <c r="B56" s="770"/>
      <c r="C56" s="236" t="s">
        <v>754</v>
      </c>
      <c r="D56" s="237"/>
      <c r="E56" s="237">
        <v>9625</v>
      </c>
      <c r="F56" s="504">
        <v>43132</v>
      </c>
      <c r="G56" s="504">
        <v>43132</v>
      </c>
    </row>
    <row r="57" spans="1:7" s="170" customFormat="1" ht="12" customHeight="1" x14ac:dyDescent="0.2">
      <c r="A57" s="769" t="s">
        <v>755</v>
      </c>
      <c r="B57" s="770"/>
      <c r="C57" s="236" t="s">
        <v>756</v>
      </c>
      <c r="D57" s="237">
        <f>510882.41-D55-D53-D65</f>
        <v>421793.97</v>
      </c>
      <c r="E57" s="237"/>
      <c r="F57" s="504">
        <v>43281</v>
      </c>
      <c r="G57" s="504">
        <v>43281</v>
      </c>
    </row>
    <row r="58" spans="1:7" s="170" customFormat="1" ht="41.25" customHeight="1" x14ac:dyDescent="0.2">
      <c r="A58" s="769" t="s">
        <v>757</v>
      </c>
      <c r="B58" s="770"/>
      <c r="C58" s="622" t="s">
        <v>758</v>
      </c>
      <c r="D58" s="237"/>
      <c r="E58" s="237">
        <v>32460</v>
      </c>
      <c r="F58" s="504">
        <v>43281</v>
      </c>
      <c r="G58" s="504">
        <v>43281</v>
      </c>
    </row>
    <row r="59" spans="1:7" s="170" customFormat="1" ht="12" customHeight="1" x14ac:dyDescent="0.2">
      <c r="A59" s="769" t="s">
        <v>759</v>
      </c>
      <c r="B59" s="770"/>
      <c r="C59" s="236" t="s">
        <v>760</v>
      </c>
      <c r="D59" s="237"/>
      <c r="E59" s="237">
        <v>20000</v>
      </c>
      <c r="F59" s="504">
        <v>43281</v>
      </c>
      <c r="G59" s="504">
        <v>43281</v>
      </c>
    </row>
    <row r="60" spans="1:7" s="170" customFormat="1" ht="12" customHeight="1" x14ac:dyDescent="0.2">
      <c r="A60" s="769" t="s">
        <v>761</v>
      </c>
      <c r="B60" s="770"/>
      <c r="C60" s="236" t="s">
        <v>576</v>
      </c>
      <c r="D60" s="237"/>
      <c r="E60" s="237">
        <f>65625-E56</f>
        <v>56000</v>
      </c>
      <c r="F60" s="504">
        <v>43281</v>
      </c>
      <c r="G60" s="504">
        <v>43281</v>
      </c>
    </row>
    <row r="61" spans="1:7" s="170" customFormat="1" ht="12" customHeight="1" x14ac:dyDescent="0.2">
      <c r="A61" s="769" t="s">
        <v>762</v>
      </c>
      <c r="B61" s="770"/>
      <c r="C61" s="236" t="s">
        <v>763</v>
      </c>
      <c r="D61" s="237"/>
      <c r="E61" s="237">
        <f>277111-E54</f>
        <v>252211</v>
      </c>
      <c r="F61" s="504">
        <v>43281</v>
      </c>
      <c r="G61" s="504">
        <v>43281</v>
      </c>
    </row>
    <row r="62" spans="1:7" s="170" customFormat="1" ht="41.25" customHeight="1" x14ac:dyDescent="0.2">
      <c r="A62" s="769" t="s">
        <v>764</v>
      </c>
      <c r="B62" s="770"/>
      <c r="C62" s="622" t="s">
        <v>765</v>
      </c>
      <c r="D62" s="237"/>
      <c r="E62" s="237">
        <v>48552.41</v>
      </c>
      <c r="F62" s="504">
        <v>43281</v>
      </c>
      <c r="G62" s="504">
        <v>43281</v>
      </c>
    </row>
    <row r="63" spans="1:7" s="170" customFormat="1" ht="12" customHeight="1" x14ac:dyDescent="0.2">
      <c r="A63" s="769" t="s">
        <v>764</v>
      </c>
      <c r="B63" s="770"/>
      <c r="C63" s="236" t="s">
        <v>585</v>
      </c>
      <c r="D63" s="237"/>
      <c r="E63" s="237">
        <v>2771</v>
      </c>
      <c r="F63" s="504">
        <v>43281</v>
      </c>
      <c r="G63" s="504">
        <v>43281</v>
      </c>
    </row>
    <row r="64" spans="1:7" s="170" customFormat="1" ht="12" customHeight="1" x14ac:dyDescent="0.2">
      <c r="A64" s="769" t="s">
        <v>764</v>
      </c>
      <c r="B64" s="770"/>
      <c r="C64" s="236" t="s">
        <v>237</v>
      </c>
      <c r="D64" s="237"/>
      <c r="E64" s="237">
        <v>64363</v>
      </c>
      <c r="F64" s="504">
        <v>43281</v>
      </c>
      <c r="G64" s="504">
        <v>43281</v>
      </c>
    </row>
    <row r="65" spans="1:9" s="170" customFormat="1" ht="11.25" x14ac:dyDescent="0.2">
      <c r="A65" s="769" t="s">
        <v>766</v>
      </c>
      <c r="B65" s="770"/>
      <c r="C65" s="236" t="s">
        <v>767</v>
      </c>
      <c r="D65" s="237">
        <v>54563.44</v>
      </c>
      <c r="E65" s="237"/>
      <c r="F65" s="504">
        <v>43281</v>
      </c>
      <c r="G65" s="504">
        <v>43281</v>
      </c>
    </row>
    <row r="66" spans="1:9" s="170" customFormat="1" ht="11.25" x14ac:dyDescent="0.2">
      <c r="A66" s="773" t="s">
        <v>178</v>
      </c>
      <c r="B66" s="774"/>
      <c r="C66" s="233"/>
      <c r="D66" s="234">
        <f>SUM(D44:D65)</f>
        <v>548422.40999999992</v>
      </c>
      <c r="E66" s="234">
        <f>SUM(E44:E65)</f>
        <v>548422.41</v>
      </c>
      <c r="F66" s="795"/>
      <c r="G66" s="796"/>
    </row>
    <row r="67" spans="1:9" s="170" customFormat="1" ht="15" x14ac:dyDescent="0.25">
      <c r="A67" s="782"/>
      <c r="B67" s="783"/>
      <c r="C67" s="212"/>
    </row>
    <row r="68" spans="1:9" s="170" customFormat="1" ht="11.25" x14ac:dyDescent="0.2">
      <c r="A68" s="235"/>
      <c r="C68" s="212"/>
    </row>
    <row r="69" spans="1:9" s="170" customFormat="1" ht="11.25" x14ac:dyDescent="0.2">
      <c r="A69" s="766" t="s">
        <v>180</v>
      </c>
      <c r="B69" s="766"/>
      <c r="C69" s="766"/>
      <c r="D69" s="766"/>
      <c r="E69" s="766"/>
      <c r="F69" s="766"/>
      <c r="G69" s="766"/>
      <c r="H69" s="766"/>
      <c r="I69" s="766"/>
    </row>
    <row r="70" spans="1:9" s="170" customFormat="1" ht="11.25" x14ac:dyDescent="0.2">
      <c r="C70" s="212"/>
    </row>
    <row r="71" spans="1:9" s="216" customFormat="1" ht="31.5" x14ac:dyDescent="0.25">
      <c r="A71" s="767" t="s">
        <v>135</v>
      </c>
      <c r="B71" s="768"/>
      <c r="C71" s="215" t="s">
        <v>136</v>
      </c>
      <c r="D71" s="215" t="s">
        <v>137</v>
      </c>
      <c r="E71" s="215" t="s">
        <v>138</v>
      </c>
      <c r="F71" s="215" t="s">
        <v>139</v>
      </c>
      <c r="G71" s="215" t="s">
        <v>140</v>
      </c>
    </row>
    <row r="72" spans="1:9" s="170" customFormat="1" ht="38.25" customHeight="1" x14ac:dyDescent="0.2">
      <c r="A72" s="769" t="s">
        <v>768</v>
      </c>
      <c r="B72" s="770"/>
      <c r="C72" s="622" t="s">
        <v>769</v>
      </c>
      <c r="D72" s="237"/>
      <c r="E72" s="237">
        <v>4500</v>
      </c>
      <c r="F72" s="504">
        <v>43281</v>
      </c>
      <c r="G72" s="504">
        <v>43281</v>
      </c>
    </row>
    <row r="73" spans="1:9" s="170" customFormat="1" ht="11.25" customHeight="1" x14ac:dyDescent="0.2">
      <c r="A73" s="769" t="s">
        <v>770</v>
      </c>
      <c r="B73" s="770"/>
      <c r="C73" s="236" t="s">
        <v>771</v>
      </c>
      <c r="D73" s="237"/>
      <c r="E73" s="237">
        <v>35873</v>
      </c>
      <c r="F73" s="504">
        <v>43281</v>
      </c>
      <c r="G73" s="504">
        <v>43281</v>
      </c>
    </row>
    <row r="74" spans="1:9" s="170" customFormat="1" ht="11.25" customHeight="1" x14ac:dyDescent="0.2">
      <c r="A74" s="769" t="s">
        <v>772</v>
      </c>
      <c r="B74" s="770"/>
      <c r="C74" s="236" t="s">
        <v>773</v>
      </c>
      <c r="D74" s="237"/>
      <c r="E74" s="237">
        <v>8968.25</v>
      </c>
      <c r="F74" s="504">
        <v>43281</v>
      </c>
      <c r="G74" s="504">
        <v>43281</v>
      </c>
    </row>
    <row r="75" spans="1:9" s="170" customFormat="1" ht="11.25" customHeight="1" x14ac:dyDescent="0.2">
      <c r="A75" s="769" t="s">
        <v>774</v>
      </c>
      <c r="B75" s="770"/>
      <c r="C75" s="236" t="s">
        <v>775</v>
      </c>
      <c r="D75" s="237"/>
      <c r="E75" s="237">
        <v>3228.51</v>
      </c>
      <c r="F75" s="504">
        <v>43281</v>
      </c>
      <c r="G75" s="504">
        <v>43281</v>
      </c>
    </row>
    <row r="76" spans="1:9" s="170" customFormat="1" ht="11.25" customHeight="1" x14ac:dyDescent="0.2">
      <c r="A76" s="769" t="s">
        <v>776</v>
      </c>
      <c r="B76" s="770"/>
      <c r="C76" s="236" t="s">
        <v>777</v>
      </c>
      <c r="D76" s="237"/>
      <c r="E76" s="237">
        <v>318.66000000000003</v>
      </c>
      <c r="F76" s="504">
        <v>43281</v>
      </c>
      <c r="G76" s="504">
        <v>43281</v>
      </c>
    </row>
    <row r="77" spans="1:9" s="170" customFormat="1" ht="11.25" customHeight="1" x14ac:dyDescent="0.2">
      <c r="A77" s="769" t="s">
        <v>778</v>
      </c>
      <c r="B77" s="770"/>
      <c r="C77" s="236" t="s">
        <v>779</v>
      </c>
      <c r="D77" s="237"/>
      <c r="E77" s="237">
        <v>1517.4</v>
      </c>
      <c r="F77" s="504">
        <v>43281</v>
      </c>
      <c r="G77" s="504">
        <v>43281</v>
      </c>
    </row>
    <row r="78" spans="1:9" s="170" customFormat="1" ht="11.25" customHeight="1" x14ac:dyDescent="0.2">
      <c r="A78" s="769" t="s">
        <v>780</v>
      </c>
      <c r="B78" s="770"/>
      <c r="C78" s="236" t="s">
        <v>781</v>
      </c>
      <c r="D78" s="237">
        <v>40307.5</v>
      </c>
      <c r="E78" s="237"/>
      <c r="F78" s="504">
        <v>43281</v>
      </c>
      <c r="G78" s="504">
        <v>43281</v>
      </c>
    </row>
    <row r="79" spans="1:9" s="170" customFormat="1" ht="11.25" customHeight="1" x14ac:dyDescent="0.2">
      <c r="A79" s="769" t="s">
        <v>782</v>
      </c>
      <c r="B79" s="770"/>
      <c r="C79" s="236" t="s">
        <v>783</v>
      </c>
      <c r="D79" s="237"/>
      <c r="E79" s="237">
        <v>-14098.32</v>
      </c>
      <c r="F79" s="504">
        <v>43281</v>
      </c>
      <c r="G79" s="504">
        <v>43281</v>
      </c>
    </row>
    <row r="80" spans="1:9" s="170" customFormat="1" ht="11.25" x14ac:dyDescent="0.2">
      <c r="A80" s="773" t="s">
        <v>178</v>
      </c>
      <c r="B80" s="774"/>
      <c r="C80" s="233"/>
      <c r="D80" s="234">
        <f>SUM(D72:D79)</f>
        <v>40307.5</v>
      </c>
      <c r="E80" s="234">
        <f>SUM(E72:E79)</f>
        <v>40307.500000000007</v>
      </c>
      <c r="F80" s="775"/>
      <c r="G80" s="776"/>
    </row>
    <row r="81" spans="1:9" s="170" customFormat="1" ht="11.25" x14ac:dyDescent="0.2">
      <c r="C81" s="212"/>
    </row>
    <row r="82" spans="1:9" s="170" customFormat="1" ht="11.25" x14ac:dyDescent="0.2">
      <c r="C82" s="212"/>
    </row>
    <row r="83" spans="1:9" s="177" customFormat="1" ht="11.25" x14ac:dyDescent="0.2">
      <c r="A83" s="777" t="s">
        <v>238</v>
      </c>
      <c r="B83" s="777"/>
      <c r="C83" s="777"/>
      <c r="D83" s="777"/>
      <c r="E83" s="777"/>
      <c r="F83" s="777"/>
      <c r="G83" s="777"/>
      <c r="H83" s="777"/>
      <c r="I83" s="777"/>
    </row>
    <row r="84" spans="1:9" s="170" customFormat="1" ht="11.25" x14ac:dyDescent="0.2">
      <c r="A84" s="170" t="s">
        <v>784</v>
      </c>
    </row>
    <row r="85" spans="1:9" s="170" customFormat="1" ht="11.25" x14ac:dyDescent="0.2">
      <c r="A85" s="778"/>
      <c r="B85" s="779"/>
      <c r="C85" s="779"/>
      <c r="D85" s="779"/>
      <c r="E85" s="779"/>
      <c r="F85" s="779"/>
      <c r="G85" s="779"/>
      <c r="H85" s="779"/>
      <c r="I85" s="780"/>
    </row>
    <row r="86" spans="1:9" s="170" customFormat="1" ht="11.25" x14ac:dyDescent="0.2"/>
    <row r="87" spans="1:9" s="169" customFormat="1" ht="10.5" x14ac:dyDescent="0.15">
      <c r="A87" s="781" t="s">
        <v>165</v>
      </c>
      <c r="B87" s="781"/>
      <c r="C87" s="781"/>
      <c r="D87" s="781"/>
      <c r="E87" s="781"/>
      <c r="F87" s="781"/>
      <c r="G87" s="781"/>
      <c r="H87" s="781"/>
      <c r="I87" s="781"/>
    </row>
    <row r="88" spans="1:9" s="170" customFormat="1" ht="11.25" x14ac:dyDescent="0.2">
      <c r="A88" s="170" t="s">
        <v>785</v>
      </c>
    </row>
    <row r="89" spans="1:9" s="170" customFormat="1" ht="16.5" customHeight="1" x14ac:dyDescent="0.2">
      <c r="A89" s="170" t="s">
        <v>786</v>
      </c>
    </row>
    <row r="90" spans="1:9" s="170" customFormat="1" ht="39" customHeight="1" x14ac:dyDescent="0.2">
      <c r="A90" s="840"/>
      <c r="B90" s="841"/>
      <c r="C90" s="841"/>
      <c r="D90" s="841"/>
      <c r="E90" s="841"/>
      <c r="F90" s="841"/>
      <c r="G90" s="841"/>
      <c r="H90" s="841"/>
      <c r="I90" s="842"/>
    </row>
    <row r="91" spans="1:9" s="170" customFormat="1" ht="18.75" customHeight="1" x14ac:dyDescent="0.2">
      <c r="A91" s="763"/>
      <c r="B91" s="764"/>
      <c r="C91" s="764"/>
      <c r="D91" s="764"/>
      <c r="E91" s="764"/>
      <c r="F91" s="764"/>
      <c r="G91" s="764"/>
      <c r="H91" s="764"/>
      <c r="I91" s="765"/>
    </row>
    <row r="92" spans="1:9" x14ac:dyDescent="0.2">
      <c r="A92" s="4" t="s">
        <v>362</v>
      </c>
      <c r="B92" s="4" t="s">
        <v>787</v>
      </c>
    </row>
    <row r="93" spans="1:9" ht="14.25" customHeight="1" x14ac:dyDescent="0.2">
      <c r="A93" s="246" t="s">
        <v>364</v>
      </c>
      <c r="B93" s="333">
        <v>43315</v>
      </c>
    </row>
    <row r="94" spans="1:9" ht="13.5" customHeight="1" x14ac:dyDescent="0.2">
      <c r="A94" s="246"/>
    </row>
  </sheetData>
  <mergeCells count="79">
    <mergeCell ref="F13:G13"/>
    <mergeCell ref="H13:I13"/>
    <mergeCell ref="A3:I3"/>
    <mergeCell ref="A5:B5"/>
    <mergeCell ref="D5:I5"/>
    <mergeCell ref="A6:B6"/>
    <mergeCell ref="D6:I6"/>
    <mergeCell ref="A7:B7"/>
    <mergeCell ref="D7:I7"/>
    <mergeCell ref="A8:B8"/>
    <mergeCell ref="D8:I8"/>
    <mergeCell ref="A10:I10"/>
    <mergeCell ref="F12:G12"/>
    <mergeCell ref="H12:I12"/>
    <mergeCell ref="D23:I23"/>
    <mergeCell ref="F14:G14"/>
    <mergeCell ref="H14:I14"/>
    <mergeCell ref="F15:G15"/>
    <mergeCell ref="H15:I15"/>
    <mergeCell ref="F16:G16"/>
    <mergeCell ref="H16:I16"/>
    <mergeCell ref="F17:G17"/>
    <mergeCell ref="H17:I17"/>
    <mergeCell ref="F18:G18"/>
    <mergeCell ref="A20:I20"/>
    <mergeCell ref="D22:I22"/>
    <mergeCell ref="A44:B44"/>
    <mergeCell ref="C24:I24"/>
    <mergeCell ref="A27:I27"/>
    <mergeCell ref="D29:I29"/>
    <mergeCell ref="D30:I30"/>
    <mergeCell ref="C31:I31"/>
    <mergeCell ref="A34:I34"/>
    <mergeCell ref="C36:I36"/>
    <mergeCell ref="C37:I37"/>
    <mergeCell ref="C38:I38"/>
    <mergeCell ref="A41:I41"/>
    <mergeCell ref="A43:B43"/>
    <mergeCell ref="A56:B56"/>
    <mergeCell ref="A45:B45"/>
    <mergeCell ref="A46:B46"/>
    <mergeCell ref="A47:B47"/>
    <mergeCell ref="A48:B48"/>
    <mergeCell ref="A49:B49"/>
    <mergeCell ref="A50:B50"/>
    <mergeCell ref="A51:B51"/>
    <mergeCell ref="A52:B52"/>
    <mergeCell ref="A53:B53"/>
    <mergeCell ref="A54:B54"/>
    <mergeCell ref="A55:B55"/>
    <mergeCell ref="A62:B62"/>
    <mergeCell ref="A63:B63"/>
    <mergeCell ref="A64:B64"/>
    <mergeCell ref="A65:B65"/>
    <mergeCell ref="A66:B66"/>
    <mergeCell ref="A57:B57"/>
    <mergeCell ref="A58:B58"/>
    <mergeCell ref="A59:B59"/>
    <mergeCell ref="A60:B60"/>
    <mergeCell ref="A61:B61"/>
    <mergeCell ref="F66:G66"/>
    <mergeCell ref="F80:G80"/>
    <mergeCell ref="A69:I69"/>
    <mergeCell ref="A71:B71"/>
    <mergeCell ref="A72:B72"/>
    <mergeCell ref="A73:B73"/>
    <mergeCell ref="A74:B74"/>
    <mergeCell ref="A75:B75"/>
    <mergeCell ref="A76:B76"/>
    <mergeCell ref="A77:B77"/>
    <mergeCell ref="A78:B78"/>
    <mergeCell ref="A79:B79"/>
    <mergeCell ref="A80:B80"/>
    <mergeCell ref="A67:B67"/>
    <mergeCell ref="A83:I83"/>
    <mergeCell ref="A85:I85"/>
    <mergeCell ref="A87:I87"/>
    <mergeCell ref="A90:I90"/>
    <mergeCell ref="A91:I91"/>
  </mergeCells>
  <pageMargins left="0.70866141732283472" right="0.70866141732283472" top="0.78740157480314965" bottom="0.78740157480314965" header="0.31496062992125984" footer="0.31496062992125984"/>
  <pageSetup paperSize="9" scale="50" firstPageNumber="106" orientation="portrait" useFirstPageNumber="1" r:id="rId1"/>
  <headerFoot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8"/>
  <sheetViews>
    <sheetView workbookViewId="0">
      <selection activeCell="C51" sqref="C51"/>
    </sheetView>
  </sheetViews>
  <sheetFormatPr defaultColWidth="3.7109375" defaultRowHeight="15" x14ac:dyDescent="0.25"/>
  <cols>
    <col min="1" max="1" width="3.140625" style="2" customWidth="1"/>
    <col min="2" max="2" width="3.7109375" style="3" customWidth="1"/>
    <col min="3" max="3" width="21" style="3" customWidth="1"/>
    <col min="4" max="4" width="4.85546875" style="3" customWidth="1"/>
    <col min="5" max="7" width="6.28515625" style="3" customWidth="1"/>
    <col min="8" max="8" width="5" style="3" customWidth="1"/>
    <col min="9" max="12" width="6.28515625" style="3" customWidth="1"/>
    <col min="13" max="13" width="5" style="3" customWidth="1"/>
    <col min="14" max="17" width="6.28515625" style="3" customWidth="1"/>
    <col min="18" max="18" width="5" style="3" customWidth="1"/>
    <col min="19" max="22" width="6.28515625" style="3" customWidth="1"/>
    <col min="23" max="23" width="5" style="3" customWidth="1"/>
    <col min="24" max="24" width="6.28515625" style="3" customWidth="1"/>
    <col min="25" max="16384" width="3.7109375" style="3"/>
  </cols>
  <sheetData>
    <row r="1" spans="1:24" s="6" customFormat="1" ht="15.75" x14ac:dyDescent="0.25">
      <c r="A1" s="759" t="s">
        <v>91</v>
      </c>
      <c r="B1" s="759"/>
      <c r="C1" s="759"/>
      <c r="D1" s="759"/>
      <c r="E1" s="759"/>
      <c r="F1" s="759"/>
      <c r="G1" s="759"/>
      <c r="H1" s="759"/>
      <c r="I1" s="759"/>
      <c r="J1" s="759"/>
      <c r="K1" s="759"/>
      <c r="L1" s="759"/>
      <c r="M1" s="759"/>
      <c r="N1" s="759"/>
      <c r="O1" s="759"/>
      <c r="P1" s="759"/>
      <c r="Q1" s="759"/>
      <c r="R1" s="759"/>
      <c r="S1" s="759"/>
      <c r="T1" s="759"/>
      <c r="U1" s="759"/>
      <c r="V1" s="759"/>
      <c r="W1" s="759"/>
      <c r="X1" s="759"/>
    </row>
    <row r="3" spans="1:24" s="7" customFormat="1" ht="9.75" customHeight="1" x14ac:dyDescent="0.2">
      <c r="A3" s="898" t="s">
        <v>1</v>
      </c>
      <c r="B3" s="900" t="s">
        <v>2</v>
      </c>
      <c r="C3" s="899"/>
      <c r="D3" s="900" t="s">
        <v>3</v>
      </c>
      <c r="E3" s="762" t="s">
        <v>4</v>
      </c>
      <c r="F3" s="762"/>
      <c r="G3" s="762"/>
      <c r="H3" s="762"/>
      <c r="I3" s="762"/>
      <c r="J3" s="762" t="s">
        <v>5</v>
      </c>
      <c r="K3" s="762"/>
      <c r="L3" s="762"/>
      <c r="M3" s="762"/>
      <c r="N3" s="762"/>
      <c r="O3" s="762" t="s">
        <v>6</v>
      </c>
      <c r="P3" s="762"/>
      <c r="Q3" s="762"/>
      <c r="R3" s="762"/>
      <c r="S3" s="762"/>
      <c r="T3" s="762" t="s">
        <v>7</v>
      </c>
      <c r="U3" s="762"/>
      <c r="V3" s="762"/>
      <c r="W3" s="762"/>
      <c r="X3" s="762"/>
    </row>
    <row r="4" spans="1:24" s="8" customFormat="1" ht="9.75" customHeight="1" x14ac:dyDescent="0.2">
      <c r="A4" s="899"/>
      <c r="B4" s="899"/>
      <c r="C4" s="899"/>
      <c r="D4" s="900"/>
      <c r="E4" s="754" t="s">
        <v>8</v>
      </c>
      <c r="F4" s="755" t="s">
        <v>9</v>
      </c>
      <c r="G4" s="755"/>
      <c r="H4" s="755"/>
      <c r="I4" s="752" t="s">
        <v>10</v>
      </c>
      <c r="J4" s="754" t="s">
        <v>8</v>
      </c>
      <c r="K4" s="755" t="s">
        <v>9</v>
      </c>
      <c r="L4" s="755"/>
      <c r="M4" s="755"/>
      <c r="N4" s="752" t="s">
        <v>10</v>
      </c>
      <c r="O4" s="754" t="s">
        <v>8</v>
      </c>
      <c r="P4" s="755" t="s">
        <v>9</v>
      </c>
      <c r="Q4" s="755"/>
      <c r="R4" s="755"/>
      <c r="S4" s="752" t="s">
        <v>10</v>
      </c>
      <c r="T4" s="754" t="s">
        <v>8</v>
      </c>
      <c r="U4" s="755" t="s">
        <v>9</v>
      </c>
      <c r="V4" s="755"/>
      <c r="W4" s="755"/>
      <c r="X4" s="752" t="s">
        <v>10</v>
      </c>
    </row>
    <row r="5" spans="1:24" s="10" customFormat="1" ht="9.75" customHeight="1" x14ac:dyDescent="0.2">
      <c r="A5" s="899"/>
      <c r="B5" s="899"/>
      <c r="C5" s="899"/>
      <c r="D5" s="900"/>
      <c r="E5" s="754"/>
      <c r="F5" s="9" t="s">
        <v>11</v>
      </c>
      <c r="G5" s="9" t="s">
        <v>12</v>
      </c>
      <c r="H5" s="9" t="s">
        <v>13</v>
      </c>
      <c r="I5" s="752"/>
      <c r="J5" s="754"/>
      <c r="K5" s="9" t="s">
        <v>11</v>
      </c>
      <c r="L5" s="9" t="s">
        <v>12</v>
      </c>
      <c r="M5" s="9" t="s">
        <v>13</v>
      </c>
      <c r="N5" s="752"/>
      <c r="O5" s="754"/>
      <c r="P5" s="9" t="s">
        <v>11</v>
      </c>
      <c r="Q5" s="9" t="s">
        <v>12</v>
      </c>
      <c r="R5" s="9" t="s">
        <v>13</v>
      </c>
      <c r="S5" s="752"/>
      <c r="T5" s="754"/>
      <c r="U5" s="9" t="s">
        <v>11</v>
      </c>
      <c r="V5" s="9" t="s">
        <v>12</v>
      </c>
      <c r="W5" s="9" t="s">
        <v>13</v>
      </c>
      <c r="X5" s="752"/>
    </row>
    <row r="6" spans="1:24" s="7" customFormat="1" ht="9.75" customHeight="1" x14ac:dyDescent="0.2">
      <c r="A6" s="11" t="s">
        <v>14</v>
      </c>
      <c r="B6" s="753" t="s">
        <v>15</v>
      </c>
      <c r="C6" s="753"/>
      <c r="D6" s="12" t="s">
        <v>16</v>
      </c>
      <c r="E6" s="52">
        <f>SUM(E7:E9)</f>
        <v>37954600</v>
      </c>
      <c r="F6" s="52">
        <f>SUM(F7:F9)</f>
        <v>38270777</v>
      </c>
      <c r="G6" s="52">
        <f>SUM(G7:G9)</f>
        <v>19521360.309999999</v>
      </c>
      <c r="H6" s="53">
        <f t="shared" ref="H6:H29" si="0">G6/F6*100</f>
        <v>51.008528805150718</v>
      </c>
      <c r="I6" s="54">
        <f>SUM(I7:I9)</f>
        <v>17369438.310000002</v>
      </c>
      <c r="J6" s="54">
        <f>SUM(J7:J9)</f>
        <v>8705000</v>
      </c>
      <c r="K6" s="52">
        <f t="shared" ref="K6:X6" si="1">SUM(K7:K9)</f>
        <v>9022877</v>
      </c>
      <c r="L6" s="52">
        <f t="shared" si="1"/>
        <v>5046815.0600000005</v>
      </c>
      <c r="M6" s="53">
        <f t="shared" ref="M6:M29" si="2">L6/K6*100</f>
        <v>55.933546029719793</v>
      </c>
      <c r="N6" s="54">
        <f t="shared" si="1"/>
        <v>5660913</v>
      </c>
      <c r="O6" s="54">
        <f t="shared" si="1"/>
        <v>29249600</v>
      </c>
      <c r="P6" s="54">
        <f t="shared" si="1"/>
        <v>29247900</v>
      </c>
      <c r="Q6" s="52">
        <f t="shared" si="1"/>
        <v>14474545.25</v>
      </c>
      <c r="R6" s="53">
        <f t="shared" ref="R6:R21" si="3">Q6/P6*100</f>
        <v>49.48917785550416</v>
      </c>
      <c r="S6" s="54">
        <f t="shared" si="1"/>
        <v>11708525.310000001</v>
      </c>
      <c r="T6" s="54">
        <f t="shared" si="1"/>
        <v>691200</v>
      </c>
      <c r="U6" s="52">
        <f t="shared" si="1"/>
        <v>705200</v>
      </c>
      <c r="V6" s="52">
        <f t="shared" si="1"/>
        <v>424800</v>
      </c>
      <c r="W6" s="53">
        <f t="shared" ref="W6:W33" si="4">V6/U6*100</f>
        <v>60.238230289279635</v>
      </c>
      <c r="X6" s="54">
        <f t="shared" si="1"/>
        <v>417950</v>
      </c>
    </row>
    <row r="7" spans="1:24" s="7" customFormat="1" ht="9.75" x14ac:dyDescent="0.2">
      <c r="A7" s="15" t="s">
        <v>17</v>
      </c>
      <c r="B7" s="750" t="s">
        <v>18</v>
      </c>
      <c r="C7" s="750"/>
      <c r="D7" s="16" t="s">
        <v>16</v>
      </c>
      <c r="E7" s="55">
        <f t="shared" ref="E7:G10" si="5">SUM(J7,O7)</f>
        <v>4205000</v>
      </c>
      <c r="F7" s="55">
        <f t="shared" si="5"/>
        <v>4281700</v>
      </c>
      <c r="G7" s="55">
        <f t="shared" si="5"/>
        <v>2555638.06</v>
      </c>
      <c r="H7" s="56">
        <f t="shared" si="0"/>
        <v>59.687461989396738</v>
      </c>
      <c r="I7" s="57">
        <f>SUM(N7,S7)</f>
        <v>2556713</v>
      </c>
      <c r="J7" s="58">
        <v>4205000</v>
      </c>
      <c r="K7" s="59">
        <v>4281700</v>
      </c>
      <c r="L7" s="59">
        <v>2555638.06</v>
      </c>
      <c r="M7" s="56">
        <f t="shared" si="2"/>
        <v>59.687461989396738</v>
      </c>
      <c r="N7" s="59">
        <v>2556713</v>
      </c>
      <c r="O7" s="60">
        <v>0</v>
      </c>
      <c r="P7" s="60">
        <v>0</v>
      </c>
      <c r="Q7" s="59">
        <v>0</v>
      </c>
      <c r="R7" s="56">
        <v>0</v>
      </c>
      <c r="S7" s="60"/>
      <c r="T7" s="60">
        <v>691200</v>
      </c>
      <c r="U7" s="60">
        <v>705200</v>
      </c>
      <c r="V7" s="59">
        <v>424800</v>
      </c>
      <c r="W7" s="56">
        <f t="shared" si="4"/>
        <v>60.238230289279635</v>
      </c>
      <c r="X7" s="59">
        <v>417950</v>
      </c>
    </row>
    <row r="8" spans="1:24" s="7" customFormat="1" ht="9.75" x14ac:dyDescent="0.2">
      <c r="A8" s="20" t="s">
        <v>19</v>
      </c>
      <c r="B8" s="758" t="s">
        <v>20</v>
      </c>
      <c r="C8" s="758"/>
      <c r="D8" s="16" t="s">
        <v>16</v>
      </c>
      <c r="E8" s="55">
        <f t="shared" si="5"/>
        <v>0</v>
      </c>
      <c r="F8" s="55">
        <f t="shared" si="5"/>
        <v>0</v>
      </c>
      <c r="G8" s="55">
        <f t="shared" si="5"/>
        <v>0</v>
      </c>
      <c r="H8" s="56">
        <v>0</v>
      </c>
      <c r="I8" s="57">
        <f>SUM(N8,S8)</f>
        <v>0</v>
      </c>
      <c r="J8" s="62">
        <v>0</v>
      </c>
      <c r="K8" s="55">
        <v>0</v>
      </c>
      <c r="L8" s="55">
        <v>0</v>
      </c>
      <c r="M8" s="56">
        <v>0</v>
      </c>
      <c r="N8" s="55">
        <v>0</v>
      </c>
      <c r="O8" s="57">
        <v>0</v>
      </c>
      <c r="P8" s="57">
        <v>0</v>
      </c>
      <c r="Q8" s="55">
        <v>0</v>
      </c>
      <c r="R8" s="56">
        <v>0</v>
      </c>
      <c r="S8" s="57"/>
      <c r="T8" s="57">
        <v>0</v>
      </c>
      <c r="U8" s="55">
        <v>0</v>
      </c>
      <c r="V8" s="55">
        <v>0</v>
      </c>
      <c r="W8" s="56">
        <v>0</v>
      </c>
      <c r="X8" s="57">
        <v>0</v>
      </c>
    </row>
    <row r="9" spans="1:24" s="7" customFormat="1" ht="9.75" x14ac:dyDescent="0.2">
      <c r="A9" s="20" t="s">
        <v>21</v>
      </c>
      <c r="B9" s="21" t="s">
        <v>22</v>
      </c>
      <c r="C9" s="22"/>
      <c r="D9" s="16" t="s">
        <v>16</v>
      </c>
      <c r="E9" s="55">
        <f>SUM(J9,O9)</f>
        <v>33749600</v>
      </c>
      <c r="F9" s="55">
        <f>SUM(K9,P9)</f>
        <v>33989077</v>
      </c>
      <c r="G9" s="55">
        <f t="shared" si="5"/>
        <v>16965722.25</v>
      </c>
      <c r="H9" s="56">
        <f t="shared" si="0"/>
        <v>49.91521908641414</v>
      </c>
      <c r="I9" s="57">
        <f>SUM(N9,S9)</f>
        <v>14812725.310000001</v>
      </c>
      <c r="J9" s="62">
        <v>4500000</v>
      </c>
      <c r="K9" s="55">
        <v>4741177</v>
      </c>
      <c r="L9" s="55">
        <v>2491177</v>
      </c>
      <c r="M9" s="56">
        <f t="shared" si="2"/>
        <v>52.543429616738621</v>
      </c>
      <c r="N9" s="55">
        <v>3104200</v>
      </c>
      <c r="O9" s="57">
        <f>29080350+150000+19250</f>
        <v>29249600</v>
      </c>
      <c r="P9" s="57">
        <f>29097900+150000</f>
        <v>29247900</v>
      </c>
      <c r="Q9" s="55">
        <v>14474545.25</v>
      </c>
      <c r="R9" s="56">
        <f t="shared" si="3"/>
        <v>49.48917785550416</v>
      </c>
      <c r="S9" s="55">
        <v>11708525.310000001</v>
      </c>
      <c r="T9" s="57">
        <v>0</v>
      </c>
      <c r="U9" s="55">
        <v>0</v>
      </c>
      <c r="V9" s="55">
        <v>0</v>
      </c>
      <c r="W9" s="56">
        <v>0</v>
      </c>
      <c r="X9" s="57">
        <v>0</v>
      </c>
    </row>
    <row r="10" spans="1:24" s="7" customFormat="1" ht="9.75" x14ac:dyDescent="0.2">
      <c r="A10" s="11" t="s">
        <v>23</v>
      </c>
      <c r="B10" s="753" t="s">
        <v>24</v>
      </c>
      <c r="C10" s="753"/>
      <c r="D10" s="12" t="s">
        <v>16</v>
      </c>
      <c r="E10" s="65">
        <f t="shared" si="5"/>
        <v>0</v>
      </c>
      <c r="F10" s="65">
        <f t="shared" si="5"/>
        <v>0</v>
      </c>
      <c r="G10" s="65">
        <f t="shared" si="5"/>
        <v>0</v>
      </c>
      <c r="H10" s="53">
        <v>0</v>
      </c>
      <c r="I10" s="66">
        <f>SUM(N10,S10)</f>
        <v>0</v>
      </c>
      <c r="J10" s="67"/>
      <c r="K10" s="65"/>
      <c r="L10" s="65"/>
      <c r="M10" s="53">
        <v>0</v>
      </c>
      <c r="N10" s="66"/>
      <c r="O10" s="66"/>
      <c r="P10" s="66"/>
      <c r="Q10" s="65"/>
      <c r="R10" s="53">
        <v>0</v>
      </c>
      <c r="S10" s="66"/>
      <c r="T10" s="66"/>
      <c r="U10" s="65"/>
      <c r="V10" s="65"/>
      <c r="W10" s="53">
        <v>0</v>
      </c>
      <c r="X10" s="66"/>
    </row>
    <row r="11" spans="1:24" s="7" customFormat="1" ht="9.75" x14ac:dyDescent="0.2">
      <c r="A11" s="11" t="s">
        <v>25</v>
      </c>
      <c r="B11" s="753" t="s">
        <v>26</v>
      </c>
      <c r="C11" s="753"/>
      <c r="D11" s="12" t="s">
        <v>16</v>
      </c>
      <c r="E11" s="52">
        <f>SUM(E12:E31)</f>
        <v>37954600</v>
      </c>
      <c r="F11" s="52">
        <f>SUM(F12:F31)</f>
        <v>38270777</v>
      </c>
      <c r="G11" s="52">
        <f>SUM(G12:G31)</f>
        <v>19127881.630000003</v>
      </c>
      <c r="H11" s="53">
        <f t="shared" si="0"/>
        <v>49.980384850822347</v>
      </c>
      <c r="I11" s="54">
        <f>SUM(I12:I31)</f>
        <v>16659045.129999999</v>
      </c>
      <c r="J11" s="54">
        <f>SUM(J12:J31)</f>
        <v>8705000</v>
      </c>
      <c r="K11" s="52">
        <f>SUM(K12:K31)</f>
        <v>9022877</v>
      </c>
      <c r="L11" s="52">
        <f>SUM(L12:L31)</f>
        <v>4653336.3800000008</v>
      </c>
      <c r="M11" s="53">
        <f t="shared" si="2"/>
        <v>51.572645620681747</v>
      </c>
      <c r="N11" s="54">
        <f>SUM(N12:N31)</f>
        <v>4950519.82</v>
      </c>
      <c r="O11" s="54">
        <f>SUM(O12:O31)</f>
        <v>29249600</v>
      </c>
      <c r="P11" s="54">
        <f>SUM(P12:P31)</f>
        <v>29247900</v>
      </c>
      <c r="Q11" s="52">
        <f>SUM(Q12:Q31)</f>
        <v>14474545.25</v>
      </c>
      <c r="R11" s="53">
        <f t="shared" si="3"/>
        <v>49.48917785550416</v>
      </c>
      <c r="S11" s="54">
        <f>SUM(S12:S31)</f>
        <v>11708525.310000001</v>
      </c>
      <c r="T11" s="54">
        <f>SUM(T12:T31)</f>
        <v>645361</v>
      </c>
      <c r="U11" s="52">
        <f>SUM(U12:U31)</f>
        <v>659361</v>
      </c>
      <c r="V11" s="52">
        <f>SUM(V12:V31)</f>
        <v>384351.19999999995</v>
      </c>
      <c r="W11" s="53">
        <f t="shared" si="4"/>
        <v>58.291467041575096</v>
      </c>
      <c r="X11" s="54">
        <f>SUM(X12:X31)</f>
        <v>352638.61</v>
      </c>
    </row>
    <row r="12" spans="1:24" s="7" customFormat="1" ht="9.75" x14ac:dyDescent="0.2">
      <c r="A12" s="15" t="s">
        <v>27</v>
      </c>
      <c r="B12" s="750" t="s">
        <v>28</v>
      </c>
      <c r="C12" s="750"/>
      <c r="D12" s="16" t="s">
        <v>16</v>
      </c>
      <c r="E12" s="55">
        <f t="shared" ref="E12:I29" si="6">SUM(J12,O12)</f>
        <v>4448968</v>
      </c>
      <c r="F12" s="55">
        <f>SUM(K12,P12)</f>
        <v>4782018</v>
      </c>
      <c r="G12" s="55">
        <f t="shared" si="6"/>
        <v>2781965.52</v>
      </c>
      <c r="H12" s="56">
        <f t="shared" si="0"/>
        <v>58.175555173568981</v>
      </c>
      <c r="I12" s="57">
        <f t="shared" si="6"/>
        <v>2750773.97</v>
      </c>
      <c r="J12" s="68">
        <v>4329518</v>
      </c>
      <c r="K12" s="69">
        <v>4443018</v>
      </c>
      <c r="L12" s="69">
        <v>2671223.62</v>
      </c>
      <c r="M12" s="56">
        <f t="shared" si="2"/>
        <v>60.121827550552354</v>
      </c>
      <c r="N12" s="69">
        <v>2635621.9700000002</v>
      </c>
      <c r="O12" s="71">
        <v>119450</v>
      </c>
      <c r="P12" s="71">
        <v>339000</v>
      </c>
      <c r="Q12" s="69">
        <v>110741.9</v>
      </c>
      <c r="R12" s="56">
        <f t="shared" si="3"/>
        <v>32.667227138643071</v>
      </c>
      <c r="S12" s="69">
        <v>115152</v>
      </c>
      <c r="T12" s="71">
        <v>274400</v>
      </c>
      <c r="U12" s="71">
        <v>259400</v>
      </c>
      <c r="V12" s="69">
        <v>144366.65</v>
      </c>
      <c r="W12" s="56">
        <f t="shared" si="4"/>
        <v>55.654067077872007</v>
      </c>
      <c r="X12" s="69">
        <v>148501.60999999999</v>
      </c>
    </row>
    <row r="13" spans="1:24" s="7" customFormat="1" ht="9.75" x14ac:dyDescent="0.2">
      <c r="A13" s="15" t="s">
        <v>29</v>
      </c>
      <c r="B13" s="750" t="s">
        <v>30</v>
      </c>
      <c r="C13" s="750"/>
      <c r="D13" s="16" t="s">
        <v>16</v>
      </c>
      <c r="E13" s="55">
        <f t="shared" si="6"/>
        <v>2060000</v>
      </c>
      <c r="F13" s="55">
        <f t="shared" si="6"/>
        <v>2060000</v>
      </c>
      <c r="G13" s="55">
        <f t="shared" si="6"/>
        <v>792785</v>
      </c>
      <c r="H13" s="56">
        <f t="shared" si="0"/>
        <v>38.484708737864075</v>
      </c>
      <c r="I13" s="57">
        <f t="shared" si="6"/>
        <v>1029936</v>
      </c>
      <c r="J13" s="68">
        <v>2060000</v>
      </c>
      <c r="K13" s="55">
        <v>2060000</v>
      </c>
      <c r="L13" s="55">
        <v>792785</v>
      </c>
      <c r="M13" s="56">
        <f t="shared" si="2"/>
        <v>38.484708737864075</v>
      </c>
      <c r="N13" s="55">
        <v>1029936</v>
      </c>
      <c r="O13" s="57">
        <v>0</v>
      </c>
      <c r="P13" s="57">
        <v>0</v>
      </c>
      <c r="Q13" s="55">
        <v>0</v>
      </c>
      <c r="R13" s="56">
        <v>0</v>
      </c>
      <c r="S13" s="55">
        <v>0</v>
      </c>
      <c r="T13" s="57">
        <v>105382</v>
      </c>
      <c r="U13" s="57">
        <v>105382</v>
      </c>
      <c r="V13" s="55">
        <v>65901</v>
      </c>
      <c r="W13" s="56">
        <f t="shared" si="4"/>
        <v>62.535347592567994</v>
      </c>
      <c r="X13" s="55">
        <v>62648</v>
      </c>
    </row>
    <row r="14" spans="1:24" s="7" customFormat="1" ht="9.75" x14ac:dyDescent="0.2">
      <c r="A14" s="15" t="s">
        <v>31</v>
      </c>
      <c r="B14" s="21" t="s">
        <v>32</v>
      </c>
      <c r="C14" s="21"/>
      <c r="D14" s="16" t="s">
        <v>16</v>
      </c>
      <c r="E14" s="55">
        <f t="shared" si="6"/>
        <v>0</v>
      </c>
      <c r="F14" s="55">
        <f t="shared" si="6"/>
        <v>0</v>
      </c>
      <c r="G14" s="55">
        <f t="shared" si="6"/>
        <v>0</v>
      </c>
      <c r="H14" s="56">
        <v>0</v>
      </c>
      <c r="I14" s="57">
        <f t="shared" si="6"/>
        <v>0</v>
      </c>
      <c r="J14" s="68">
        <v>0</v>
      </c>
      <c r="K14" s="55">
        <v>0</v>
      </c>
      <c r="L14" s="55">
        <v>0</v>
      </c>
      <c r="M14" s="56">
        <v>0</v>
      </c>
      <c r="N14" s="55">
        <v>0</v>
      </c>
      <c r="O14" s="57">
        <v>0</v>
      </c>
      <c r="P14" s="57">
        <v>0</v>
      </c>
      <c r="Q14" s="55">
        <v>0</v>
      </c>
      <c r="R14" s="56">
        <v>0</v>
      </c>
      <c r="S14" s="55">
        <v>0</v>
      </c>
      <c r="T14" s="57">
        <v>0</v>
      </c>
      <c r="U14" s="57">
        <v>0</v>
      </c>
      <c r="V14" s="55">
        <v>0</v>
      </c>
      <c r="W14" s="56">
        <v>0</v>
      </c>
      <c r="X14" s="55">
        <v>0</v>
      </c>
    </row>
    <row r="15" spans="1:24" s="7" customFormat="1" ht="9.75" x14ac:dyDescent="0.2">
      <c r="A15" s="15" t="s">
        <v>33</v>
      </c>
      <c r="B15" s="750" t="s">
        <v>34</v>
      </c>
      <c r="C15" s="750"/>
      <c r="D15" s="16" t="s">
        <v>16</v>
      </c>
      <c r="E15" s="55">
        <f t="shared" si="6"/>
        <v>511000</v>
      </c>
      <c r="F15" s="55">
        <f t="shared" si="6"/>
        <v>692177</v>
      </c>
      <c r="G15" s="55">
        <f t="shared" si="6"/>
        <v>327981.2</v>
      </c>
      <c r="H15" s="56">
        <f t="shared" si="0"/>
        <v>47.384007269816827</v>
      </c>
      <c r="I15" s="57">
        <f t="shared" si="6"/>
        <v>464701</v>
      </c>
      <c r="J15" s="68">
        <v>511000</v>
      </c>
      <c r="K15" s="55">
        <v>692177</v>
      </c>
      <c r="L15" s="55">
        <v>327981.2</v>
      </c>
      <c r="M15" s="56">
        <f t="shared" si="2"/>
        <v>47.384007269816827</v>
      </c>
      <c r="N15" s="55">
        <v>464701</v>
      </c>
      <c r="O15" s="57">
        <v>0</v>
      </c>
      <c r="P15" s="57">
        <v>0</v>
      </c>
      <c r="Q15" s="55">
        <v>0</v>
      </c>
      <c r="R15" s="56">
        <v>0</v>
      </c>
      <c r="S15" s="55">
        <v>0</v>
      </c>
      <c r="T15" s="57">
        <v>24000</v>
      </c>
      <c r="U15" s="57">
        <v>24000</v>
      </c>
      <c r="V15" s="55">
        <v>8475</v>
      </c>
      <c r="W15" s="56">
        <f t="shared" si="4"/>
        <v>35.3125</v>
      </c>
      <c r="X15" s="55">
        <v>6728</v>
      </c>
    </row>
    <row r="16" spans="1:24" s="7" customFormat="1" ht="9.75" x14ac:dyDescent="0.2">
      <c r="A16" s="15" t="s">
        <v>35</v>
      </c>
      <c r="B16" s="750" t="s">
        <v>36</v>
      </c>
      <c r="C16" s="750"/>
      <c r="D16" s="16" t="s">
        <v>16</v>
      </c>
      <c r="E16" s="55">
        <f t="shared" si="6"/>
        <v>49000</v>
      </c>
      <c r="F16" s="55">
        <f t="shared" si="6"/>
        <v>59000</v>
      </c>
      <c r="G16" s="55">
        <f t="shared" si="6"/>
        <v>42876.07</v>
      </c>
      <c r="H16" s="56">
        <f t="shared" si="0"/>
        <v>72.671305084745768</v>
      </c>
      <c r="I16" s="57">
        <f t="shared" si="6"/>
        <v>20359.310000000001</v>
      </c>
      <c r="J16" s="68">
        <v>4000</v>
      </c>
      <c r="K16" s="55">
        <v>4000</v>
      </c>
      <c r="L16" s="55">
        <v>156</v>
      </c>
      <c r="M16" s="56">
        <f t="shared" si="2"/>
        <v>3.9</v>
      </c>
      <c r="N16" s="55">
        <v>304</v>
      </c>
      <c r="O16" s="57">
        <v>45000</v>
      </c>
      <c r="P16" s="57">
        <v>55000</v>
      </c>
      <c r="Q16" s="55">
        <v>42720.07</v>
      </c>
      <c r="R16" s="56">
        <f t="shared" si="3"/>
        <v>77.672854545454541</v>
      </c>
      <c r="S16" s="55">
        <v>20055.310000000001</v>
      </c>
      <c r="T16" s="57">
        <v>0</v>
      </c>
      <c r="U16" s="57">
        <v>0</v>
      </c>
      <c r="V16" s="55">
        <v>0</v>
      </c>
      <c r="W16" s="56">
        <v>0</v>
      </c>
      <c r="X16" s="55">
        <v>0</v>
      </c>
    </row>
    <row r="17" spans="1:24" s="7" customFormat="1" ht="9.75" x14ac:dyDescent="0.2">
      <c r="A17" s="15" t="s">
        <v>37</v>
      </c>
      <c r="B17" s="21" t="s">
        <v>38</v>
      </c>
      <c r="C17" s="21"/>
      <c r="D17" s="16" t="s">
        <v>16</v>
      </c>
      <c r="E17" s="55">
        <f t="shared" si="6"/>
        <v>3000</v>
      </c>
      <c r="F17" s="55">
        <f t="shared" si="6"/>
        <v>3000</v>
      </c>
      <c r="G17" s="55">
        <f t="shared" si="6"/>
        <v>3374</v>
      </c>
      <c r="H17" s="56">
        <f t="shared" si="0"/>
        <v>112.46666666666667</v>
      </c>
      <c r="I17" s="57">
        <f t="shared" si="6"/>
        <v>843</v>
      </c>
      <c r="J17" s="68">
        <v>3000</v>
      </c>
      <c r="K17" s="55">
        <v>3000</v>
      </c>
      <c r="L17" s="55">
        <v>1629</v>
      </c>
      <c r="M17" s="56">
        <f t="shared" si="2"/>
        <v>54.300000000000004</v>
      </c>
      <c r="N17" s="55">
        <v>843</v>
      </c>
      <c r="O17" s="57">
        <v>0</v>
      </c>
      <c r="P17" s="57">
        <v>0</v>
      </c>
      <c r="Q17" s="55">
        <v>1745</v>
      </c>
      <c r="R17" s="56">
        <v>0</v>
      </c>
      <c r="S17" s="55">
        <v>0</v>
      </c>
      <c r="T17" s="57">
        <v>0</v>
      </c>
      <c r="U17" s="57">
        <v>0</v>
      </c>
      <c r="V17" s="55">
        <v>0</v>
      </c>
      <c r="W17" s="56">
        <v>0</v>
      </c>
      <c r="X17" s="55">
        <v>0</v>
      </c>
    </row>
    <row r="18" spans="1:24" s="7" customFormat="1" ht="9.75" x14ac:dyDescent="0.2">
      <c r="A18" s="15" t="s">
        <v>39</v>
      </c>
      <c r="B18" s="750" t="s">
        <v>40</v>
      </c>
      <c r="C18" s="750"/>
      <c r="D18" s="16" t="s">
        <v>16</v>
      </c>
      <c r="E18" s="55">
        <f t="shared" si="6"/>
        <v>748750</v>
      </c>
      <c r="F18" s="55">
        <f t="shared" si="6"/>
        <v>734940</v>
      </c>
      <c r="G18" s="55">
        <f t="shared" si="6"/>
        <v>513120.31000000006</v>
      </c>
      <c r="H18" s="56">
        <f t="shared" si="0"/>
        <v>69.817986502299505</v>
      </c>
      <c r="I18" s="57">
        <f t="shared" si="6"/>
        <v>336155.65</v>
      </c>
      <c r="J18" s="68">
        <v>445500</v>
      </c>
      <c r="K18" s="55">
        <v>450940</v>
      </c>
      <c r="L18" s="55">
        <v>277358.03000000003</v>
      </c>
      <c r="M18" s="56">
        <f t="shared" si="2"/>
        <v>61.506637246640359</v>
      </c>
      <c r="N18" s="55">
        <v>198805.65</v>
      </c>
      <c r="O18" s="57">
        <f>284000+19250</f>
        <v>303250</v>
      </c>
      <c r="P18" s="57">
        <v>284000</v>
      </c>
      <c r="Q18" s="55">
        <v>235762.28</v>
      </c>
      <c r="R18" s="56">
        <f t="shared" si="3"/>
        <v>83.014887323943668</v>
      </c>
      <c r="S18" s="55">
        <v>137350</v>
      </c>
      <c r="T18" s="57">
        <v>17336</v>
      </c>
      <c r="U18" s="57">
        <v>17336</v>
      </c>
      <c r="V18" s="55">
        <v>8908.5499999999993</v>
      </c>
      <c r="W18" s="56">
        <f t="shared" si="4"/>
        <v>51.387574988463314</v>
      </c>
      <c r="X18" s="55">
        <v>13722</v>
      </c>
    </row>
    <row r="19" spans="1:24" s="28" customFormat="1" ht="9.75" x14ac:dyDescent="0.2">
      <c r="A19" s="15" t="s">
        <v>41</v>
      </c>
      <c r="B19" s="750" t="s">
        <v>42</v>
      </c>
      <c r="C19" s="750"/>
      <c r="D19" s="16" t="s">
        <v>16</v>
      </c>
      <c r="E19" s="55">
        <f t="shared" si="6"/>
        <v>21228015</v>
      </c>
      <c r="F19" s="55">
        <f t="shared" si="6"/>
        <v>21126515</v>
      </c>
      <c r="G19" s="55">
        <f t="shared" si="6"/>
        <v>10414419</v>
      </c>
      <c r="H19" s="56">
        <f t="shared" si="0"/>
        <v>49.29548957790719</v>
      </c>
      <c r="I19" s="57">
        <f t="shared" si="6"/>
        <v>8444386</v>
      </c>
      <c r="J19" s="75">
        <v>117585</v>
      </c>
      <c r="K19" s="55">
        <v>117585</v>
      </c>
      <c r="L19" s="55">
        <v>30680</v>
      </c>
      <c r="M19" s="56">
        <f t="shared" si="2"/>
        <v>26.091763405196239</v>
      </c>
      <c r="N19" s="55">
        <v>84690</v>
      </c>
      <c r="O19" s="57">
        <f>20998500+111930</f>
        <v>21110430</v>
      </c>
      <c r="P19" s="57">
        <f>20897000+111930</f>
        <v>21008930</v>
      </c>
      <c r="Q19" s="55">
        <v>10383739</v>
      </c>
      <c r="R19" s="56">
        <f t="shared" si="3"/>
        <v>49.425358645109483</v>
      </c>
      <c r="S19" s="55">
        <v>8359696</v>
      </c>
      <c r="T19" s="76">
        <v>138884</v>
      </c>
      <c r="U19" s="76">
        <v>150079</v>
      </c>
      <c r="V19" s="77">
        <v>89239</v>
      </c>
      <c r="W19" s="56">
        <f t="shared" si="4"/>
        <v>59.461350355479446</v>
      </c>
      <c r="X19" s="77">
        <v>66063</v>
      </c>
    </row>
    <row r="20" spans="1:24" s="7" customFormat="1" ht="9.75" x14ac:dyDescent="0.2">
      <c r="A20" s="15" t="s">
        <v>43</v>
      </c>
      <c r="B20" s="750" t="s">
        <v>44</v>
      </c>
      <c r="C20" s="750"/>
      <c r="D20" s="16" t="s">
        <v>16</v>
      </c>
      <c r="E20" s="55">
        <f t="shared" si="6"/>
        <v>7252160</v>
      </c>
      <c r="F20" s="55">
        <f t="shared" si="6"/>
        <v>7161450</v>
      </c>
      <c r="G20" s="55">
        <f t="shared" si="6"/>
        <v>3488117</v>
      </c>
      <c r="H20" s="56">
        <f t="shared" si="0"/>
        <v>48.706854058884723</v>
      </c>
      <c r="I20" s="57">
        <f t="shared" si="6"/>
        <v>2878342</v>
      </c>
      <c r="J20" s="68">
        <v>19620</v>
      </c>
      <c r="K20" s="55">
        <v>19380</v>
      </c>
      <c r="L20" s="55">
        <v>8295</v>
      </c>
      <c r="M20" s="56">
        <f t="shared" si="2"/>
        <v>42.801857585139317</v>
      </c>
      <c r="N20" s="55">
        <v>18042</v>
      </c>
      <c r="O20" s="57">
        <f>7194470+38070</f>
        <v>7232540</v>
      </c>
      <c r="P20" s="57">
        <f>7104000+38070</f>
        <v>7142070</v>
      </c>
      <c r="Q20" s="55">
        <f>3435364+44458</f>
        <v>3479822</v>
      </c>
      <c r="R20" s="56">
        <f t="shared" si="3"/>
        <v>48.722877261074174</v>
      </c>
      <c r="S20" s="55">
        <v>2860300</v>
      </c>
      <c r="T20" s="57">
        <v>47805</v>
      </c>
      <c r="U20" s="57">
        <v>51610</v>
      </c>
      <c r="V20" s="55">
        <v>30643</v>
      </c>
      <c r="W20" s="56">
        <f t="shared" si="4"/>
        <v>59.374152296066654</v>
      </c>
      <c r="X20" s="55">
        <v>22726</v>
      </c>
    </row>
    <row r="21" spans="1:24" s="7" customFormat="1" ht="9.75" x14ac:dyDescent="0.2">
      <c r="A21" s="15" t="s">
        <v>45</v>
      </c>
      <c r="B21" s="750" t="s">
        <v>46</v>
      </c>
      <c r="C21" s="750"/>
      <c r="D21" s="16" t="s">
        <v>16</v>
      </c>
      <c r="E21" s="55">
        <f t="shared" si="6"/>
        <v>439430</v>
      </c>
      <c r="F21" s="55">
        <f t="shared" si="6"/>
        <v>420400</v>
      </c>
      <c r="G21" s="55">
        <f t="shared" si="6"/>
        <v>221316</v>
      </c>
      <c r="H21" s="56">
        <f t="shared" si="0"/>
        <v>52.644148430066608</v>
      </c>
      <c r="I21" s="57">
        <f t="shared" si="6"/>
        <v>182632</v>
      </c>
      <c r="J21" s="68">
        <v>500</v>
      </c>
      <c r="K21" s="55">
        <v>1500</v>
      </c>
      <c r="L21" s="55">
        <v>1301</v>
      </c>
      <c r="M21" s="56">
        <f t="shared" si="2"/>
        <v>86.733333333333334</v>
      </c>
      <c r="N21" s="55">
        <v>0</v>
      </c>
      <c r="O21" s="57">
        <v>438930</v>
      </c>
      <c r="P21" s="57">
        <v>418900</v>
      </c>
      <c r="Q21" s="55">
        <v>220015</v>
      </c>
      <c r="R21" s="56">
        <f t="shared" si="3"/>
        <v>52.522081642396756</v>
      </c>
      <c r="S21" s="55">
        <v>182632</v>
      </c>
      <c r="T21" s="57">
        <v>2778</v>
      </c>
      <c r="U21" s="57">
        <v>2778</v>
      </c>
      <c r="V21" s="55">
        <v>1785</v>
      </c>
      <c r="W21" s="56">
        <f t="shared" si="4"/>
        <v>64.254859611231097</v>
      </c>
      <c r="X21" s="55">
        <v>1350</v>
      </c>
    </row>
    <row r="22" spans="1:24" s="7" customFormat="1" ht="9.75" x14ac:dyDescent="0.2">
      <c r="A22" s="15" t="s">
        <v>47</v>
      </c>
      <c r="B22" s="750" t="s">
        <v>48</v>
      </c>
      <c r="C22" s="750"/>
      <c r="D22" s="16" t="s">
        <v>16</v>
      </c>
      <c r="E22" s="55">
        <f t="shared" si="6"/>
        <v>0</v>
      </c>
      <c r="F22" s="55">
        <f t="shared" si="6"/>
        <v>0</v>
      </c>
      <c r="G22" s="55">
        <f t="shared" si="6"/>
        <v>0</v>
      </c>
      <c r="H22" s="56">
        <v>0</v>
      </c>
      <c r="I22" s="57">
        <f t="shared" si="6"/>
        <v>0</v>
      </c>
      <c r="J22" s="68">
        <v>0</v>
      </c>
      <c r="K22" s="55">
        <v>0</v>
      </c>
      <c r="L22" s="55">
        <v>0</v>
      </c>
      <c r="M22" s="56">
        <v>0</v>
      </c>
      <c r="N22" s="55">
        <v>0</v>
      </c>
      <c r="O22" s="57">
        <v>0</v>
      </c>
      <c r="P22" s="57">
        <v>0</v>
      </c>
      <c r="Q22" s="55">
        <v>0</v>
      </c>
      <c r="R22" s="56">
        <v>0</v>
      </c>
      <c r="S22" s="55">
        <v>0</v>
      </c>
      <c r="T22" s="57">
        <v>0</v>
      </c>
      <c r="U22" s="57">
        <v>0</v>
      </c>
      <c r="V22" s="55">
        <v>0</v>
      </c>
      <c r="W22" s="56">
        <v>0</v>
      </c>
      <c r="X22" s="55">
        <v>0</v>
      </c>
    </row>
    <row r="23" spans="1:24" s="7" customFormat="1" ht="9.75" x14ac:dyDescent="0.2">
      <c r="A23" s="15" t="s">
        <v>49</v>
      </c>
      <c r="B23" s="21" t="s">
        <v>50</v>
      </c>
      <c r="C23" s="21"/>
      <c r="D23" s="16" t="s">
        <v>16</v>
      </c>
      <c r="E23" s="55">
        <f t="shared" si="6"/>
        <v>0</v>
      </c>
      <c r="F23" s="55">
        <f t="shared" si="6"/>
        <v>0</v>
      </c>
      <c r="G23" s="55">
        <f t="shared" si="6"/>
        <v>0</v>
      </c>
      <c r="H23" s="56">
        <v>0</v>
      </c>
      <c r="I23" s="57">
        <f t="shared" si="6"/>
        <v>0</v>
      </c>
      <c r="J23" s="68">
        <v>0</v>
      </c>
      <c r="K23" s="55">
        <v>0</v>
      </c>
      <c r="L23" s="55">
        <v>0</v>
      </c>
      <c r="M23" s="56">
        <v>0</v>
      </c>
      <c r="N23" s="55">
        <v>0</v>
      </c>
      <c r="O23" s="57">
        <v>0</v>
      </c>
      <c r="P23" s="57">
        <v>0</v>
      </c>
      <c r="Q23" s="55">
        <v>0</v>
      </c>
      <c r="R23" s="56">
        <v>0</v>
      </c>
      <c r="S23" s="55">
        <v>0</v>
      </c>
      <c r="T23" s="57">
        <v>0</v>
      </c>
      <c r="U23" s="57">
        <v>0</v>
      </c>
      <c r="V23" s="55">
        <v>0</v>
      </c>
      <c r="W23" s="56">
        <v>0</v>
      </c>
      <c r="X23" s="55">
        <v>0</v>
      </c>
    </row>
    <row r="24" spans="1:24" s="7" customFormat="1" ht="9.75" x14ac:dyDescent="0.2">
      <c r="A24" s="15" t="s">
        <v>51</v>
      </c>
      <c r="B24" s="21" t="s">
        <v>52</v>
      </c>
      <c r="C24" s="21"/>
      <c r="D24" s="16" t="s">
        <v>16</v>
      </c>
      <c r="E24" s="55">
        <f t="shared" si="6"/>
        <v>0</v>
      </c>
      <c r="F24" s="55">
        <f t="shared" si="6"/>
        <v>0</v>
      </c>
      <c r="G24" s="55">
        <f t="shared" si="6"/>
        <v>0</v>
      </c>
      <c r="H24" s="56">
        <v>0</v>
      </c>
      <c r="I24" s="57">
        <f t="shared" si="6"/>
        <v>0</v>
      </c>
      <c r="J24" s="68">
        <v>0</v>
      </c>
      <c r="K24" s="55">
        <v>0</v>
      </c>
      <c r="L24" s="55">
        <v>0</v>
      </c>
      <c r="M24" s="56">
        <v>0</v>
      </c>
      <c r="N24" s="55">
        <v>0</v>
      </c>
      <c r="O24" s="57">
        <v>0</v>
      </c>
      <c r="P24" s="57">
        <v>0</v>
      </c>
      <c r="Q24" s="55">
        <v>0</v>
      </c>
      <c r="R24" s="56">
        <v>0</v>
      </c>
      <c r="S24" s="55">
        <v>0</v>
      </c>
      <c r="T24" s="57">
        <v>0</v>
      </c>
      <c r="U24" s="57">
        <v>0</v>
      </c>
      <c r="V24" s="55">
        <v>0</v>
      </c>
      <c r="W24" s="56">
        <v>0</v>
      </c>
      <c r="X24" s="55">
        <v>0</v>
      </c>
    </row>
    <row r="25" spans="1:24" s="7" customFormat="1" ht="9.75" x14ac:dyDescent="0.2">
      <c r="A25" s="15" t="s">
        <v>53</v>
      </c>
      <c r="B25" s="21" t="s">
        <v>54</v>
      </c>
      <c r="C25" s="21"/>
      <c r="D25" s="16" t="s">
        <v>16</v>
      </c>
      <c r="E25" s="55">
        <f t="shared" si="6"/>
        <v>25000</v>
      </c>
      <c r="F25" s="55">
        <f t="shared" si="6"/>
        <v>25000</v>
      </c>
      <c r="G25" s="55">
        <f t="shared" si="6"/>
        <v>7805</v>
      </c>
      <c r="H25" s="56">
        <f t="shared" ref="H25" si="7">G25/F25*100</f>
        <v>31.22</v>
      </c>
      <c r="I25" s="57">
        <f t="shared" si="6"/>
        <v>11405</v>
      </c>
      <c r="J25" s="68">
        <v>25000</v>
      </c>
      <c r="K25" s="69">
        <v>25000</v>
      </c>
      <c r="L25" s="69">
        <v>7805</v>
      </c>
      <c r="M25" s="56">
        <f t="shared" ref="M25" si="8">L25/K25*100</f>
        <v>31.22</v>
      </c>
      <c r="N25" s="69">
        <v>11405</v>
      </c>
      <c r="O25" s="71">
        <v>0</v>
      </c>
      <c r="P25" s="71">
        <v>0</v>
      </c>
      <c r="Q25" s="69">
        <v>0</v>
      </c>
      <c r="R25" s="56">
        <v>0</v>
      </c>
      <c r="S25" s="69">
        <v>0</v>
      </c>
      <c r="T25" s="71">
        <v>0</v>
      </c>
      <c r="U25" s="71">
        <v>0</v>
      </c>
      <c r="V25" s="69">
        <v>0</v>
      </c>
      <c r="W25" s="56">
        <v>0</v>
      </c>
      <c r="X25" s="69">
        <v>0</v>
      </c>
    </row>
    <row r="26" spans="1:24" s="30" customFormat="1" ht="9.75" x14ac:dyDescent="0.2">
      <c r="A26" s="15" t="s">
        <v>55</v>
      </c>
      <c r="B26" s="750" t="s">
        <v>56</v>
      </c>
      <c r="C26" s="750"/>
      <c r="D26" s="16" t="s">
        <v>16</v>
      </c>
      <c r="E26" s="55">
        <f t="shared" si="6"/>
        <v>1187760</v>
      </c>
      <c r="F26" s="55">
        <f t="shared" si="6"/>
        <v>1187760</v>
      </c>
      <c r="G26" s="55">
        <f t="shared" si="6"/>
        <v>516039</v>
      </c>
      <c r="H26" s="56">
        <f>G26/F26*100</f>
        <v>43.446403313800772</v>
      </c>
      <c r="I26" s="57">
        <f>SUM(N26,S26)</f>
        <v>474893</v>
      </c>
      <c r="J26" s="68">
        <v>1187760</v>
      </c>
      <c r="K26" s="80">
        <v>1187760</v>
      </c>
      <c r="L26" s="80">
        <v>516039</v>
      </c>
      <c r="M26" s="56">
        <f>L26/K26*100</f>
        <v>43.446403313800772</v>
      </c>
      <c r="N26" s="80">
        <v>474893</v>
      </c>
      <c r="O26" s="82">
        <v>0</v>
      </c>
      <c r="P26" s="82">
        <v>0</v>
      </c>
      <c r="Q26" s="80">
        <v>0</v>
      </c>
      <c r="R26" s="56">
        <v>0</v>
      </c>
      <c r="S26" s="80">
        <v>0</v>
      </c>
      <c r="T26" s="82">
        <v>34776</v>
      </c>
      <c r="U26" s="82">
        <v>34776</v>
      </c>
      <c r="V26" s="80">
        <v>21243</v>
      </c>
      <c r="W26" s="56">
        <f>V26/U26*100</f>
        <v>61.085231193926845</v>
      </c>
      <c r="X26" s="80">
        <v>18933</v>
      </c>
    </row>
    <row r="27" spans="1:24" s="30" customFormat="1" ht="9.75" x14ac:dyDescent="0.2">
      <c r="A27" s="15" t="s">
        <v>57</v>
      </c>
      <c r="B27" s="21" t="s">
        <v>58</v>
      </c>
      <c r="C27" s="21"/>
      <c r="D27" s="16" t="s">
        <v>16</v>
      </c>
      <c r="E27" s="55">
        <f t="shared" si="6"/>
        <v>0</v>
      </c>
      <c r="F27" s="55">
        <f t="shared" si="6"/>
        <v>0</v>
      </c>
      <c r="G27" s="55">
        <f t="shared" si="6"/>
        <v>0</v>
      </c>
      <c r="H27" s="56">
        <v>0</v>
      </c>
      <c r="I27" s="57">
        <f t="shared" si="6"/>
        <v>315</v>
      </c>
      <c r="J27" s="68">
        <v>0</v>
      </c>
      <c r="K27" s="80">
        <v>0</v>
      </c>
      <c r="L27" s="80">
        <v>0</v>
      </c>
      <c r="M27" s="56">
        <v>0</v>
      </c>
      <c r="N27" s="80">
        <v>315</v>
      </c>
      <c r="O27" s="82">
        <v>0</v>
      </c>
      <c r="P27" s="82">
        <v>0</v>
      </c>
      <c r="Q27" s="80">
        <v>0</v>
      </c>
      <c r="R27" s="56">
        <v>0</v>
      </c>
      <c r="S27" s="80">
        <v>0</v>
      </c>
      <c r="T27" s="82">
        <v>0</v>
      </c>
      <c r="U27" s="82">
        <v>0</v>
      </c>
      <c r="V27" s="80">
        <v>0</v>
      </c>
      <c r="W27" s="56">
        <v>0</v>
      </c>
      <c r="X27" s="80">
        <v>0</v>
      </c>
    </row>
    <row r="28" spans="1:24" s="30" customFormat="1" ht="9.75" x14ac:dyDescent="0.2">
      <c r="A28" s="15" t="s">
        <v>59</v>
      </c>
      <c r="B28" s="21" t="s">
        <v>60</v>
      </c>
      <c r="C28" s="21"/>
      <c r="D28" s="16" t="s">
        <v>16</v>
      </c>
      <c r="E28" s="55">
        <f>SUM(J28,O28)</f>
        <v>0</v>
      </c>
      <c r="F28" s="55">
        <f>SUM(K28,P28)</f>
        <v>17500</v>
      </c>
      <c r="G28" s="55">
        <f>SUM(L28,Q28)</f>
        <v>17221.53</v>
      </c>
      <c r="H28" s="56">
        <f>G28/F28*100</f>
        <v>98.408742857142855</v>
      </c>
      <c r="I28" s="57">
        <f>SUM(N28,S28)</f>
        <v>63486.2</v>
      </c>
      <c r="J28" s="68">
        <v>0</v>
      </c>
      <c r="K28" s="80">
        <v>17500</v>
      </c>
      <c r="L28" s="80">
        <v>17221.53</v>
      </c>
      <c r="M28" s="56">
        <f t="shared" si="2"/>
        <v>98.408742857142855</v>
      </c>
      <c r="N28" s="80">
        <v>30146.2</v>
      </c>
      <c r="O28" s="82">
        <v>0</v>
      </c>
      <c r="P28" s="82">
        <v>0</v>
      </c>
      <c r="Q28" s="80">
        <v>0</v>
      </c>
      <c r="R28" s="56">
        <v>0</v>
      </c>
      <c r="S28" s="80">
        <v>33340</v>
      </c>
      <c r="T28" s="82">
        <v>0</v>
      </c>
      <c r="U28" s="82">
        <v>14000</v>
      </c>
      <c r="V28" s="80">
        <v>13790</v>
      </c>
      <c r="W28" s="56">
        <f>V28/U28*100</f>
        <v>98.5</v>
      </c>
      <c r="X28" s="80">
        <v>11967</v>
      </c>
    </row>
    <row r="29" spans="1:24" s="31" customFormat="1" ht="9.75" x14ac:dyDescent="0.2">
      <c r="A29" s="15" t="s">
        <v>61</v>
      </c>
      <c r="B29" s="21" t="s">
        <v>62</v>
      </c>
      <c r="C29" s="21"/>
      <c r="D29" s="16" t="s">
        <v>16</v>
      </c>
      <c r="E29" s="55">
        <f t="shared" si="6"/>
        <v>1517</v>
      </c>
      <c r="F29" s="55">
        <f t="shared" si="6"/>
        <v>1017</v>
      </c>
      <c r="G29" s="55">
        <f t="shared" si="6"/>
        <v>862</v>
      </c>
      <c r="H29" s="56">
        <f t="shared" si="0"/>
        <v>84.75909537856441</v>
      </c>
      <c r="I29" s="57">
        <f t="shared" si="6"/>
        <v>817</v>
      </c>
      <c r="J29" s="68">
        <v>1517</v>
      </c>
      <c r="K29" s="80">
        <v>1017</v>
      </c>
      <c r="L29" s="80">
        <v>862</v>
      </c>
      <c r="M29" s="56">
        <f t="shared" si="2"/>
        <v>84.75909537856441</v>
      </c>
      <c r="N29" s="80">
        <v>817</v>
      </c>
      <c r="O29" s="82">
        <v>0</v>
      </c>
      <c r="P29" s="82">
        <v>0</v>
      </c>
      <c r="Q29" s="80">
        <v>0</v>
      </c>
      <c r="R29" s="56">
        <v>0</v>
      </c>
      <c r="S29" s="82">
        <v>0</v>
      </c>
      <c r="T29" s="82">
        <v>0</v>
      </c>
      <c r="U29" s="82">
        <v>0</v>
      </c>
      <c r="V29" s="80">
        <v>0</v>
      </c>
      <c r="W29" s="56">
        <v>0</v>
      </c>
      <c r="X29" s="80">
        <v>0</v>
      </c>
    </row>
    <row r="30" spans="1:24" s="7" customFormat="1" ht="9.75" x14ac:dyDescent="0.2">
      <c r="A30" s="15" t="s">
        <v>63</v>
      </c>
      <c r="B30" s="21" t="s">
        <v>64</v>
      </c>
      <c r="C30" s="21"/>
      <c r="D30" s="16" t="s">
        <v>16</v>
      </c>
      <c r="E30" s="55">
        <f t="shared" ref="E30:G31" si="9">SUM(J30,O30)</f>
        <v>0</v>
      </c>
      <c r="F30" s="55">
        <f t="shared" si="9"/>
        <v>0</v>
      </c>
      <c r="G30" s="55">
        <f t="shared" si="9"/>
        <v>0</v>
      </c>
      <c r="H30" s="56">
        <v>0</v>
      </c>
      <c r="I30" s="57">
        <f>SUM(N30,S30)</f>
        <v>0</v>
      </c>
      <c r="J30" s="68">
        <v>0</v>
      </c>
      <c r="K30" s="80">
        <v>0</v>
      </c>
      <c r="L30" s="80">
        <v>0</v>
      </c>
      <c r="M30" s="56">
        <v>0</v>
      </c>
      <c r="N30" s="80">
        <v>0</v>
      </c>
      <c r="O30" s="82">
        <v>0</v>
      </c>
      <c r="P30" s="82">
        <v>0</v>
      </c>
      <c r="Q30" s="80">
        <v>0</v>
      </c>
      <c r="R30" s="56">
        <v>0</v>
      </c>
      <c r="S30" s="82">
        <v>0</v>
      </c>
      <c r="T30" s="82">
        <v>0</v>
      </c>
      <c r="U30" s="82">
        <v>0</v>
      </c>
      <c r="V30" s="80">
        <v>0</v>
      </c>
      <c r="W30" s="56">
        <v>0</v>
      </c>
      <c r="X30" s="82">
        <v>0</v>
      </c>
    </row>
    <row r="31" spans="1:24" s="34" customFormat="1" ht="9.75" x14ac:dyDescent="0.2">
      <c r="A31" s="15" t="s">
        <v>65</v>
      </c>
      <c r="B31" s="21" t="s">
        <v>66</v>
      </c>
      <c r="C31" s="21"/>
      <c r="D31" s="16" t="s">
        <v>16</v>
      </c>
      <c r="E31" s="55">
        <f t="shared" si="9"/>
        <v>0</v>
      </c>
      <c r="F31" s="55">
        <f t="shared" si="9"/>
        <v>0</v>
      </c>
      <c r="G31" s="55">
        <f t="shared" si="9"/>
        <v>0</v>
      </c>
      <c r="H31" s="56">
        <v>0</v>
      </c>
      <c r="I31" s="57">
        <f>SUM(N31,S31)</f>
        <v>0</v>
      </c>
      <c r="J31" s="68">
        <v>0</v>
      </c>
      <c r="K31" s="86">
        <v>0</v>
      </c>
      <c r="L31" s="86">
        <v>0</v>
      </c>
      <c r="M31" s="56">
        <v>0</v>
      </c>
      <c r="N31" s="86">
        <v>0</v>
      </c>
      <c r="O31" s="87">
        <v>0</v>
      </c>
      <c r="P31" s="87">
        <v>0</v>
      </c>
      <c r="Q31" s="86">
        <v>0</v>
      </c>
      <c r="R31" s="56">
        <v>0</v>
      </c>
      <c r="S31" s="87">
        <v>0</v>
      </c>
      <c r="T31" s="88">
        <v>0</v>
      </c>
      <c r="U31" s="88">
        <v>0</v>
      </c>
      <c r="V31" s="86">
        <v>0</v>
      </c>
      <c r="W31" s="56">
        <v>0</v>
      </c>
      <c r="X31" s="88">
        <v>0</v>
      </c>
    </row>
    <row r="32" spans="1:24" s="34" customFormat="1" ht="9.75" x14ac:dyDescent="0.2">
      <c r="A32" s="15" t="s">
        <v>67</v>
      </c>
      <c r="B32" s="21" t="s">
        <v>68</v>
      </c>
      <c r="C32" s="21"/>
      <c r="D32" s="16" t="s">
        <v>16</v>
      </c>
      <c r="E32" s="55">
        <f>SUM(J32,O32)</f>
        <v>0</v>
      </c>
      <c r="F32" s="55">
        <f>SUM(K32,P32)</f>
        <v>0</v>
      </c>
      <c r="G32" s="55">
        <f>SUM(L32,Q32)</f>
        <v>0</v>
      </c>
      <c r="H32" s="56">
        <v>0</v>
      </c>
      <c r="I32" s="57">
        <f>SUM(N32,S32)</f>
        <v>0</v>
      </c>
      <c r="J32" s="89">
        <v>0</v>
      </c>
      <c r="K32" s="90">
        <v>0</v>
      </c>
      <c r="L32" s="90">
        <v>0</v>
      </c>
      <c r="M32" s="56">
        <v>0</v>
      </c>
      <c r="N32" s="91">
        <v>0</v>
      </c>
      <c r="O32" s="88">
        <v>0</v>
      </c>
      <c r="P32" s="88">
        <v>0</v>
      </c>
      <c r="Q32" s="90">
        <v>0</v>
      </c>
      <c r="R32" s="56">
        <v>0</v>
      </c>
      <c r="S32" s="91">
        <v>0</v>
      </c>
      <c r="T32" s="88">
        <v>0</v>
      </c>
      <c r="U32" s="88">
        <v>0</v>
      </c>
      <c r="V32" s="86">
        <v>0</v>
      </c>
      <c r="W32" s="56">
        <v>0</v>
      </c>
      <c r="X32" s="92">
        <v>0</v>
      </c>
    </row>
    <row r="33" spans="1:24" s="34" customFormat="1" ht="9.75" x14ac:dyDescent="0.2">
      <c r="A33" s="11" t="s">
        <v>69</v>
      </c>
      <c r="B33" s="35" t="s">
        <v>70</v>
      </c>
      <c r="C33" s="35"/>
      <c r="D33" s="12" t="s">
        <v>16</v>
      </c>
      <c r="E33" s="13">
        <f>E6-E11</f>
        <v>0</v>
      </c>
      <c r="F33" s="13">
        <f>F6-F11</f>
        <v>0</v>
      </c>
      <c r="G33" s="13">
        <f>G6-G11</f>
        <v>393478.67999999598</v>
      </c>
      <c r="H33" s="36">
        <v>0</v>
      </c>
      <c r="I33" s="54">
        <f>I6-I11</f>
        <v>710393.18000000343</v>
      </c>
      <c r="J33" s="13">
        <f>J6-J11</f>
        <v>0</v>
      </c>
      <c r="K33" s="13">
        <f>K6-K11</f>
        <v>0</v>
      </c>
      <c r="L33" s="13">
        <f>L6-L11</f>
        <v>393478.6799999997</v>
      </c>
      <c r="M33" s="14">
        <v>0</v>
      </c>
      <c r="N33" s="54">
        <f>N6-N11</f>
        <v>710393.1799999997</v>
      </c>
      <c r="O33" s="13">
        <f>O6-O11</f>
        <v>0</v>
      </c>
      <c r="P33" s="54">
        <f>P6-P11</f>
        <v>0</v>
      </c>
      <c r="Q33" s="13">
        <f>Q6-Q11</f>
        <v>0</v>
      </c>
      <c r="R33" s="14">
        <v>0</v>
      </c>
      <c r="S33" s="13">
        <f>S6-S11</f>
        <v>0</v>
      </c>
      <c r="T33" s="13">
        <f>T6-T11</f>
        <v>45839</v>
      </c>
      <c r="U33" s="13">
        <f>U6-U11</f>
        <v>45839</v>
      </c>
      <c r="V33" s="13">
        <f>V6-V11</f>
        <v>40448.800000000047</v>
      </c>
      <c r="W33" s="14">
        <f t="shared" si="4"/>
        <v>88.241017474203289</v>
      </c>
      <c r="X33" s="13">
        <f>X6-X11</f>
        <v>65311.390000000014</v>
      </c>
    </row>
    <row r="34" spans="1:24" s="1" customFormat="1" ht="9.75" x14ac:dyDescent="0.2">
      <c r="A34" s="37" t="s">
        <v>71</v>
      </c>
      <c r="B34" s="749" t="s">
        <v>72</v>
      </c>
      <c r="C34" s="749"/>
      <c r="D34" s="38" t="s">
        <v>16</v>
      </c>
      <c r="E34" s="48">
        <v>24625.7</v>
      </c>
      <c r="F34" s="48">
        <v>24642.799999999999</v>
      </c>
      <c r="G34" s="48">
        <v>28898</v>
      </c>
      <c r="H34" s="93">
        <f t="shared" ref="H34:H36" si="10">G34/F34*100</f>
        <v>117.26751830149172</v>
      </c>
      <c r="I34" s="94">
        <v>25305.3</v>
      </c>
      <c r="J34" s="39"/>
      <c r="K34" s="39"/>
      <c r="L34" s="39"/>
      <c r="M34" s="14">
        <v>0</v>
      </c>
      <c r="N34" s="39"/>
      <c r="O34" s="39">
        <v>24175</v>
      </c>
      <c r="P34" s="39">
        <v>24183</v>
      </c>
      <c r="Q34" s="39">
        <v>28812</v>
      </c>
      <c r="R34" s="14">
        <v>0</v>
      </c>
      <c r="S34" s="39">
        <v>25010.9</v>
      </c>
      <c r="T34" s="49"/>
      <c r="U34" s="49"/>
      <c r="V34" s="49"/>
      <c r="W34" s="95">
        <v>0</v>
      </c>
      <c r="X34" s="49"/>
    </row>
    <row r="35" spans="1:24" s="1" customFormat="1" ht="9.75" x14ac:dyDescent="0.2">
      <c r="A35" s="40" t="s">
        <v>73</v>
      </c>
      <c r="B35" s="751" t="s">
        <v>74</v>
      </c>
      <c r="C35" s="751"/>
      <c r="D35" s="40" t="s">
        <v>75</v>
      </c>
      <c r="E35" s="48">
        <v>59.65</v>
      </c>
      <c r="F35" s="48">
        <v>59.68</v>
      </c>
      <c r="G35" s="48">
        <v>60.064700000000002</v>
      </c>
      <c r="H35" s="93">
        <f t="shared" si="10"/>
        <v>100.64460455764075</v>
      </c>
      <c r="I35" s="94">
        <v>56</v>
      </c>
      <c r="J35" s="39"/>
      <c r="K35" s="51"/>
      <c r="L35" s="39"/>
      <c r="M35" s="14">
        <v>0</v>
      </c>
      <c r="N35" s="39"/>
      <c r="O35" s="39">
        <v>59.65</v>
      </c>
      <c r="P35" s="39">
        <v>59.68</v>
      </c>
      <c r="Q35" s="39">
        <v>60</v>
      </c>
      <c r="R35" s="14">
        <v>0</v>
      </c>
      <c r="S35" s="39">
        <v>55.707000000000001</v>
      </c>
      <c r="T35" s="39"/>
      <c r="U35" s="39"/>
      <c r="V35" s="39"/>
      <c r="W35" s="14">
        <v>0</v>
      </c>
      <c r="X35" s="39"/>
    </row>
    <row r="36" spans="1:24" s="1" customFormat="1" ht="9.75" x14ac:dyDescent="0.2">
      <c r="A36" s="37" t="s">
        <v>76</v>
      </c>
      <c r="B36" s="749" t="s">
        <v>77</v>
      </c>
      <c r="C36" s="749"/>
      <c r="D36" s="38" t="s">
        <v>75</v>
      </c>
      <c r="E36" s="48">
        <v>60</v>
      </c>
      <c r="F36" s="48">
        <v>61</v>
      </c>
      <c r="G36" s="48">
        <v>70</v>
      </c>
      <c r="H36" s="93">
        <f t="shared" si="10"/>
        <v>114.75409836065573</v>
      </c>
      <c r="I36" s="96">
        <v>64</v>
      </c>
      <c r="J36" s="39"/>
      <c r="K36" s="39"/>
      <c r="L36" s="39"/>
      <c r="M36" s="14">
        <v>0</v>
      </c>
      <c r="N36" s="39"/>
      <c r="O36" s="39">
        <v>60</v>
      </c>
      <c r="P36" s="39">
        <v>61</v>
      </c>
      <c r="Q36" s="39">
        <v>70</v>
      </c>
      <c r="R36" s="14">
        <v>0</v>
      </c>
      <c r="S36" s="39">
        <v>63.746000000000002</v>
      </c>
      <c r="T36" s="39"/>
      <c r="U36" s="39"/>
      <c r="V36" s="39"/>
      <c r="W36" s="14">
        <v>0</v>
      </c>
      <c r="X36" s="39"/>
    </row>
    <row r="38" spans="1:24" x14ac:dyDescent="0.25">
      <c r="J38" s="834" t="s">
        <v>92</v>
      </c>
      <c r="K38" s="834"/>
      <c r="L38" s="834"/>
      <c r="T38" s="897" t="s">
        <v>93</v>
      </c>
      <c r="U38" s="897"/>
      <c r="V38" s="897"/>
      <c r="W38" s="897"/>
    </row>
  </sheetData>
  <mergeCells count="40">
    <mergeCell ref="A1:X1"/>
    <mergeCell ref="A3:A5"/>
    <mergeCell ref="B3:C5"/>
    <mergeCell ref="D3:D5"/>
    <mergeCell ref="E3:I3"/>
    <mergeCell ref="J3:N3"/>
    <mergeCell ref="O3:S3"/>
    <mergeCell ref="T3:X3"/>
    <mergeCell ref="E4:E5"/>
    <mergeCell ref="F4:H4"/>
    <mergeCell ref="I4:I5"/>
    <mergeCell ref="J4:J5"/>
    <mergeCell ref="X4:X5"/>
    <mergeCell ref="B6:C6"/>
    <mergeCell ref="O4:O5"/>
    <mergeCell ref="P4:R4"/>
    <mergeCell ref="B12:C12"/>
    <mergeCell ref="K4:M4"/>
    <mergeCell ref="N4:N5"/>
    <mergeCell ref="S4:S5"/>
    <mergeCell ref="T4:T5"/>
    <mergeCell ref="U4:W4"/>
    <mergeCell ref="B8:C8"/>
    <mergeCell ref="B10:C10"/>
    <mergeCell ref="B11:C11"/>
    <mergeCell ref="B7:C7"/>
    <mergeCell ref="B13:C13"/>
    <mergeCell ref="T38:W38"/>
    <mergeCell ref="B16:C16"/>
    <mergeCell ref="B18:C18"/>
    <mergeCell ref="B19:C19"/>
    <mergeCell ref="B20:C20"/>
    <mergeCell ref="B21:C21"/>
    <mergeCell ref="B22:C22"/>
    <mergeCell ref="B26:C26"/>
    <mergeCell ref="B34:C34"/>
    <mergeCell ref="B35:C35"/>
    <mergeCell ref="B36:C36"/>
    <mergeCell ref="J38:L38"/>
    <mergeCell ref="B15:C15"/>
  </mergeCells>
  <pageMargins left="0.70866141732283472" right="0.70866141732283472" top="0.78740157480314965" bottom="0.78740157480314965" header="0.31496062992125984" footer="0.31496062992125984"/>
  <pageSetup paperSize="9" scale="85" firstPageNumber="107" orientation="landscape" useFirstPageNumber="1" r:id="rId1"/>
  <headerFoot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7"/>
  <sheetViews>
    <sheetView topLeftCell="A55" workbookViewId="0">
      <selection activeCell="C51" sqref="C51"/>
    </sheetView>
  </sheetViews>
  <sheetFormatPr defaultColWidth="9.140625" defaultRowHeight="12.75" x14ac:dyDescent="0.2"/>
  <cols>
    <col min="1" max="1" width="28.85546875" style="4" customWidth="1"/>
    <col min="2" max="2" width="16.42578125" style="4" customWidth="1"/>
    <col min="3" max="5" width="14.7109375" style="4" customWidth="1"/>
    <col min="6" max="6" width="13" style="4" customWidth="1"/>
    <col min="7" max="7" width="13.28515625" style="4" customWidth="1"/>
    <col min="8" max="8" width="36.28515625" style="4" customWidth="1"/>
    <col min="9" max="16384" width="9.140625" style="4"/>
  </cols>
  <sheetData>
    <row r="1" spans="1:14" s="168" customFormat="1" ht="18.75" x14ac:dyDescent="0.3">
      <c r="A1" s="818" t="s">
        <v>663</v>
      </c>
      <c r="B1" s="818"/>
      <c r="C1" s="818"/>
      <c r="D1" s="818"/>
      <c r="E1" s="818"/>
      <c r="F1" s="818"/>
      <c r="G1" s="818"/>
      <c r="H1" s="818"/>
      <c r="I1" s="818"/>
    </row>
    <row r="3" spans="1:14" s="169" customFormat="1" ht="10.5" x14ac:dyDescent="0.15">
      <c r="A3" s="781" t="s">
        <v>99</v>
      </c>
      <c r="B3" s="781"/>
      <c r="C3" s="781"/>
      <c r="D3" s="781"/>
      <c r="E3" s="781"/>
      <c r="F3" s="781"/>
      <c r="G3" s="781"/>
      <c r="H3" s="781"/>
      <c r="I3" s="781"/>
    </row>
    <row r="4" spans="1:14" s="170" customFormat="1" ht="11.25" x14ac:dyDescent="0.2"/>
    <row r="5" spans="1:14" s="172" customFormat="1" ht="15" customHeight="1" x14ac:dyDescent="0.2">
      <c r="A5" s="816" t="s">
        <v>100</v>
      </c>
      <c r="B5" s="873"/>
      <c r="C5" s="278" t="s">
        <v>16</v>
      </c>
      <c r="D5" s="279" t="s">
        <v>101</v>
      </c>
      <c r="E5" s="279"/>
      <c r="F5" s="280"/>
      <c r="G5" s="281"/>
      <c r="H5" s="281"/>
      <c r="I5" s="282"/>
    </row>
    <row r="6" spans="1:14" s="170" customFormat="1" ht="25.15" customHeight="1" x14ac:dyDescent="0.2">
      <c r="A6" s="874" t="s">
        <v>102</v>
      </c>
      <c r="B6" s="875"/>
      <c r="C6" s="283">
        <v>393478.68</v>
      </c>
      <c r="D6" s="876" t="s">
        <v>664</v>
      </c>
      <c r="E6" s="877"/>
      <c r="F6" s="877"/>
      <c r="G6" s="877"/>
      <c r="H6" s="877"/>
      <c r="I6" s="878"/>
      <c r="J6" s="284"/>
    </row>
    <row r="7" spans="1:14" s="174" customFormat="1" ht="25.15" customHeight="1" x14ac:dyDescent="0.15">
      <c r="A7" s="874" t="s">
        <v>103</v>
      </c>
      <c r="B7" s="875"/>
      <c r="C7" s="285">
        <v>40448.800000000003</v>
      </c>
      <c r="D7" s="879" t="s">
        <v>665</v>
      </c>
      <c r="E7" s="880"/>
      <c r="F7" s="880"/>
      <c r="G7" s="880"/>
      <c r="H7" s="880"/>
      <c r="I7" s="881"/>
    </row>
    <row r="8" spans="1:14" s="174" customFormat="1" ht="15" customHeight="1" x14ac:dyDescent="0.15">
      <c r="A8" s="829" t="s">
        <v>105</v>
      </c>
      <c r="B8" s="830"/>
      <c r="C8" s="175"/>
      <c r="D8" s="831"/>
      <c r="E8" s="832"/>
      <c r="F8" s="832"/>
      <c r="G8" s="832"/>
      <c r="H8" s="832"/>
      <c r="I8" s="833"/>
    </row>
    <row r="9" spans="1:14" s="170" customFormat="1" ht="11.25" x14ac:dyDescent="0.2">
      <c r="C9" s="176"/>
    </row>
    <row r="10" spans="1:14" s="177" customFormat="1" ht="11.25" x14ac:dyDescent="0.2">
      <c r="A10" s="781" t="s">
        <v>106</v>
      </c>
      <c r="B10" s="781"/>
      <c r="C10" s="781"/>
      <c r="D10" s="781"/>
      <c r="E10" s="781"/>
      <c r="F10" s="781"/>
      <c r="G10" s="781"/>
      <c r="H10" s="781"/>
      <c r="I10" s="781"/>
      <c r="K10" s="286"/>
      <c r="L10" s="286"/>
      <c r="M10" s="286"/>
      <c r="N10" s="286"/>
    </row>
    <row r="11" spans="1:14" s="170" customFormat="1" ht="12" thickBot="1" x14ac:dyDescent="0.25">
      <c r="C11" s="176"/>
      <c r="K11" s="287"/>
      <c r="L11" s="287"/>
      <c r="M11" s="287"/>
      <c r="N11" s="287"/>
    </row>
    <row r="12" spans="1:14" s="181" customFormat="1" ht="21" customHeight="1" x14ac:dyDescent="0.15">
      <c r="A12" s="178" t="s">
        <v>107</v>
      </c>
      <c r="B12" s="178" t="s">
        <v>108</v>
      </c>
      <c r="C12" s="179" t="s">
        <v>109</v>
      </c>
      <c r="D12" s="180" t="s">
        <v>110</v>
      </c>
      <c r="E12" s="179" t="s">
        <v>111</v>
      </c>
      <c r="F12" s="814" t="s">
        <v>112</v>
      </c>
      <c r="G12" s="815"/>
      <c r="H12" s="882" t="s">
        <v>113</v>
      </c>
      <c r="I12" s="883"/>
      <c r="J12" s="288"/>
      <c r="K12" s="288"/>
      <c r="L12" s="288"/>
      <c r="M12" s="288"/>
      <c r="N12" s="288"/>
    </row>
    <row r="13" spans="1:14" s="181" customFormat="1" ht="67.150000000000006" customHeight="1" x14ac:dyDescent="0.15">
      <c r="A13" s="182" t="s">
        <v>114</v>
      </c>
      <c r="B13" s="183">
        <v>122668.18</v>
      </c>
      <c r="C13" s="289">
        <v>130785.96</v>
      </c>
      <c r="D13" s="601">
        <v>59832</v>
      </c>
      <c r="E13" s="290">
        <f>B13+C13-D13</f>
        <v>193622.14</v>
      </c>
      <c r="F13" s="870">
        <v>193622.14</v>
      </c>
      <c r="G13" s="917"/>
      <c r="H13" s="918" t="s">
        <v>666</v>
      </c>
      <c r="I13" s="919"/>
      <c r="J13" s="602"/>
      <c r="K13" s="602"/>
      <c r="L13" s="602"/>
      <c r="M13" s="602"/>
      <c r="N13" s="602"/>
    </row>
    <row r="14" spans="1:14" s="181" customFormat="1" ht="43.9" customHeight="1" x14ac:dyDescent="0.15">
      <c r="A14" s="182" t="s">
        <v>115</v>
      </c>
      <c r="B14" s="183">
        <v>707657.2</v>
      </c>
      <c r="C14" s="292">
        <v>0</v>
      </c>
      <c r="D14" s="289">
        <v>707657.2</v>
      </c>
      <c r="E14" s="293">
        <f t="shared" ref="E14:E17" si="0">B14+C14-D14</f>
        <v>0</v>
      </c>
      <c r="F14" s="859">
        <v>0</v>
      </c>
      <c r="G14" s="909"/>
      <c r="H14" s="910" t="s">
        <v>667</v>
      </c>
      <c r="I14" s="911"/>
      <c r="J14" s="294"/>
      <c r="K14" s="294"/>
      <c r="L14" s="294"/>
      <c r="M14" s="294"/>
      <c r="N14" s="294"/>
    </row>
    <row r="15" spans="1:14" s="181" customFormat="1" ht="79.900000000000006" customHeight="1" x14ac:dyDescent="0.15">
      <c r="A15" s="186" t="s">
        <v>116</v>
      </c>
      <c r="B15" s="187">
        <v>112385.05</v>
      </c>
      <c r="C15" s="289">
        <v>579642</v>
      </c>
      <c r="D15" s="292">
        <v>435372</v>
      </c>
      <c r="E15" s="293">
        <f t="shared" si="0"/>
        <v>256655.05000000005</v>
      </c>
      <c r="F15" s="863">
        <v>256655.05</v>
      </c>
      <c r="G15" s="912"/>
      <c r="H15" s="913" t="s">
        <v>668</v>
      </c>
      <c r="I15" s="914"/>
      <c r="J15" s="602"/>
      <c r="K15" s="602"/>
      <c r="L15" s="602"/>
      <c r="M15" s="602"/>
      <c r="N15" s="602"/>
    </row>
    <row r="16" spans="1:14" s="181" customFormat="1" ht="19.899999999999999" customHeight="1" x14ac:dyDescent="0.15">
      <c r="A16" s="190" t="s">
        <v>117</v>
      </c>
      <c r="B16" s="191">
        <v>53100.78</v>
      </c>
      <c r="C16" s="295">
        <v>10000</v>
      </c>
      <c r="D16" s="289">
        <v>0</v>
      </c>
      <c r="E16" s="296">
        <f t="shared" si="0"/>
        <v>63100.78</v>
      </c>
      <c r="F16" s="866">
        <v>63100.78</v>
      </c>
      <c r="G16" s="867"/>
      <c r="H16" s="915" t="s">
        <v>669</v>
      </c>
      <c r="I16" s="916"/>
    </row>
    <row r="17" spans="1:14" s="181" customFormat="1" ht="108.6" customHeight="1" x14ac:dyDescent="0.2">
      <c r="A17" s="194" t="s">
        <v>118</v>
      </c>
      <c r="B17" s="195">
        <v>326490</v>
      </c>
      <c r="C17" s="289">
        <v>204685</v>
      </c>
      <c r="D17" s="601">
        <v>197660</v>
      </c>
      <c r="E17" s="297">
        <f t="shared" si="0"/>
        <v>333515</v>
      </c>
      <c r="F17" s="855">
        <v>278563</v>
      </c>
      <c r="G17" s="856"/>
      <c r="H17" s="907" t="s">
        <v>670</v>
      </c>
      <c r="I17" s="908"/>
      <c r="J17" s="603"/>
      <c r="K17" s="603"/>
      <c r="L17" s="603"/>
      <c r="M17" s="603"/>
      <c r="N17" s="603"/>
    </row>
    <row r="18" spans="1:14" s="181" customFormat="1" ht="18" customHeight="1" thickBot="1" x14ac:dyDescent="0.2">
      <c r="A18" s="198" t="s">
        <v>120</v>
      </c>
      <c r="B18" s="199">
        <f>SUM(B13:B17)</f>
        <v>1322301.21</v>
      </c>
      <c r="C18" s="200">
        <f>SUM(C13:C17)</f>
        <v>925112.96</v>
      </c>
      <c r="D18" s="201">
        <f>SUM(D13:D17)</f>
        <v>1400521.2</v>
      </c>
      <c r="E18" s="200">
        <f>SUM(E13:E17)</f>
        <v>846892.97000000009</v>
      </c>
      <c r="F18" s="804">
        <f>SUM(F13:G17)</f>
        <v>791940.97</v>
      </c>
      <c r="G18" s="804"/>
      <c r="H18" s="298"/>
      <c r="I18" s="299"/>
    </row>
    <row r="19" spans="1:14" s="204" customFormat="1" ht="11.25" x14ac:dyDescent="0.2">
      <c r="C19" s="205"/>
    </row>
    <row r="20" spans="1:14" s="177" customFormat="1" ht="11.25" x14ac:dyDescent="0.2">
      <c r="A20" s="781" t="s">
        <v>121</v>
      </c>
      <c r="B20" s="781"/>
      <c r="C20" s="781"/>
      <c r="D20" s="781"/>
      <c r="E20" s="781"/>
      <c r="F20" s="781"/>
      <c r="G20" s="781"/>
      <c r="H20" s="781"/>
      <c r="I20" s="781"/>
    </row>
    <row r="21" spans="1:14" s="170" customFormat="1" ht="11.45" customHeight="1" x14ac:dyDescent="0.2">
      <c r="A21" s="300"/>
      <c r="B21" s="301"/>
      <c r="C21" s="176"/>
    </row>
    <row r="22" spans="1:14" s="170" customFormat="1" ht="11.25" x14ac:dyDescent="0.2">
      <c r="A22" s="171" t="s">
        <v>122</v>
      </c>
      <c r="B22" s="171" t="s">
        <v>16</v>
      </c>
      <c r="C22" s="206" t="s">
        <v>123</v>
      </c>
      <c r="D22" s="805" t="s">
        <v>124</v>
      </c>
      <c r="E22" s="805"/>
      <c r="F22" s="805"/>
      <c r="G22" s="805"/>
      <c r="H22" s="805"/>
      <c r="I22" s="805"/>
    </row>
    <row r="23" spans="1:14" s="170" customFormat="1" ht="21.6" customHeight="1" x14ac:dyDescent="0.2">
      <c r="A23" s="300" t="s">
        <v>299</v>
      </c>
      <c r="B23" s="208">
        <v>0</v>
      </c>
      <c r="C23" s="209"/>
      <c r="D23" s="797"/>
      <c r="E23" s="798"/>
      <c r="F23" s="798"/>
      <c r="G23" s="798"/>
      <c r="H23" s="798"/>
      <c r="I23" s="799"/>
    </row>
    <row r="24" spans="1:14" s="174" customFormat="1" ht="11.25" x14ac:dyDescent="0.2">
      <c r="A24" s="210" t="s">
        <v>120</v>
      </c>
      <c r="B24" s="211">
        <f>SUM(B23:B23)</f>
        <v>0</v>
      </c>
      <c r="C24" s="806"/>
      <c r="D24" s="806"/>
      <c r="E24" s="806"/>
      <c r="F24" s="806"/>
      <c r="G24" s="806"/>
      <c r="H24" s="806"/>
      <c r="I24" s="807"/>
    </row>
    <row r="25" spans="1:14" s="204" customFormat="1" ht="11.25" x14ac:dyDescent="0.2">
      <c r="C25" s="205"/>
    </row>
    <row r="26" spans="1:14" s="204" customFormat="1" ht="11.25" x14ac:dyDescent="0.2">
      <c r="C26" s="205"/>
    </row>
    <row r="27" spans="1:14" s="177" customFormat="1" ht="11.25" x14ac:dyDescent="0.2">
      <c r="A27" s="781" t="s">
        <v>126</v>
      </c>
      <c r="B27" s="781"/>
      <c r="C27" s="781"/>
      <c r="D27" s="781"/>
      <c r="E27" s="781"/>
      <c r="F27" s="781"/>
      <c r="G27" s="781"/>
      <c r="H27" s="781"/>
      <c r="I27" s="781"/>
    </row>
    <row r="28" spans="1:14" s="170" customFormat="1" ht="11.25" x14ac:dyDescent="0.2">
      <c r="C28" s="176"/>
    </row>
    <row r="29" spans="1:14" s="170" customFormat="1" ht="11.25" x14ac:dyDescent="0.2">
      <c r="A29" s="171" t="s">
        <v>122</v>
      </c>
      <c r="B29" s="171" t="s">
        <v>16</v>
      </c>
      <c r="C29" s="206" t="s">
        <v>123</v>
      </c>
      <c r="D29" s="805" t="s">
        <v>127</v>
      </c>
      <c r="E29" s="805"/>
      <c r="F29" s="805"/>
      <c r="G29" s="805"/>
      <c r="H29" s="805"/>
      <c r="I29" s="808"/>
    </row>
    <row r="30" spans="1:14" s="170" customFormat="1" ht="21" customHeight="1" x14ac:dyDescent="0.2">
      <c r="A30" s="300" t="s">
        <v>300</v>
      </c>
      <c r="B30" s="302">
        <v>0</v>
      </c>
      <c r="C30" s="209"/>
      <c r="D30" s="797"/>
      <c r="E30" s="798"/>
      <c r="F30" s="798"/>
      <c r="G30" s="798"/>
      <c r="H30" s="798"/>
      <c r="I30" s="799"/>
    </row>
    <row r="31" spans="1:14" s="174" customFormat="1" ht="10.5" x14ac:dyDescent="0.15">
      <c r="A31" s="210" t="s">
        <v>120</v>
      </c>
      <c r="B31" s="211">
        <f>SUM(B30:B30)</f>
        <v>0</v>
      </c>
      <c r="C31" s="784"/>
      <c r="D31" s="784"/>
      <c r="E31" s="784"/>
      <c r="F31" s="784"/>
      <c r="G31" s="784"/>
      <c r="H31" s="784"/>
      <c r="I31" s="784"/>
    </row>
    <row r="32" spans="1:14" s="170" customFormat="1" ht="11.25" x14ac:dyDescent="0.2">
      <c r="C32" s="176"/>
    </row>
    <row r="33" spans="1:9" s="170" customFormat="1" ht="11.25" x14ac:dyDescent="0.2">
      <c r="C33" s="176"/>
    </row>
    <row r="34" spans="1:9" s="177" customFormat="1" ht="11.25" x14ac:dyDescent="0.2">
      <c r="A34" s="781" t="s">
        <v>129</v>
      </c>
      <c r="B34" s="781"/>
      <c r="C34" s="781"/>
      <c r="D34" s="781"/>
      <c r="E34" s="781"/>
      <c r="F34" s="781"/>
      <c r="G34" s="781"/>
      <c r="H34" s="781"/>
      <c r="I34" s="781"/>
    </row>
    <row r="35" spans="1:9" s="170" customFormat="1" ht="11.25" x14ac:dyDescent="0.2">
      <c r="C35" s="212"/>
    </row>
    <row r="36" spans="1:9" s="170" customFormat="1" ht="11.25" x14ac:dyDescent="0.2">
      <c r="A36" s="171" t="s">
        <v>130</v>
      </c>
      <c r="B36" s="206" t="s">
        <v>131</v>
      </c>
      <c r="C36" s="785" t="s">
        <v>132</v>
      </c>
      <c r="D36" s="785"/>
      <c r="E36" s="785"/>
      <c r="F36" s="785"/>
      <c r="G36" s="785"/>
      <c r="H36" s="785"/>
      <c r="I36" s="786"/>
    </row>
    <row r="37" spans="1:9" s="170" customFormat="1" ht="22.5" x14ac:dyDescent="0.2">
      <c r="A37" s="213" t="s">
        <v>671</v>
      </c>
      <c r="B37" s="213"/>
      <c r="C37" s="787"/>
      <c r="D37" s="787"/>
      <c r="E37" s="787"/>
      <c r="F37" s="787"/>
      <c r="G37" s="787"/>
      <c r="H37" s="787"/>
      <c r="I37" s="787"/>
    </row>
    <row r="38" spans="1:9" s="174" customFormat="1" ht="10.5" x14ac:dyDescent="0.15">
      <c r="A38" s="214">
        <f>SUM(A37:A37)</f>
        <v>0</v>
      </c>
      <c r="B38" s="214">
        <f>SUM(B37:B37)</f>
        <v>0</v>
      </c>
      <c r="C38" s="788" t="s">
        <v>120</v>
      </c>
      <c r="D38" s="789"/>
      <c r="E38" s="789"/>
      <c r="F38" s="789"/>
      <c r="G38" s="789"/>
      <c r="H38" s="789"/>
      <c r="I38" s="790"/>
    </row>
    <row r="39" spans="1:9" s="170" customFormat="1" ht="11.25" x14ac:dyDescent="0.2">
      <c r="C39" s="212"/>
    </row>
    <row r="40" spans="1:9" s="170" customFormat="1" ht="11.25" x14ac:dyDescent="0.2">
      <c r="C40" s="212"/>
    </row>
    <row r="41" spans="1:9" s="170" customFormat="1" ht="11.25" x14ac:dyDescent="0.2">
      <c r="A41" s="781" t="s">
        <v>177</v>
      </c>
      <c r="B41" s="766"/>
      <c r="C41" s="766"/>
      <c r="D41" s="766"/>
      <c r="E41" s="766"/>
      <c r="F41" s="766"/>
      <c r="G41" s="766"/>
      <c r="H41" s="766"/>
      <c r="I41" s="766"/>
    </row>
    <row r="42" spans="1:9" s="170" customFormat="1" ht="11.25" x14ac:dyDescent="0.2">
      <c r="C42" s="212"/>
    </row>
    <row r="43" spans="1:9" s="216" customFormat="1" ht="31.5" x14ac:dyDescent="0.25">
      <c r="A43" s="767" t="s">
        <v>135</v>
      </c>
      <c r="B43" s="768"/>
      <c r="C43" s="215" t="s">
        <v>136</v>
      </c>
      <c r="D43" s="215" t="s">
        <v>137</v>
      </c>
      <c r="E43" s="215" t="s">
        <v>138</v>
      </c>
      <c r="F43" s="215" t="s">
        <v>139</v>
      </c>
      <c r="G43" s="215" t="s">
        <v>140</v>
      </c>
    </row>
    <row r="44" spans="1:9" s="170" customFormat="1" ht="12" customHeight="1" x14ac:dyDescent="0.2">
      <c r="A44" s="901" t="s">
        <v>672</v>
      </c>
      <c r="B44" s="902"/>
      <c r="C44" s="604" t="s">
        <v>673</v>
      </c>
      <c r="D44" s="605">
        <v>181177</v>
      </c>
      <c r="E44" s="605">
        <v>0</v>
      </c>
      <c r="F44" s="322">
        <v>43123</v>
      </c>
      <c r="G44" s="323">
        <v>43123</v>
      </c>
    </row>
    <row r="45" spans="1:9" s="170" customFormat="1" ht="12" customHeight="1" x14ac:dyDescent="0.2">
      <c r="A45" s="901" t="s">
        <v>672</v>
      </c>
      <c r="B45" s="902"/>
      <c r="C45" s="604" t="s">
        <v>674</v>
      </c>
      <c r="D45" s="605">
        <v>0</v>
      </c>
      <c r="E45" s="605">
        <v>181177</v>
      </c>
      <c r="F45" s="322">
        <v>43123</v>
      </c>
      <c r="G45" s="323">
        <v>43123</v>
      </c>
    </row>
    <row r="46" spans="1:9" s="170" customFormat="1" ht="12" customHeight="1" x14ac:dyDescent="0.2">
      <c r="A46" s="901" t="s">
        <v>675</v>
      </c>
      <c r="B46" s="902"/>
      <c r="C46" s="604" t="s">
        <v>494</v>
      </c>
      <c r="D46" s="605">
        <v>0</v>
      </c>
      <c r="E46" s="605">
        <v>60000</v>
      </c>
      <c r="F46" s="322">
        <v>43249</v>
      </c>
      <c r="G46" s="323">
        <v>43249</v>
      </c>
    </row>
    <row r="47" spans="1:9" s="170" customFormat="1" ht="12" customHeight="1" x14ac:dyDescent="0.2">
      <c r="A47" s="901" t="s">
        <v>675</v>
      </c>
      <c r="B47" s="902"/>
      <c r="C47" s="604" t="s">
        <v>673</v>
      </c>
      <c r="D47" s="605">
        <v>60000</v>
      </c>
      <c r="E47" s="605">
        <v>0</v>
      </c>
      <c r="F47" s="322">
        <v>43249</v>
      </c>
      <c r="G47" s="323">
        <v>43249</v>
      </c>
    </row>
    <row r="48" spans="1:9" s="170" customFormat="1" ht="12" customHeight="1" x14ac:dyDescent="0.2">
      <c r="A48" s="901" t="s">
        <v>676</v>
      </c>
      <c r="B48" s="902"/>
      <c r="C48" s="604" t="s">
        <v>677</v>
      </c>
      <c r="D48" s="605">
        <v>17500</v>
      </c>
      <c r="E48" s="605">
        <v>0</v>
      </c>
      <c r="F48" s="322">
        <v>43281</v>
      </c>
      <c r="G48" s="323">
        <v>43281</v>
      </c>
    </row>
    <row r="49" spans="1:7" s="170" customFormat="1" ht="12" customHeight="1" x14ac:dyDescent="0.2">
      <c r="A49" s="901" t="s">
        <v>203</v>
      </c>
      <c r="B49" s="902"/>
      <c r="C49" s="604" t="s">
        <v>336</v>
      </c>
      <c r="D49" s="605">
        <v>0</v>
      </c>
      <c r="E49" s="605">
        <v>17500</v>
      </c>
      <c r="F49" s="322">
        <v>43281</v>
      </c>
      <c r="G49" s="323">
        <v>43281</v>
      </c>
    </row>
    <row r="50" spans="1:7" s="170" customFormat="1" ht="12" customHeight="1" x14ac:dyDescent="0.2">
      <c r="A50" s="901" t="s">
        <v>310</v>
      </c>
      <c r="B50" s="902"/>
      <c r="C50" s="604" t="s">
        <v>311</v>
      </c>
      <c r="D50" s="605">
        <v>40000</v>
      </c>
      <c r="E50" s="605">
        <v>0</v>
      </c>
      <c r="F50" s="322">
        <v>43281</v>
      </c>
      <c r="G50" s="323">
        <v>43281</v>
      </c>
    </row>
    <row r="51" spans="1:7" s="170" customFormat="1" ht="12" customHeight="1" x14ac:dyDescent="0.2">
      <c r="A51" s="901" t="s">
        <v>307</v>
      </c>
      <c r="B51" s="902"/>
      <c r="C51" s="604" t="s">
        <v>308</v>
      </c>
      <c r="D51" s="605">
        <v>0</v>
      </c>
      <c r="E51" s="605">
        <v>40000</v>
      </c>
      <c r="F51" s="322">
        <v>43281</v>
      </c>
      <c r="G51" s="323">
        <v>43281</v>
      </c>
    </row>
    <row r="52" spans="1:7" s="170" customFormat="1" ht="12" customHeight="1" x14ac:dyDescent="0.2">
      <c r="A52" s="901" t="s">
        <v>678</v>
      </c>
      <c r="B52" s="902"/>
      <c r="C52" s="604" t="s">
        <v>313</v>
      </c>
      <c r="D52" s="605">
        <v>10000</v>
      </c>
      <c r="E52" s="605">
        <v>0</v>
      </c>
      <c r="F52" s="322">
        <v>43281</v>
      </c>
      <c r="G52" s="323">
        <v>43281</v>
      </c>
    </row>
    <row r="53" spans="1:7" s="170" customFormat="1" ht="12" customHeight="1" x14ac:dyDescent="0.2">
      <c r="A53" s="901" t="s">
        <v>679</v>
      </c>
      <c r="B53" s="902"/>
      <c r="C53" s="604" t="s">
        <v>680</v>
      </c>
      <c r="D53" s="605">
        <v>0</v>
      </c>
      <c r="E53" s="605">
        <v>10000</v>
      </c>
      <c r="F53" s="322">
        <v>43281</v>
      </c>
      <c r="G53" s="323">
        <v>43281</v>
      </c>
    </row>
    <row r="54" spans="1:7" s="170" customFormat="1" ht="12" customHeight="1" x14ac:dyDescent="0.2">
      <c r="A54" s="901" t="s">
        <v>681</v>
      </c>
      <c r="B54" s="902"/>
      <c r="C54" s="604" t="s">
        <v>317</v>
      </c>
      <c r="D54" s="605">
        <v>5200</v>
      </c>
      <c r="E54" s="605">
        <v>0</v>
      </c>
      <c r="F54" s="322">
        <v>43281</v>
      </c>
      <c r="G54" s="323">
        <v>43281</v>
      </c>
    </row>
    <row r="55" spans="1:7" s="170" customFormat="1" ht="12" customHeight="1" x14ac:dyDescent="0.2">
      <c r="A55" s="901" t="s">
        <v>682</v>
      </c>
      <c r="B55" s="902"/>
      <c r="C55" s="604" t="s">
        <v>319</v>
      </c>
      <c r="D55" s="605">
        <v>0</v>
      </c>
      <c r="E55" s="605">
        <v>5200</v>
      </c>
      <c r="F55" s="322">
        <v>43281</v>
      </c>
      <c r="G55" s="323">
        <v>43281</v>
      </c>
    </row>
    <row r="56" spans="1:7" s="170" customFormat="1" ht="12" customHeight="1" x14ac:dyDescent="0.2">
      <c r="A56" s="905" t="s">
        <v>683</v>
      </c>
      <c r="B56" s="906"/>
      <c r="C56" s="604" t="s">
        <v>684</v>
      </c>
      <c r="D56" s="606">
        <v>500</v>
      </c>
      <c r="E56" s="605">
        <v>0</v>
      </c>
      <c r="F56" s="322">
        <v>43281</v>
      </c>
      <c r="G56" s="323">
        <v>43281</v>
      </c>
    </row>
    <row r="57" spans="1:7" s="170" customFormat="1" ht="12" customHeight="1" x14ac:dyDescent="0.2">
      <c r="A57" s="901" t="s">
        <v>685</v>
      </c>
      <c r="B57" s="902"/>
      <c r="C57" s="607" t="s">
        <v>686</v>
      </c>
      <c r="D57" s="605">
        <v>3500</v>
      </c>
      <c r="E57" s="321">
        <v>0</v>
      </c>
      <c r="F57" s="608">
        <v>43281</v>
      </c>
      <c r="G57" s="609">
        <v>43281</v>
      </c>
    </row>
    <row r="58" spans="1:7" s="170" customFormat="1" ht="12" customHeight="1" x14ac:dyDescent="0.2">
      <c r="A58" s="846" t="s">
        <v>332</v>
      </c>
      <c r="B58" s="847"/>
      <c r="C58" s="607" t="s">
        <v>687</v>
      </c>
      <c r="D58" s="321">
        <v>0</v>
      </c>
      <c r="E58" s="321">
        <v>-500</v>
      </c>
      <c r="F58" s="322">
        <v>43281</v>
      </c>
      <c r="G58" s="323">
        <v>43281</v>
      </c>
    </row>
    <row r="59" spans="1:7" s="170" customFormat="1" ht="12" customHeight="1" x14ac:dyDescent="0.2">
      <c r="A59" s="901" t="s">
        <v>211</v>
      </c>
      <c r="B59" s="902"/>
      <c r="C59" s="610" t="s">
        <v>337</v>
      </c>
      <c r="D59" s="605">
        <v>0</v>
      </c>
      <c r="E59" s="605">
        <v>1000</v>
      </c>
      <c r="F59" s="322">
        <v>43281</v>
      </c>
      <c r="G59" s="323">
        <v>43281</v>
      </c>
    </row>
    <row r="60" spans="1:7" s="170" customFormat="1" ht="12" customHeight="1" x14ac:dyDescent="0.2">
      <c r="A60" s="901" t="s">
        <v>688</v>
      </c>
      <c r="B60" s="902"/>
      <c r="C60" s="611" t="s">
        <v>689</v>
      </c>
      <c r="D60" s="321">
        <v>0</v>
      </c>
      <c r="E60" s="321">
        <v>3500</v>
      </c>
      <c r="F60" s="322">
        <v>43281</v>
      </c>
      <c r="G60" s="323">
        <v>43281</v>
      </c>
    </row>
    <row r="61" spans="1:7" s="170" customFormat="1" ht="12" customHeight="1" x14ac:dyDescent="0.2">
      <c r="A61" s="846" t="s">
        <v>690</v>
      </c>
      <c r="B61" s="847"/>
      <c r="C61" s="611" t="s">
        <v>691</v>
      </c>
      <c r="D61" s="321">
        <v>0</v>
      </c>
      <c r="E61" s="321">
        <v>-240</v>
      </c>
      <c r="F61" s="322">
        <v>43281</v>
      </c>
      <c r="G61" s="323">
        <v>43281</v>
      </c>
    </row>
    <row r="62" spans="1:7" s="170" customFormat="1" ht="12" customHeight="1" x14ac:dyDescent="0.2">
      <c r="A62" s="903" t="s">
        <v>692</v>
      </c>
      <c r="B62" s="904"/>
      <c r="C62" s="610" t="s">
        <v>693</v>
      </c>
      <c r="D62" s="612">
        <v>0</v>
      </c>
      <c r="E62" s="613">
        <v>240</v>
      </c>
      <c r="F62" s="322">
        <v>43281</v>
      </c>
      <c r="G62" s="323">
        <v>43281</v>
      </c>
    </row>
    <row r="63" spans="1:7" s="170" customFormat="1" ht="12" customHeight="1" x14ac:dyDescent="0.2">
      <c r="A63" s="836" t="s">
        <v>178</v>
      </c>
      <c r="B63" s="837"/>
      <c r="C63" s="317"/>
      <c r="D63" s="318">
        <f>SUM(D44:D62)</f>
        <v>317877</v>
      </c>
      <c r="E63" s="319">
        <f>SUM(E44:E62)</f>
        <v>317877</v>
      </c>
      <c r="F63" s="838"/>
      <c r="G63" s="839"/>
    </row>
    <row r="64" spans="1:7" s="170" customFormat="1" ht="12" customHeight="1" x14ac:dyDescent="0.25">
      <c r="A64" s="235"/>
      <c r="B64" s="320"/>
      <c r="C64" s="212"/>
    </row>
    <row r="65" spans="1:9" s="170" customFormat="1" ht="11.25" x14ac:dyDescent="0.2">
      <c r="A65" s="766" t="s">
        <v>180</v>
      </c>
      <c r="B65" s="766"/>
      <c r="C65" s="766"/>
      <c r="D65" s="766"/>
      <c r="E65" s="766"/>
      <c r="F65" s="766"/>
      <c r="G65" s="766"/>
      <c r="H65" s="766"/>
      <c r="I65" s="766"/>
    </row>
    <row r="66" spans="1:9" s="170" customFormat="1" ht="11.25" x14ac:dyDescent="0.2">
      <c r="C66" s="212"/>
    </row>
    <row r="67" spans="1:9" s="216" customFormat="1" ht="31.5" x14ac:dyDescent="0.25">
      <c r="A67" s="767" t="s">
        <v>135</v>
      </c>
      <c r="B67" s="768"/>
      <c r="C67" s="215" t="s">
        <v>136</v>
      </c>
      <c r="D67" s="215" t="s">
        <v>137</v>
      </c>
      <c r="E67" s="215" t="s">
        <v>138</v>
      </c>
      <c r="F67" s="215" t="s">
        <v>139</v>
      </c>
      <c r="G67" s="215" t="s">
        <v>140</v>
      </c>
    </row>
    <row r="68" spans="1:9" s="170" customFormat="1" ht="11.25" customHeight="1" x14ac:dyDescent="0.2">
      <c r="A68" s="846" t="s">
        <v>310</v>
      </c>
      <c r="B68" s="847"/>
      <c r="C68" s="614" t="s">
        <v>694</v>
      </c>
      <c r="D68" s="321">
        <v>7000</v>
      </c>
      <c r="E68" s="321">
        <v>0</v>
      </c>
      <c r="F68" s="322">
        <v>43281</v>
      </c>
      <c r="G68" s="323">
        <v>43281</v>
      </c>
    </row>
    <row r="69" spans="1:9" s="170" customFormat="1" ht="11.25" customHeight="1" x14ac:dyDescent="0.2">
      <c r="A69" s="901" t="s">
        <v>695</v>
      </c>
      <c r="B69" s="902"/>
      <c r="C69" s="615" t="s">
        <v>696</v>
      </c>
      <c r="D69" s="605">
        <v>7000</v>
      </c>
      <c r="E69" s="605">
        <v>0</v>
      </c>
      <c r="F69" s="322">
        <v>43281</v>
      </c>
      <c r="G69" s="323">
        <v>43281</v>
      </c>
    </row>
    <row r="70" spans="1:9" s="170" customFormat="1" ht="11.25" customHeight="1" x14ac:dyDescent="0.2">
      <c r="A70" s="901" t="s">
        <v>203</v>
      </c>
      <c r="B70" s="902"/>
      <c r="C70" s="616" t="s">
        <v>697</v>
      </c>
      <c r="D70" s="617">
        <v>0</v>
      </c>
      <c r="E70" s="617">
        <v>14000</v>
      </c>
      <c r="F70" s="322">
        <v>43281</v>
      </c>
      <c r="G70" s="323">
        <v>43281</v>
      </c>
    </row>
    <row r="71" spans="1:9" s="170" customFormat="1" ht="11.25" customHeight="1" x14ac:dyDescent="0.2">
      <c r="A71" s="901" t="s">
        <v>698</v>
      </c>
      <c r="B71" s="902"/>
      <c r="C71" s="618" t="s">
        <v>699</v>
      </c>
      <c r="D71" s="617">
        <v>0</v>
      </c>
      <c r="E71" s="617">
        <v>-15000</v>
      </c>
      <c r="F71" s="322">
        <v>43281</v>
      </c>
      <c r="G71" s="323">
        <v>43281</v>
      </c>
    </row>
    <row r="72" spans="1:9" s="170" customFormat="1" ht="11.25" customHeight="1" x14ac:dyDescent="0.2">
      <c r="A72" s="901" t="s">
        <v>208</v>
      </c>
      <c r="B72" s="902"/>
      <c r="C72" s="618" t="s">
        <v>700</v>
      </c>
      <c r="D72" s="617">
        <v>0</v>
      </c>
      <c r="E72" s="617">
        <v>11195</v>
      </c>
      <c r="F72" s="322">
        <v>43281</v>
      </c>
      <c r="G72" s="323">
        <v>43281</v>
      </c>
    </row>
    <row r="73" spans="1:9" s="170" customFormat="1" ht="11.25" customHeight="1" x14ac:dyDescent="0.2">
      <c r="A73" s="901" t="s">
        <v>338</v>
      </c>
      <c r="B73" s="902"/>
      <c r="C73" s="618" t="s">
        <v>701</v>
      </c>
      <c r="D73" s="617">
        <v>0</v>
      </c>
      <c r="E73" s="617">
        <v>3805</v>
      </c>
      <c r="F73" s="322">
        <v>43281</v>
      </c>
      <c r="G73" s="323">
        <v>43281</v>
      </c>
    </row>
    <row r="74" spans="1:9" s="170" customFormat="1" ht="11.25" customHeight="1" x14ac:dyDescent="0.2">
      <c r="A74" s="836" t="s">
        <v>178</v>
      </c>
      <c r="B74" s="837"/>
      <c r="C74" s="324"/>
      <c r="D74" s="319">
        <f>SUM(D68:D73)</f>
        <v>14000</v>
      </c>
      <c r="E74" s="319">
        <f>SUM(E68:E73)</f>
        <v>14000</v>
      </c>
      <c r="F74" s="838"/>
      <c r="G74" s="839"/>
    </row>
    <row r="75" spans="1:9" s="170" customFormat="1" ht="11.25" customHeight="1" x14ac:dyDescent="0.2">
      <c r="A75" s="325"/>
      <c r="B75" s="325"/>
      <c r="C75" s="326"/>
      <c r="D75" s="327"/>
      <c r="E75" s="327"/>
      <c r="F75" s="328"/>
      <c r="G75" s="328"/>
    </row>
    <row r="76" spans="1:9" s="170" customFormat="1" ht="11.25" x14ac:dyDescent="0.2">
      <c r="C76" s="212"/>
    </row>
    <row r="77" spans="1:9" s="177" customFormat="1" ht="11.25" x14ac:dyDescent="0.2">
      <c r="A77" s="777" t="s">
        <v>238</v>
      </c>
      <c r="B77" s="777"/>
      <c r="C77" s="777"/>
      <c r="D77" s="777"/>
      <c r="E77" s="777"/>
      <c r="F77" s="777"/>
      <c r="G77" s="777"/>
      <c r="H77" s="777"/>
      <c r="I77" s="777"/>
    </row>
    <row r="78" spans="1:9" s="170" customFormat="1" ht="11.25" x14ac:dyDescent="0.2"/>
    <row r="79" spans="1:9" s="170" customFormat="1" ht="11.25" x14ac:dyDescent="0.2">
      <c r="A79" s="840" t="s">
        <v>340</v>
      </c>
      <c r="B79" s="841"/>
      <c r="C79" s="841"/>
      <c r="D79" s="841"/>
      <c r="E79" s="841"/>
      <c r="F79" s="841"/>
      <c r="G79" s="841"/>
      <c r="H79" s="841"/>
      <c r="I79" s="842"/>
    </row>
    <row r="80" spans="1:9" s="170" customFormat="1" ht="11.25" x14ac:dyDescent="0.2"/>
    <row r="81" spans="1:9" s="169" customFormat="1" ht="10.5" x14ac:dyDescent="0.15">
      <c r="A81" s="781" t="s">
        <v>165</v>
      </c>
      <c r="B81" s="781"/>
      <c r="C81" s="781"/>
      <c r="D81" s="781"/>
      <c r="E81" s="781"/>
      <c r="F81" s="781"/>
      <c r="G81" s="781"/>
      <c r="H81" s="781"/>
      <c r="I81" s="781"/>
    </row>
    <row r="82" spans="1:9" s="170" customFormat="1" ht="11.25" x14ac:dyDescent="0.2"/>
    <row r="83" spans="1:9" s="170" customFormat="1" ht="48.6" customHeight="1" x14ac:dyDescent="0.2">
      <c r="A83" s="778" t="s">
        <v>702</v>
      </c>
      <c r="B83" s="779"/>
      <c r="C83" s="779"/>
      <c r="D83" s="779"/>
      <c r="E83" s="779"/>
      <c r="F83" s="779"/>
      <c r="G83" s="779"/>
      <c r="H83" s="779"/>
      <c r="I83" s="780"/>
    </row>
    <row r="84" spans="1:9" s="170" customFormat="1" ht="18.75" customHeight="1" x14ac:dyDescent="0.2">
      <c r="A84" s="835"/>
      <c r="B84" s="835"/>
      <c r="C84" s="835"/>
      <c r="D84" s="835"/>
      <c r="E84" s="835"/>
      <c r="F84" s="835"/>
      <c r="G84" s="835"/>
      <c r="H84" s="835"/>
      <c r="I84" s="835"/>
    </row>
    <row r="85" spans="1:9" x14ac:dyDescent="0.2">
      <c r="A85" s="170" t="s">
        <v>342</v>
      </c>
    </row>
    <row r="86" spans="1:9" ht="14.25" customHeight="1" x14ac:dyDescent="0.2">
      <c r="A86" s="329" t="s">
        <v>703</v>
      </c>
    </row>
    <row r="87" spans="1:9" ht="13.5" customHeight="1" x14ac:dyDescent="0.2">
      <c r="A87" s="246"/>
    </row>
  </sheetData>
  <mergeCells count="73">
    <mergeCell ref="F13:G13"/>
    <mergeCell ref="H13:I13"/>
    <mergeCell ref="A1:I1"/>
    <mergeCell ref="A3:I3"/>
    <mergeCell ref="A5:B5"/>
    <mergeCell ref="A6:B6"/>
    <mergeCell ref="D6:I6"/>
    <mergeCell ref="A7:B7"/>
    <mergeCell ref="D7:I7"/>
    <mergeCell ref="A8:B8"/>
    <mergeCell ref="D8:I8"/>
    <mergeCell ref="A10:I10"/>
    <mergeCell ref="F12:G12"/>
    <mergeCell ref="H12:I12"/>
    <mergeCell ref="F14:G14"/>
    <mergeCell ref="H14:I14"/>
    <mergeCell ref="F15:G15"/>
    <mergeCell ref="H15:I15"/>
    <mergeCell ref="F16:G16"/>
    <mergeCell ref="H16:I16"/>
    <mergeCell ref="A34:I34"/>
    <mergeCell ref="F17:G17"/>
    <mergeCell ref="H17:I17"/>
    <mergeCell ref="F18:G18"/>
    <mergeCell ref="A20:I20"/>
    <mergeCell ref="D22:I22"/>
    <mergeCell ref="D23:I23"/>
    <mergeCell ref="C24:I24"/>
    <mergeCell ref="A27:I27"/>
    <mergeCell ref="D29:I29"/>
    <mergeCell ref="D30:I30"/>
    <mergeCell ref="C31:I31"/>
    <mergeCell ref="A50:B50"/>
    <mergeCell ref="C36:I36"/>
    <mergeCell ref="C37:I37"/>
    <mergeCell ref="C38:I38"/>
    <mergeCell ref="A41:I41"/>
    <mergeCell ref="A43:B43"/>
    <mergeCell ref="A44:B44"/>
    <mergeCell ref="A45:B45"/>
    <mergeCell ref="A46:B46"/>
    <mergeCell ref="A47:B47"/>
    <mergeCell ref="A48:B48"/>
    <mergeCell ref="A49:B49"/>
    <mergeCell ref="A62:B62"/>
    <mergeCell ref="A51:B51"/>
    <mergeCell ref="A52:B52"/>
    <mergeCell ref="A53:B53"/>
    <mergeCell ref="A54:B54"/>
    <mergeCell ref="A55:B55"/>
    <mergeCell ref="A56:B56"/>
    <mergeCell ref="A57:B57"/>
    <mergeCell ref="A58:B58"/>
    <mergeCell ref="A59:B59"/>
    <mergeCell ref="A60:B60"/>
    <mergeCell ref="A61:B61"/>
    <mergeCell ref="F74:G74"/>
    <mergeCell ref="A63:B63"/>
    <mergeCell ref="F63:G63"/>
    <mergeCell ref="A65:I65"/>
    <mergeCell ref="A67:B67"/>
    <mergeCell ref="A68:B68"/>
    <mergeCell ref="A69:B69"/>
    <mergeCell ref="A70:B70"/>
    <mergeCell ref="A71:B71"/>
    <mergeCell ref="A72:B72"/>
    <mergeCell ref="A73:B73"/>
    <mergeCell ref="A74:B74"/>
    <mergeCell ref="A77:I77"/>
    <mergeCell ref="A79:I79"/>
    <mergeCell ref="A81:I81"/>
    <mergeCell ref="A83:I83"/>
    <mergeCell ref="A84:I84"/>
  </mergeCells>
  <pageMargins left="0.70866141732283472" right="0.70866141732283472" top="0.78740157480314965" bottom="0.78740157480314965" header="0.31496062992125984" footer="0.31496062992125984"/>
  <pageSetup paperSize="9" scale="52" firstPageNumber="108" orientation="portrait" useFirstPageNumber="1" r:id="rId1"/>
  <headerFoot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6"/>
  <sheetViews>
    <sheetView workbookViewId="0">
      <selection activeCell="C51" sqref="C51"/>
    </sheetView>
  </sheetViews>
  <sheetFormatPr defaultColWidth="3.7109375" defaultRowHeight="15" x14ac:dyDescent="0.25"/>
  <cols>
    <col min="1" max="1" width="3.140625" style="2" customWidth="1"/>
    <col min="2" max="2" width="3.7109375" style="3" customWidth="1"/>
    <col min="3" max="3" width="21" style="3" customWidth="1"/>
    <col min="4" max="4" width="4.85546875" style="3" customWidth="1"/>
    <col min="5" max="7" width="6.28515625" style="3" customWidth="1"/>
    <col min="8" max="8" width="5" style="3" customWidth="1"/>
    <col min="9" max="12" width="6.28515625" style="3" customWidth="1"/>
    <col min="13" max="13" width="5" style="3" customWidth="1"/>
    <col min="14" max="17" width="6.28515625" style="3" customWidth="1"/>
    <col min="18" max="18" width="5" style="3" customWidth="1"/>
    <col min="19" max="22" width="6.28515625" style="3" customWidth="1"/>
    <col min="23" max="23" width="5" style="3" customWidth="1"/>
    <col min="24" max="24" width="6.28515625" style="3" customWidth="1"/>
    <col min="25" max="16384" width="3.7109375" style="3"/>
  </cols>
  <sheetData>
    <row r="1" spans="1:24" s="6" customFormat="1" ht="15.75" x14ac:dyDescent="0.25">
      <c r="A1" s="759" t="s">
        <v>97</v>
      </c>
      <c r="B1" s="759"/>
      <c r="C1" s="759"/>
      <c r="D1" s="759"/>
      <c r="E1" s="759"/>
      <c r="F1" s="759"/>
      <c r="G1" s="759"/>
      <c r="H1" s="759"/>
      <c r="I1" s="759"/>
      <c r="J1" s="759"/>
      <c r="K1" s="759"/>
      <c r="L1" s="759"/>
      <c r="M1" s="759"/>
      <c r="N1" s="759"/>
      <c r="O1" s="759"/>
      <c r="P1" s="759"/>
      <c r="Q1" s="759"/>
      <c r="R1" s="759"/>
      <c r="S1" s="759"/>
      <c r="T1" s="759"/>
      <c r="U1" s="759"/>
      <c r="V1" s="759"/>
      <c r="W1" s="759"/>
      <c r="X1" s="759"/>
    </row>
    <row r="3" spans="1:24" s="7" customFormat="1" ht="9.75" customHeight="1" x14ac:dyDescent="0.2">
      <c r="A3" s="920" t="s">
        <v>1</v>
      </c>
      <c r="B3" s="925" t="s">
        <v>2</v>
      </c>
      <c r="C3" s="924"/>
      <c r="D3" s="925" t="s">
        <v>3</v>
      </c>
      <c r="E3" s="926" t="s">
        <v>4</v>
      </c>
      <c r="F3" s="926"/>
      <c r="G3" s="926"/>
      <c r="H3" s="926"/>
      <c r="I3" s="926"/>
      <c r="J3" s="926" t="s">
        <v>5</v>
      </c>
      <c r="K3" s="926"/>
      <c r="L3" s="926"/>
      <c r="M3" s="926"/>
      <c r="N3" s="926"/>
      <c r="O3" s="926" t="s">
        <v>6</v>
      </c>
      <c r="P3" s="926"/>
      <c r="Q3" s="926"/>
      <c r="R3" s="926"/>
      <c r="S3" s="926"/>
      <c r="T3" s="926" t="s">
        <v>7</v>
      </c>
      <c r="U3" s="926"/>
      <c r="V3" s="926"/>
      <c r="W3" s="926"/>
      <c r="X3" s="926"/>
    </row>
    <row r="4" spans="1:24" s="8" customFormat="1" ht="9.75" customHeight="1" x14ac:dyDescent="0.2">
      <c r="A4" s="924"/>
      <c r="B4" s="924"/>
      <c r="C4" s="924"/>
      <c r="D4" s="925"/>
      <c r="E4" s="922" t="s">
        <v>8</v>
      </c>
      <c r="F4" s="923" t="s">
        <v>9</v>
      </c>
      <c r="G4" s="923"/>
      <c r="H4" s="923"/>
      <c r="I4" s="920" t="s">
        <v>10</v>
      </c>
      <c r="J4" s="922" t="s">
        <v>8</v>
      </c>
      <c r="K4" s="923" t="s">
        <v>9</v>
      </c>
      <c r="L4" s="923"/>
      <c r="M4" s="923"/>
      <c r="N4" s="920" t="s">
        <v>10</v>
      </c>
      <c r="O4" s="922" t="s">
        <v>8</v>
      </c>
      <c r="P4" s="923" t="s">
        <v>9</v>
      </c>
      <c r="Q4" s="923"/>
      <c r="R4" s="923"/>
      <c r="S4" s="920" t="s">
        <v>10</v>
      </c>
      <c r="T4" s="922" t="s">
        <v>8</v>
      </c>
      <c r="U4" s="923" t="s">
        <v>9</v>
      </c>
      <c r="V4" s="923"/>
      <c r="W4" s="923"/>
      <c r="X4" s="920" t="s">
        <v>10</v>
      </c>
    </row>
    <row r="5" spans="1:24" s="10" customFormat="1" ht="9.75" customHeight="1" x14ac:dyDescent="0.2">
      <c r="A5" s="924"/>
      <c r="B5" s="924"/>
      <c r="C5" s="924"/>
      <c r="D5" s="925"/>
      <c r="E5" s="922"/>
      <c r="F5" s="146" t="s">
        <v>11</v>
      </c>
      <c r="G5" s="146" t="s">
        <v>12</v>
      </c>
      <c r="H5" s="146" t="s">
        <v>13</v>
      </c>
      <c r="I5" s="920"/>
      <c r="J5" s="922"/>
      <c r="K5" s="146" t="s">
        <v>11</v>
      </c>
      <c r="L5" s="146" t="s">
        <v>12</v>
      </c>
      <c r="M5" s="146" t="s">
        <v>13</v>
      </c>
      <c r="N5" s="920"/>
      <c r="O5" s="922"/>
      <c r="P5" s="146" t="s">
        <v>11</v>
      </c>
      <c r="Q5" s="146" t="s">
        <v>12</v>
      </c>
      <c r="R5" s="146" t="s">
        <v>13</v>
      </c>
      <c r="S5" s="920"/>
      <c r="T5" s="922"/>
      <c r="U5" s="146" t="s">
        <v>11</v>
      </c>
      <c r="V5" s="146" t="s">
        <v>12</v>
      </c>
      <c r="W5" s="146" t="s">
        <v>13</v>
      </c>
      <c r="X5" s="920"/>
    </row>
    <row r="6" spans="1:24" s="7" customFormat="1" ht="9.75" customHeight="1" x14ac:dyDescent="0.2">
      <c r="A6" s="147" t="s">
        <v>14</v>
      </c>
      <c r="B6" s="921" t="s">
        <v>15</v>
      </c>
      <c r="C6" s="921"/>
      <c r="D6" s="148" t="s">
        <v>16</v>
      </c>
      <c r="E6" s="149">
        <f>SUM(E7:E9)</f>
        <v>44200080</v>
      </c>
      <c r="F6" s="149">
        <f>SUM(F7:F9)</f>
        <v>48457715.469999999</v>
      </c>
      <c r="G6" s="149">
        <f>SUM(G7:G9)</f>
        <v>26316013.779999997</v>
      </c>
      <c r="H6" s="150">
        <f t="shared" ref="H6:H36" si="0">G6/F6*100</f>
        <v>54.307169714371184</v>
      </c>
      <c r="I6" s="149">
        <f>SUM(I7:I9)</f>
        <v>21305547</v>
      </c>
      <c r="J6" s="149">
        <f>SUM(J7:J9)</f>
        <v>5649400</v>
      </c>
      <c r="K6" s="149">
        <f t="shared" ref="K6:X6" si="1">SUM(K7:K9)</f>
        <v>8309756</v>
      </c>
      <c r="L6" s="149">
        <f t="shared" si="1"/>
        <v>5573881.54</v>
      </c>
      <c r="M6" s="150">
        <f>L6/K6*100</f>
        <v>67.076356273276858</v>
      </c>
      <c r="N6" s="149">
        <f t="shared" si="1"/>
        <v>3306571</v>
      </c>
      <c r="O6" s="149">
        <f t="shared" si="1"/>
        <v>38550680</v>
      </c>
      <c r="P6" s="149">
        <f t="shared" si="1"/>
        <v>40147959.469999999</v>
      </c>
      <c r="Q6" s="149">
        <f t="shared" si="1"/>
        <v>20742132.239999998</v>
      </c>
      <c r="R6" s="150">
        <f>Q6/P6*100</f>
        <v>51.664225315110393</v>
      </c>
      <c r="S6" s="149">
        <f t="shared" si="1"/>
        <v>17998976</v>
      </c>
      <c r="T6" s="149">
        <f t="shared" si="1"/>
        <v>350000</v>
      </c>
      <c r="U6" s="149">
        <f t="shared" si="1"/>
        <v>350000</v>
      </c>
      <c r="V6" s="149">
        <f t="shared" si="1"/>
        <v>281938.38</v>
      </c>
      <c r="W6" s="150">
        <f>V6/U6*100</f>
        <v>80.553822857142848</v>
      </c>
      <c r="X6" s="149">
        <f t="shared" si="1"/>
        <v>314824</v>
      </c>
    </row>
    <row r="7" spans="1:24" s="7" customFormat="1" ht="9.75" x14ac:dyDescent="0.2">
      <c r="A7" s="15" t="s">
        <v>17</v>
      </c>
      <c r="B7" s="750" t="s">
        <v>18</v>
      </c>
      <c r="C7" s="750"/>
      <c r="D7" s="16" t="s">
        <v>16</v>
      </c>
      <c r="E7" s="17">
        <f t="shared" ref="E7:G10" si="2">SUM(J7,O7)</f>
        <v>393000</v>
      </c>
      <c r="F7" s="17">
        <f t="shared" si="2"/>
        <v>523356</v>
      </c>
      <c r="G7" s="17">
        <f t="shared" si="2"/>
        <v>415391</v>
      </c>
      <c r="H7" s="18">
        <f t="shared" si="0"/>
        <v>79.370638723927883</v>
      </c>
      <c r="I7" s="17">
        <f>SUM(N7,S7)</f>
        <v>308760</v>
      </c>
      <c r="J7" s="42">
        <v>393000</v>
      </c>
      <c r="K7" s="19">
        <v>523356</v>
      </c>
      <c r="L7" s="19">
        <v>415391</v>
      </c>
      <c r="M7" s="18">
        <f>L7/K7*100</f>
        <v>79.370638723927883</v>
      </c>
      <c r="N7" s="19">
        <v>308760</v>
      </c>
      <c r="O7" s="19">
        <v>0</v>
      </c>
      <c r="P7" s="19">
        <v>0</v>
      </c>
      <c r="Q7" s="19">
        <v>0</v>
      </c>
      <c r="R7" s="18">
        <v>0</v>
      </c>
      <c r="S7" s="19">
        <v>0</v>
      </c>
      <c r="T7" s="19">
        <v>350000</v>
      </c>
      <c r="U7" s="19">
        <v>350000</v>
      </c>
      <c r="V7" s="19">
        <v>281938.38</v>
      </c>
      <c r="W7" s="18">
        <f>V7/U7*100</f>
        <v>80.553822857142848</v>
      </c>
      <c r="X7" s="19">
        <v>314824</v>
      </c>
    </row>
    <row r="8" spans="1:24" s="7" customFormat="1" ht="9.75" x14ac:dyDescent="0.2">
      <c r="A8" s="20" t="s">
        <v>19</v>
      </c>
      <c r="B8" s="758" t="s">
        <v>20</v>
      </c>
      <c r="C8" s="758"/>
      <c r="D8" s="16" t="s">
        <v>16</v>
      </c>
      <c r="E8" s="17">
        <f t="shared" si="2"/>
        <v>1000</v>
      </c>
      <c r="F8" s="17">
        <f>SUM(K8,P8)</f>
        <v>1000</v>
      </c>
      <c r="G8" s="17">
        <f t="shared" si="2"/>
        <v>813.31</v>
      </c>
      <c r="H8" s="18">
        <f t="shared" si="0"/>
        <v>81.331000000000003</v>
      </c>
      <c r="I8" s="17">
        <f>SUM(N8,S8)</f>
        <v>496</v>
      </c>
      <c r="J8" s="43">
        <v>1000</v>
      </c>
      <c r="K8" s="17">
        <v>1000</v>
      </c>
      <c r="L8" s="17">
        <v>790.54</v>
      </c>
      <c r="M8" s="18">
        <f>L8/K8*100</f>
        <v>79.053999999999988</v>
      </c>
      <c r="N8" s="17">
        <v>471</v>
      </c>
      <c r="O8" s="17">
        <v>0</v>
      </c>
      <c r="P8" s="17">
        <v>0</v>
      </c>
      <c r="Q8" s="17">
        <v>22.77</v>
      </c>
      <c r="R8" s="18">
        <v>0</v>
      </c>
      <c r="S8" s="17">
        <v>25</v>
      </c>
      <c r="T8" s="17">
        <v>0</v>
      </c>
      <c r="U8" s="17">
        <v>0</v>
      </c>
      <c r="V8" s="17">
        <v>0</v>
      </c>
      <c r="W8" s="18">
        <v>0</v>
      </c>
      <c r="X8" s="17">
        <v>0</v>
      </c>
    </row>
    <row r="9" spans="1:24" s="7" customFormat="1" ht="9.75" x14ac:dyDescent="0.2">
      <c r="A9" s="20" t="s">
        <v>21</v>
      </c>
      <c r="B9" s="21" t="s">
        <v>22</v>
      </c>
      <c r="C9" s="22"/>
      <c r="D9" s="16" t="s">
        <v>16</v>
      </c>
      <c r="E9" s="17">
        <f t="shared" si="2"/>
        <v>43806080</v>
      </c>
      <c r="F9" s="17">
        <f t="shared" si="2"/>
        <v>47933359.469999999</v>
      </c>
      <c r="G9" s="17">
        <f t="shared" si="2"/>
        <v>25899809.469999999</v>
      </c>
      <c r="H9" s="18">
        <f t="shared" si="0"/>
        <v>54.032952741837107</v>
      </c>
      <c r="I9" s="17">
        <f>SUM(N9,S9)</f>
        <v>20996291</v>
      </c>
      <c r="J9" s="43">
        <v>5255400</v>
      </c>
      <c r="K9" s="17">
        <v>7785400</v>
      </c>
      <c r="L9" s="17">
        <v>5157700</v>
      </c>
      <c r="M9" s="18">
        <f>L9/K9*100</f>
        <v>66.248362319212887</v>
      </c>
      <c r="N9" s="17">
        <v>2997340</v>
      </c>
      <c r="O9" s="17">
        <v>38550680</v>
      </c>
      <c r="P9" s="17">
        <f>38846660+112854+1188445.47</f>
        <v>40147959.469999999</v>
      </c>
      <c r="Q9" s="17">
        <f>19440810+112854+1188445.47</f>
        <v>20742109.469999999</v>
      </c>
      <c r="R9" s="18">
        <f>Q9/P9*100</f>
        <v>51.664168599899206</v>
      </c>
      <c r="S9" s="17">
        <v>17998951</v>
      </c>
      <c r="T9" s="17">
        <v>0</v>
      </c>
      <c r="U9" s="17">
        <v>0</v>
      </c>
      <c r="V9" s="17">
        <v>0</v>
      </c>
      <c r="W9" s="18">
        <v>0</v>
      </c>
      <c r="X9" s="17">
        <v>0</v>
      </c>
    </row>
    <row r="10" spans="1:24" s="7" customFormat="1" ht="9.75" x14ac:dyDescent="0.2">
      <c r="A10" s="147" t="s">
        <v>23</v>
      </c>
      <c r="B10" s="921" t="s">
        <v>24</v>
      </c>
      <c r="C10" s="921"/>
      <c r="D10" s="148" t="s">
        <v>16</v>
      </c>
      <c r="E10" s="151">
        <f t="shared" si="2"/>
        <v>0</v>
      </c>
      <c r="F10" s="151">
        <f t="shared" si="2"/>
        <v>0</v>
      </c>
      <c r="G10" s="151">
        <f t="shared" si="2"/>
        <v>0</v>
      </c>
      <c r="H10" s="150">
        <v>0</v>
      </c>
      <c r="I10" s="151">
        <f>SUM(N10,S10)</f>
        <v>0</v>
      </c>
      <c r="J10" s="152">
        <v>0</v>
      </c>
      <c r="K10" s="151">
        <v>0</v>
      </c>
      <c r="L10" s="151">
        <v>0</v>
      </c>
      <c r="M10" s="150">
        <v>0</v>
      </c>
      <c r="N10" s="151">
        <v>0</v>
      </c>
      <c r="O10" s="151">
        <v>0</v>
      </c>
      <c r="P10" s="151">
        <v>0</v>
      </c>
      <c r="Q10" s="151">
        <v>0</v>
      </c>
      <c r="R10" s="150" t="e">
        <f>Q10/P10*100</f>
        <v>#DIV/0!</v>
      </c>
      <c r="S10" s="151">
        <v>0</v>
      </c>
      <c r="T10" s="151">
        <v>0</v>
      </c>
      <c r="U10" s="151">
        <v>0</v>
      </c>
      <c r="V10" s="151">
        <v>0</v>
      </c>
      <c r="W10" s="150">
        <v>0</v>
      </c>
      <c r="X10" s="151">
        <v>0</v>
      </c>
    </row>
    <row r="11" spans="1:24" s="7" customFormat="1" ht="9.75" x14ac:dyDescent="0.2">
      <c r="A11" s="147" t="s">
        <v>25</v>
      </c>
      <c r="B11" s="921" t="s">
        <v>26</v>
      </c>
      <c r="C11" s="921"/>
      <c r="D11" s="148" t="s">
        <v>16</v>
      </c>
      <c r="E11" s="149">
        <f>SUM(E12:E31)</f>
        <v>44200080</v>
      </c>
      <c r="F11" s="149">
        <f>SUM(F12:F31)</f>
        <v>48457715.060000002</v>
      </c>
      <c r="G11" s="149">
        <f>SUM(G12:G31)</f>
        <v>23432526.77</v>
      </c>
      <c r="H11" s="150">
        <v>0</v>
      </c>
      <c r="I11" s="149">
        <f>SUM(I12:I31)</f>
        <v>19008480</v>
      </c>
      <c r="J11" s="149">
        <f>SUM(J12:J31)</f>
        <v>5649400</v>
      </c>
      <c r="K11" s="149">
        <f>SUM(K12:K31)</f>
        <v>8309756</v>
      </c>
      <c r="L11" s="149">
        <f>SUM(L12:L31)</f>
        <v>3267963.6</v>
      </c>
      <c r="M11" s="150">
        <v>0</v>
      </c>
      <c r="N11" s="149">
        <f>SUM(N12:N31)</f>
        <v>2439569</v>
      </c>
      <c r="O11" s="149">
        <f>SUM(O12:O31)</f>
        <v>38550680</v>
      </c>
      <c r="P11" s="149">
        <f>SUM(P12:P31)</f>
        <v>40147959.060000002</v>
      </c>
      <c r="Q11" s="149">
        <f>SUM(Q12:Q31)</f>
        <v>20164563.170000002</v>
      </c>
      <c r="R11" s="150">
        <f>Q11/P11*100</f>
        <v>50.225624520201947</v>
      </c>
      <c r="S11" s="149">
        <f>SUM(S12:S31)</f>
        <v>16568911</v>
      </c>
      <c r="T11" s="149">
        <f>SUM(T12:T31)</f>
        <v>269840</v>
      </c>
      <c r="U11" s="149">
        <f>SUM(U12:U31)</f>
        <v>269840</v>
      </c>
      <c r="V11" s="149">
        <f>SUM(V12:V31)</f>
        <v>89621</v>
      </c>
      <c r="W11" s="150">
        <f>V11/U11*100</f>
        <v>33.212644530091907</v>
      </c>
      <c r="X11" s="149">
        <f>SUM(X12:X31)</f>
        <v>127831</v>
      </c>
    </row>
    <row r="12" spans="1:24" s="7" customFormat="1" ht="9.75" x14ac:dyDescent="0.2">
      <c r="A12" s="15" t="s">
        <v>27</v>
      </c>
      <c r="B12" s="750" t="s">
        <v>28</v>
      </c>
      <c r="C12" s="750"/>
      <c r="D12" s="16" t="s">
        <v>16</v>
      </c>
      <c r="E12" s="17">
        <f t="shared" ref="E12:I29" si="3">SUM(J12,O12)</f>
        <v>878740</v>
      </c>
      <c r="F12" s="17">
        <f t="shared" si="3"/>
        <v>1361838</v>
      </c>
      <c r="G12" s="17">
        <f t="shared" si="3"/>
        <v>381441</v>
      </c>
      <c r="H12" s="18">
        <f t="shared" si="0"/>
        <v>28.009278636666036</v>
      </c>
      <c r="I12" s="17">
        <f t="shared" si="3"/>
        <v>228888</v>
      </c>
      <c r="J12" s="44">
        <v>701360</v>
      </c>
      <c r="K12" s="25">
        <v>1207458</v>
      </c>
      <c r="L12" s="25">
        <v>352191</v>
      </c>
      <c r="M12" s="18">
        <f>L12/K12*100</f>
        <v>29.16797105986295</v>
      </c>
      <c r="N12" s="26">
        <v>220159</v>
      </c>
      <c r="O12" s="25">
        <v>177380</v>
      </c>
      <c r="P12" s="25">
        <f>185380-31000</f>
        <v>154380</v>
      </c>
      <c r="Q12" s="25">
        <v>29250</v>
      </c>
      <c r="R12" s="18">
        <f>Q12/P12*100</f>
        <v>18.946754760979402</v>
      </c>
      <c r="S12" s="25">
        <v>8729</v>
      </c>
      <c r="T12" s="25">
        <v>20000</v>
      </c>
      <c r="U12" s="25">
        <v>20000</v>
      </c>
      <c r="V12" s="25">
        <v>3276</v>
      </c>
      <c r="W12" s="18">
        <f>V12/U12*100</f>
        <v>16.38</v>
      </c>
      <c r="X12" s="26">
        <v>6120</v>
      </c>
    </row>
    <row r="13" spans="1:24" s="7" customFormat="1" ht="9.75" x14ac:dyDescent="0.2">
      <c r="A13" s="15" t="s">
        <v>29</v>
      </c>
      <c r="B13" s="750" t="s">
        <v>30</v>
      </c>
      <c r="C13" s="750"/>
      <c r="D13" s="16" t="s">
        <v>16</v>
      </c>
      <c r="E13" s="17">
        <f t="shared" si="3"/>
        <v>2080000</v>
      </c>
      <c r="F13" s="17">
        <f t="shared" si="3"/>
        <v>2080000</v>
      </c>
      <c r="G13" s="17">
        <f t="shared" si="3"/>
        <v>1211285</v>
      </c>
      <c r="H13" s="18">
        <f t="shared" si="0"/>
        <v>58.234855769230762</v>
      </c>
      <c r="I13" s="17">
        <f t="shared" si="3"/>
        <v>1273762</v>
      </c>
      <c r="J13" s="44">
        <v>2080000</v>
      </c>
      <c r="K13" s="17">
        <v>2080000</v>
      </c>
      <c r="L13" s="17">
        <v>1211285</v>
      </c>
      <c r="M13" s="18">
        <f>L13/K13*100</f>
        <v>58.234855769230762</v>
      </c>
      <c r="N13" s="17">
        <v>1273762</v>
      </c>
      <c r="O13" s="17">
        <v>0</v>
      </c>
      <c r="P13" s="17">
        <v>0</v>
      </c>
      <c r="Q13" s="17">
        <v>0</v>
      </c>
      <c r="R13" s="18">
        <v>0</v>
      </c>
      <c r="S13" s="17">
        <v>0</v>
      </c>
      <c r="T13" s="17">
        <v>155000</v>
      </c>
      <c r="U13" s="17">
        <v>155000</v>
      </c>
      <c r="V13" s="17">
        <v>49114</v>
      </c>
      <c r="W13" s="18">
        <f>V13/U13*100</f>
        <v>31.686451612903227</v>
      </c>
      <c r="X13" s="17">
        <v>71325</v>
      </c>
    </row>
    <row r="14" spans="1:24" s="7" customFormat="1" ht="9.75" x14ac:dyDescent="0.2">
      <c r="A14" s="15" t="s">
        <v>31</v>
      </c>
      <c r="B14" s="21" t="s">
        <v>32</v>
      </c>
      <c r="C14" s="21"/>
      <c r="D14" s="16" t="s">
        <v>16</v>
      </c>
      <c r="E14" s="17">
        <f t="shared" si="3"/>
        <v>0</v>
      </c>
      <c r="F14" s="17">
        <f t="shared" si="3"/>
        <v>0</v>
      </c>
      <c r="G14" s="17">
        <f t="shared" si="3"/>
        <v>0</v>
      </c>
      <c r="H14" s="18">
        <v>0</v>
      </c>
      <c r="I14" s="17">
        <f t="shared" si="3"/>
        <v>0</v>
      </c>
      <c r="J14" s="44">
        <v>0</v>
      </c>
      <c r="K14" s="17">
        <v>0</v>
      </c>
      <c r="L14" s="17">
        <v>0</v>
      </c>
      <c r="M14" s="18">
        <v>0</v>
      </c>
      <c r="N14" s="17">
        <v>0</v>
      </c>
      <c r="O14" s="17">
        <v>0</v>
      </c>
      <c r="P14" s="17">
        <v>0</v>
      </c>
      <c r="Q14" s="17">
        <v>0</v>
      </c>
      <c r="R14" s="18">
        <v>0</v>
      </c>
      <c r="S14" s="17">
        <v>0</v>
      </c>
      <c r="T14" s="17">
        <v>0</v>
      </c>
      <c r="U14" s="17">
        <v>0</v>
      </c>
      <c r="V14" s="17">
        <v>0</v>
      </c>
      <c r="W14" s="18">
        <v>0</v>
      </c>
      <c r="X14" s="17">
        <v>0</v>
      </c>
    </row>
    <row r="15" spans="1:24" s="7" customFormat="1" ht="9.75" x14ac:dyDescent="0.2">
      <c r="A15" s="15" t="s">
        <v>33</v>
      </c>
      <c r="B15" s="750" t="s">
        <v>34</v>
      </c>
      <c r="C15" s="750"/>
      <c r="D15" s="16" t="s">
        <v>16</v>
      </c>
      <c r="E15" s="17">
        <f t="shared" si="3"/>
        <v>640000</v>
      </c>
      <c r="F15" s="17">
        <f t="shared" si="3"/>
        <v>2336185</v>
      </c>
      <c r="G15" s="17">
        <f t="shared" si="3"/>
        <v>785349</v>
      </c>
      <c r="H15" s="18">
        <f t="shared" si="0"/>
        <v>33.616729839460483</v>
      </c>
      <c r="I15" s="17">
        <f t="shared" si="3"/>
        <v>72018</v>
      </c>
      <c r="J15" s="44">
        <v>640000</v>
      </c>
      <c r="K15" s="17">
        <v>2336185</v>
      </c>
      <c r="L15" s="17">
        <v>785349</v>
      </c>
      <c r="M15" s="18">
        <f>L15/K15*100</f>
        <v>33.616729839460483</v>
      </c>
      <c r="N15" s="26">
        <v>72018</v>
      </c>
      <c r="O15" s="17">
        <v>0</v>
      </c>
      <c r="P15" s="17">
        <v>0</v>
      </c>
      <c r="Q15" s="17">
        <v>0</v>
      </c>
      <c r="R15" s="18">
        <v>0</v>
      </c>
      <c r="S15" s="17">
        <v>0</v>
      </c>
      <c r="T15" s="17">
        <v>25000</v>
      </c>
      <c r="U15" s="17">
        <v>25000</v>
      </c>
      <c r="V15" s="17">
        <v>428</v>
      </c>
      <c r="W15" s="18">
        <f>V15/U15*100</f>
        <v>1.712</v>
      </c>
      <c r="X15" s="17">
        <v>3220</v>
      </c>
    </row>
    <row r="16" spans="1:24" s="7" customFormat="1" ht="9.75" x14ac:dyDescent="0.2">
      <c r="A16" s="15" t="s">
        <v>35</v>
      </c>
      <c r="B16" s="750" t="s">
        <v>36</v>
      </c>
      <c r="C16" s="750"/>
      <c r="D16" s="16" t="s">
        <v>16</v>
      </c>
      <c r="E16" s="17">
        <f t="shared" si="3"/>
        <v>48000</v>
      </c>
      <c r="F16" s="17">
        <f t="shared" si="3"/>
        <v>48000</v>
      </c>
      <c r="G16" s="17">
        <f t="shared" si="3"/>
        <v>36288</v>
      </c>
      <c r="H16" s="18">
        <f t="shared" si="0"/>
        <v>75.599999999999994</v>
      </c>
      <c r="I16" s="17">
        <f t="shared" si="3"/>
        <v>40862</v>
      </c>
      <c r="J16" s="44">
        <v>3000</v>
      </c>
      <c r="K16" s="17">
        <v>3000</v>
      </c>
      <c r="L16" s="17">
        <v>2025</v>
      </c>
      <c r="M16" s="18">
        <f>L16/K16*100</f>
        <v>67.5</v>
      </c>
      <c r="N16" s="26">
        <v>880</v>
      </c>
      <c r="O16" s="17">
        <v>45000</v>
      </c>
      <c r="P16" s="17">
        <f>45000</f>
        <v>45000</v>
      </c>
      <c r="Q16" s="17">
        <f>31793+2470</f>
        <v>34263</v>
      </c>
      <c r="R16" s="18">
        <f>Q16/P16*100</f>
        <v>76.14</v>
      </c>
      <c r="S16" s="17">
        <v>39982</v>
      </c>
      <c r="T16" s="17">
        <v>0</v>
      </c>
      <c r="U16" s="17">
        <v>0</v>
      </c>
      <c r="V16" s="17">
        <v>0</v>
      </c>
      <c r="W16" s="18">
        <v>0</v>
      </c>
      <c r="X16" s="17">
        <v>0</v>
      </c>
    </row>
    <row r="17" spans="1:24" s="7" customFormat="1" ht="9.75" x14ac:dyDescent="0.2">
      <c r="A17" s="15" t="s">
        <v>37</v>
      </c>
      <c r="B17" s="21" t="s">
        <v>38</v>
      </c>
      <c r="C17" s="21"/>
      <c r="D17" s="16" t="s">
        <v>16</v>
      </c>
      <c r="E17" s="17">
        <f t="shared" si="3"/>
        <v>5000</v>
      </c>
      <c r="F17" s="17">
        <f t="shared" si="3"/>
        <v>5000</v>
      </c>
      <c r="G17" s="17">
        <f t="shared" si="3"/>
        <v>1422</v>
      </c>
      <c r="H17" s="18">
        <f t="shared" si="0"/>
        <v>28.439999999999998</v>
      </c>
      <c r="I17" s="17">
        <f t="shared" si="3"/>
        <v>2063</v>
      </c>
      <c r="J17" s="44">
        <v>5000</v>
      </c>
      <c r="K17" s="17">
        <v>5000</v>
      </c>
      <c r="L17" s="17">
        <v>1422</v>
      </c>
      <c r="M17" s="18">
        <f>L17/K17*100</f>
        <v>28.439999999999998</v>
      </c>
      <c r="N17" s="26">
        <v>2063</v>
      </c>
      <c r="O17" s="17">
        <v>0</v>
      </c>
      <c r="P17" s="17">
        <v>0</v>
      </c>
      <c r="Q17" s="17">
        <v>0</v>
      </c>
      <c r="R17" s="18">
        <v>0</v>
      </c>
      <c r="S17" s="17">
        <v>0</v>
      </c>
      <c r="T17" s="17">
        <v>0</v>
      </c>
      <c r="U17" s="17">
        <v>0</v>
      </c>
      <c r="V17" s="17">
        <v>0</v>
      </c>
      <c r="W17" s="18">
        <v>0</v>
      </c>
      <c r="X17" s="17">
        <v>0</v>
      </c>
    </row>
    <row r="18" spans="1:24" s="7" customFormat="1" ht="9.75" x14ac:dyDescent="0.2">
      <c r="A18" s="15" t="s">
        <v>39</v>
      </c>
      <c r="B18" s="750" t="s">
        <v>40</v>
      </c>
      <c r="C18" s="750"/>
      <c r="D18" s="16" t="s">
        <v>16</v>
      </c>
      <c r="E18" s="17">
        <f t="shared" si="3"/>
        <v>684700</v>
      </c>
      <c r="F18" s="17">
        <f t="shared" si="3"/>
        <v>779540</v>
      </c>
      <c r="G18" s="17">
        <f t="shared" si="3"/>
        <v>507615.02</v>
      </c>
      <c r="H18" s="18">
        <f t="shared" si="0"/>
        <v>65.117251199425311</v>
      </c>
      <c r="I18" s="17">
        <f t="shared" si="3"/>
        <v>335479</v>
      </c>
      <c r="J18" s="44">
        <v>494700</v>
      </c>
      <c r="K18" s="17">
        <v>494700</v>
      </c>
      <c r="L18" s="17">
        <v>223650.6</v>
      </c>
      <c r="M18" s="18">
        <f>L18/K18*100</f>
        <v>45.20933899332929</v>
      </c>
      <c r="N18" s="26">
        <v>222153</v>
      </c>
      <c r="O18" s="17">
        <v>190000</v>
      </c>
      <c r="P18" s="17">
        <f>203230+50610+31000</f>
        <v>284840</v>
      </c>
      <c r="Q18" s="17">
        <f>62572.42+220900+492</f>
        <v>283964.42</v>
      </c>
      <c r="R18" s="18">
        <f>Q18/P18*100</f>
        <v>99.692606375509058</v>
      </c>
      <c r="S18" s="17">
        <v>113326</v>
      </c>
      <c r="T18" s="17">
        <v>4000</v>
      </c>
      <c r="U18" s="17">
        <v>4000</v>
      </c>
      <c r="V18" s="17">
        <v>2997</v>
      </c>
      <c r="W18" s="18">
        <f>V18/U18*100</f>
        <v>74.924999999999997</v>
      </c>
      <c r="X18" s="17">
        <v>4566</v>
      </c>
    </row>
    <row r="19" spans="1:24" s="28" customFormat="1" ht="9.75" x14ac:dyDescent="0.2">
      <c r="A19" s="15" t="s">
        <v>41</v>
      </c>
      <c r="B19" s="750" t="s">
        <v>42</v>
      </c>
      <c r="C19" s="750"/>
      <c r="D19" s="16" t="s">
        <v>16</v>
      </c>
      <c r="E19" s="17">
        <f t="shared" si="3"/>
        <v>28155040</v>
      </c>
      <c r="F19" s="17">
        <f t="shared" si="3"/>
        <v>29389030</v>
      </c>
      <c r="G19" s="17">
        <f t="shared" si="3"/>
        <v>14764225</v>
      </c>
      <c r="H19" s="18">
        <f t="shared" si="0"/>
        <v>50.237197348806681</v>
      </c>
      <c r="I19" s="17">
        <f t="shared" si="3"/>
        <v>12191752</v>
      </c>
      <c r="J19" s="45">
        <v>224640</v>
      </c>
      <c r="K19" s="17">
        <v>224640</v>
      </c>
      <c r="L19" s="17">
        <v>97594</v>
      </c>
      <c r="M19" s="18">
        <f>L19/K19*100</f>
        <v>43.444622507122503</v>
      </c>
      <c r="N19" s="26">
        <v>107157</v>
      </c>
      <c r="O19" s="17">
        <v>27930400</v>
      </c>
      <c r="P19" s="17">
        <f>28136650+753000+274740</f>
        <v>29164390</v>
      </c>
      <c r="Q19" s="17">
        <f>13638891+274740+753000</f>
        <v>14666631</v>
      </c>
      <c r="R19" s="18">
        <f>Q19/P19*100</f>
        <v>50.28951745604828</v>
      </c>
      <c r="S19" s="17">
        <v>12084595</v>
      </c>
      <c r="T19" s="27">
        <v>38000</v>
      </c>
      <c r="U19" s="27">
        <v>38000</v>
      </c>
      <c r="V19" s="27">
        <v>20406</v>
      </c>
      <c r="W19" s="18">
        <f>V19/U19*100</f>
        <v>53.7</v>
      </c>
      <c r="X19" s="27">
        <v>28900</v>
      </c>
    </row>
    <row r="20" spans="1:24" s="7" customFormat="1" ht="9.75" x14ac:dyDescent="0.2">
      <c r="A20" s="15" t="s">
        <v>43</v>
      </c>
      <c r="B20" s="750" t="s">
        <v>44</v>
      </c>
      <c r="C20" s="750"/>
      <c r="D20" s="16" t="s">
        <v>16</v>
      </c>
      <c r="E20" s="17">
        <f t="shared" si="3"/>
        <v>9558150</v>
      </c>
      <c r="F20" s="17">
        <f t="shared" si="3"/>
        <v>9839087.0600000005</v>
      </c>
      <c r="G20" s="17">
        <f t="shared" si="3"/>
        <v>4855304.75</v>
      </c>
      <c r="H20" s="18">
        <v>0</v>
      </c>
      <c r="I20" s="17">
        <f t="shared" si="3"/>
        <v>3996671</v>
      </c>
      <c r="J20" s="44">
        <v>0</v>
      </c>
      <c r="K20" s="17">
        <v>0</v>
      </c>
      <c r="L20" s="17">
        <v>0</v>
      </c>
      <c r="M20" s="18">
        <v>0</v>
      </c>
      <c r="N20" s="26">
        <v>0</v>
      </c>
      <c r="O20" s="17">
        <f>9442150+116000</f>
        <v>9558150</v>
      </c>
      <c r="P20" s="17">
        <f>9505900+117000+37098+539+173848+4702.06</f>
        <v>9839087.0600000005</v>
      </c>
      <c r="Q20" s="17">
        <f>4580783+58334.69+37098+539+173848+4702.06</f>
        <v>4855304.75</v>
      </c>
      <c r="R20" s="18">
        <f>Q20/P20*100</f>
        <v>49.347106295449322</v>
      </c>
      <c r="S20" s="17">
        <v>3996671</v>
      </c>
      <c r="T20" s="17">
        <f>12920+160</f>
        <v>13080</v>
      </c>
      <c r="U20" s="17">
        <f>12920+160</f>
        <v>13080</v>
      </c>
      <c r="V20" s="17">
        <f>6460+80</f>
        <v>6540</v>
      </c>
      <c r="W20" s="18">
        <f>V20/U20*100</f>
        <v>50</v>
      </c>
      <c r="X20" s="17">
        <v>6540</v>
      </c>
    </row>
    <row r="21" spans="1:24" s="7" customFormat="1" ht="9.75" x14ac:dyDescent="0.2">
      <c r="A21" s="15" t="s">
        <v>45</v>
      </c>
      <c r="B21" s="750" t="s">
        <v>46</v>
      </c>
      <c r="C21" s="750"/>
      <c r="D21" s="16" t="s">
        <v>16</v>
      </c>
      <c r="E21" s="17">
        <f t="shared" si="3"/>
        <v>594750</v>
      </c>
      <c r="F21" s="17">
        <f t="shared" si="3"/>
        <v>605262</v>
      </c>
      <c r="G21" s="17">
        <f t="shared" si="3"/>
        <v>288109</v>
      </c>
      <c r="H21" s="18">
        <f t="shared" si="0"/>
        <v>47.600708453529215</v>
      </c>
      <c r="I21" s="17">
        <f t="shared" si="3"/>
        <v>235687</v>
      </c>
      <c r="J21" s="44">
        <v>15000</v>
      </c>
      <c r="K21" s="17">
        <v>15000</v>
      </c>
      <c r="L21" s="17">
        <v>959</v>
      </c>
      <c r="M21" s="18">
        <f>L21/K21*100</f>
        <v>6.3933333333333326</v>
      </c>
      <c r="N21" s="17">
        <v>0</v>
      </c>
      <c r="O21" s="17">
        <v>579750</v>
      </c>
      <c r="P21" s="17">
        <f>583500+1362+5400</f>
        <v>590262</v>
      </c>
      <c r="Q21" s="17">
        <f>280388+1362+5400</f>
        <v>287150</v>
      </c>
      <c r="R21" s="18">
        <f>Q21/P21*100</f>
        <v>48.647888564739048</v>
      </c>
      <c r="S21" s="17">
        <v>235687</v>
      </c>
      <c r="T21" s="17">
        <v>760</v>
      </c>
      <c r="U21" s="17">
        <v>760</v>
      </c>
      <c r="V21" s="17">
        <v>380</v>
      </c>
      <c r="W21" s="18">
        <f>V21/U21*100</f>
        <v>50</v>
      </c>
      <c r="X21" s="17">
        <v>380</v>
      </c>
    </row>
    <row r="22" spans="1:24" s="7" customFormat="1" ht="9.75" x14ac:dyDescent="0.2">
      <c r="A22" s="15" t="s">
        <v>47</v>
      </c>
      <c r="B22" s="750" t="s">
        <v>48</v>
      </c>
      <c r="C22" s="750"/>
      <c r="D22" s="16" t="s">
        <v>16</v>
      </c>
      <c r="E22" s="17">
        <f t="shared" si="3"/>
        <v>0</v>
      </c>
      <c r="F22" s="17">
        <f t="shared" si="3"/>
        <v>0</v>
      </c>
      <c r="G22" s="17">
        <f t="shared" si="3"/>
        <v>0</v>
      </c>
      <c r="H22" s="18">
        <v>0</v>
      </c>
      <c r="I22" s="17">
        <f t="shared" si="3"/>
        <v>0</v>
      </c>
      <c r="J22" s="44">
        <v>0</v>
      </c>
      <c r="K22" s="17">
        <v>0</v>
      </c>
      <c r="L22" s="17">
        <v>0</v>
      </c>
      <c r="M22" s="18">
        <v>0</v>
      </c>
      <c r="N22" s="17">
        <v>0</v>
      </c>
      <c r="O22" s="17">
        <v>0</v>
      </c>
      <c r="P22" s="17">
        <v>0</v>
      </c>
      <c r="Q22" s="17">
        <v>0</v>
      </c>
      <c r="R22" s="18">
        <v>0</v>
      </c>
      <c r="S22" s="17">
        <v>0</v>
      </c>
      <c r="T22" s="17">
        <v>0</v>
      </c>
      <c r="U22" s="17">
        <v>0</v>
      </c>
      <c r="V22" s="17">
        <v>0</v>
      </c>
      <c r="W22" s="18">
        <v>0</v>
      </c>
      <c r="X22" s="17">
        <v>0</v>
      </c>
    </row>
    <row r="23" spans="1:24" s="7" customFormat="1" ht="9.75" x14ac:dyDescent="0.2">
      <c r="A23" s="15" t="s">
        <v>49</v>
      </c>
      <c r="B23" s="21" t="s">
        <v>50</v>
      </c>
      <c r="C23" s="21"/>
      <c r="D23" s="16" t="s">
        <v>16</v>
      </c>
      <c r="E23" s="17">
        <f t="shared" si="3"/>
        <v>0</v>
      </c>
      <c r="F23" s="17">
        <f t="shared" si="3"/>
        <v>0</v>
      </c>
      <c r="G23" s="17">
        <f t="shared" si="3"/>
        <v>0</v>
      </c>
      <c r="H23" s="18">
        <v>0</v>
      </c>
      <c r="I23" s="17">
        <f t="shared" si="3"/>
        <v>0</v>
      </c>
      <c r="J23" s="44">
        <v>0</v>
      </c>
      <c r="K23" s="17">
        <v>0</v>
      </c>
      <c r="L23" s="17">
        <v>0</v>
      </c>
      <c r="M23" s="18">
        <v>0</v>
      </c>
      <c r="N23" s="17">
        <v>0</v>
      </c>
      <c r="O23" s="17">
        <v>0</v>
      </c>
      <c r="P23" s="17">
        <v>0</v>
      </c>
      <c r="Q23" s="17">
        <v>0</v>
      </c>
      <c r="R23" s="18">
        <v>0</v>
      </c>
      <c r="S23" s="17">
        <v>0</v>
      </c>
      <c r="T23" s="17">
        <v>0</v>
      </c>
      <c r="U23" s="17">
        <v>0</v>
      </c>
      <c r="V23" s="17">
        <v>0</v>
      </c>
      <c r="W23" s="18">
        <v>0</v>
      </c>
      <c r="X23" s="17">
        <v>0</v>
      </c>
    </row>
    <row r="24" spans="1:24" s="7" customFormat="1" ht="9.75" x14ac:dyDescent="0.2">
      <c r="A24" s="15" t="s">
        <v>51</v>
      </c>
      <c r="B24" s="21" t="s">
        <v>52</v>
      </c>
      <c r="C24" s="21"/>
      <c r="D24" s="16" t="s">
        <v>16</v>
      </c>
      <c r="E24" s="17">
        <f t="shared" si="3"/>
        <v>0</v>
      </c>
      <c r="F24" s="17">
        <f t="shared" si="3"/>
        <v>0</v>
      </c>
      <c r="G24" s="17">
        <f t="shared" si="3"/>
        <v>0</v>
      </c>
      <c r="H24" s="18">
        <v>0</v>
      </c>
      <c r="I24" s="17">
        <f t="shared" si="3"/>
        <v>0</v>
      </c>
      <c r="J24" s="44">
        <v>0</v>
      </c>
      <c r="K24" s="17">
        <v>0</v>
      </c>
      <c r="L24" s="17">
        <v>0</v>
      </c>
      <c r="M24" s="18">
        <v>0</v>
      </c>
      <c r="N24" s="17">
        <v>0</v>
      </c>
      <c r="O24" s="17">
        <v>0</v>
      </c>
      <c r="P24" s="17">
        <v>0</v>
      </c>
      <c r="Q24" s="17">
        <v>0</v>
      </c>
      <c r="R24" s="18">
        <v>0</v>
      </c>
      <c r="S24" s="17">
        <v>0</v>
      </c>
      <c r="T24" s="17">
        <v>0</v>
      </c>
      <c r="U24" s="17">
        <v>0</v>
      </c>
      <c r="V24" s="17">
        <v>0</v>
      </c>
      <c r="W24" s="18">
        <v>0</v>
      </c>
      <c r="X24" s="17">
        <v>0</v>
      </c>
    </row>
    <row r="25" spans="1:24" s="7" customFormat="1" ht="9.75" x14ac:dyDescent="0.2">
      <c r="A25" s="15" t="s">
        <v>53</v>
      </c>
      <c r="B25" s="21" t="s">
        <v>54</v>
      </c>
      <c r="C25" s="21"/>
      <c r="D25" s="16" t="s">
        <v>16</v>
      </c>
      <c r="E25" s="17">
        <f>SUM(J25,O25)</f>
        <v>0</v>
      </c>
      <c r="F25" s="17">
        <f>SUM(K25,P25)</f>
        <v>0</v>
      </c>
      <c r="G25" s="17">
        <f>SUM(L25,Q25)</f>
        <v>0</v>
      </c>
      <c r="H25" s="18">
        <v>0</v>
      </c>
      <c r="I25" s="17">
        <f>SUM(N25,S25)</f>
        <v>0</v>
      </c>
      <c r="J25" s="44">
        <v>0</v>
      </c>
      <c r="K25" s="25">
        <v>0</v>
      </c>
      <c r="L25" s="25">
        <v>0</v>
      </c>
      <c r="M25" s="18">
        <v>0</v>
      </c>
      <c r="N25" s="26">
        <v>0</v>
      </c>
      <c r="O25" s="25">
        <v>0</v>
      </c>
      <c r="P25" s="25">
        <v>0</v>
      </c>
      <c r="Q25" s="25">
        <v>0</v>
      </c>
      <c r="R25" s="18">
        <v>0</v>
      </c>
      <c r="S25" s="25">
        <v>0</v>
      </c>
      <c r="T25" s="25">
        <v>0</v>
      </c>
      <c r="U25" s="25">
        <v>0</v>
      </c>
      <c r="V25" s="25">
        <v>0</v>
      </c>
      <c r="W25" s="18">
        <v>0</v>
      </c>
      <c r="X25" s="25">
        <v>0</v>
      </c>
    </row>
    <row r="26" spans="1:24" s="30" customFormat="1" ht="9.75" x14ac:dyDescent="0.2">
      <c r="A26" s="15" t="s">
        <v>55</v>
      </c>
      <c r="B26" s="750" t="s">
        <v>56</v>
      </c>
      <c r="C26" s="750"/>
      <c r="D26" s="16" t="s">
        <v>16</v>
      </c>
      <c r="E26" s="17">
        <f t="shared" si="3"/>
        <v>976000</v>
      </c>
      <c r="F26" s="17">
        <f t="shared" si="3"/>
        <v>976000</v>
      </c>
      <c r="G26" s="17">
        <f t="shared" si="3"/>
        <v>487788</v>
      </c>
      <c r="H26" s="29">
        <f>G26/F26*100</f>
        <v>49.97827868852459</v>
      </c>
      <c r="I26" s="17">
        <f>SUM(N26,S26)</f>
        <v>489838</v>
      </c>
      <c r="J26" s="44">
        <v>976000</v>
      </c>
      <c r="K26" s="26">
        <v>976000</v>
      </c>
      <c r="L26" s="26">
        <v>487788</v>
      </c>
      <c r="M26" s="18">
        <f>L26/K26*100</f>
        <v>49.97827868852459</v>
      </c>
      <c r="N26" s="26">
        <v>489838</v>
      </c>
      <c r="O26" s="26">
        <v>0</v>
      </c>
      <c r="P26" s="26">
        <v>0</v>
      </c>
      <c r="Q26" s="26">
        <v>0</v>
      </c>
      <c r="R26" s="18">
        <v>0</v>
      </c>
      <c r="S26" s="26">
        <v>0</v>
      </c>
      <c r="T26" s="17">
        <v>14000</v>
      </c>
      <c r="U26" s="17">
        <v>14000</v>
      </c>
      <c r="V26" s="17">
        <v>6480</v>
      </c>
      <c r="W26" s="18">
        <f>V26/U26*100</f>
        <v>46.285714285714285</v>
      </c>
      <c r="X26" s="27">
        <v>6780</v>
      </c>
    </row>
    <row r="27" spans="1:24" s="30" customFormat="1" ht="9.75" x14ac:dyDescent="0.2">
      <c r="A27" s="15" t="s">
        <v>57</v>
      </c>
      <c r="B27" s="21" t="s">
        <v>58</v>
      </c>
      <c r="C27" s="21"/>
      <c r="D27" s="16" t="s">
        <v>16</v>
      </c>
      <c r="E27" s="17">
        <f t="shared" si="3"/>
        <v>0</v>
      </c>
      <c r="F27" s="17">
        <f t="shared" si="3"/>
        <v>0</v>
      </c>
      <c r="G27" s="17">
        <f t="shared" si="3"/>
        <v>0</v>
      </c>
      <c r="H27" s="29">
        <v>0</v>
      </c>
      <c r="I27" s="17">
        <f t="shared" si="3"/>
        <v>0</v>
      </c>
      <c r="J27" s="44">
        <v>0</v>
      </c>
      <c r="K27" s="26">
        <v>0</v>
      </c>
      <c r="L27" s="26">
        <v>0</v>
      </c>
      <c r="M27" s="18">
        <v>0</v>
      </c>
      <c r="N27" s="17">
        <v>0</v>
      </c>
      <c r="O27" s="26">
        <v>0</v>
      </c>
      <c r="P27" s="26">
        <v>0</v>
      </c>
      <c r="Q27" s="26">
        <v>0</v>
      </c>
      <c r="R27" s="18">
        <v>0</v>
      </c>
      <c r="S27" s="26">
        <v>0</v>
      </c>
      <c r="T27" s="33">
        <v>0</v>
      </c>
      <c r="U27" s="33">
        <v>0</v>
      </c>
      <c r="V27" s="33">
        <v>0</v>
      </c>
      <c r="W27" s="18">
        <v>0</v>
      </c>
      <c r="X27" s="27">
        <v>0</v>
      </c>
    </row>
    <row r="28" spans="1:24" s="30" customFormat="1" ht="9.75" x14ac:dyDescent="0.2">
      <c r="A28" s="15" t="s">
        <v>59</v>
      </c>
      <c r="B28" s="21" t="s">
        <v>60</v>
      </c>
      <c r="C28" s="21"/>
      <c r="D28" s="16" t="s">
        <v>16</v>
      </c>
      <c r="E28" s="17">
        <f>SUM(J28,O28)</f>
        <v>509000</v>
      </c>
      <c r="F28" s="17">
        <f>SUM(K28,P28)</f>
        <v>958989</v>
      </c>
      <c r="G28" s="17">
        <f>SUM(L28,Q28)</f>
        <v>104988</v>
      </c>
      <c r="H28" s="29">
        <f>G28/F28*100</f>
        <v>10.94777938015973</v>
      </c>
      <c r="I28" s="17">
        <f>SUM(N28,S28)</f>
        <v>111809</v>
      </c>
      <c r="J28" s="44">
        <v>439000</v>
      </c>
      <c r="K28" s="26">
        <v>888989</v>
      </c>
      <c r="L28" s="26">
        <v>96988</v>
      </c>
      <c r="M28" s="18">
        <f>L28/K28*100</f>
        <v>10.909921270116953</v>
      </c>
      <c r="N28" s="17">
        <v>21888</v>
      </c>
      <c r="O28" s="26">
        <v>70000</v>
      </c>
      <c r="P28" s="26">
        <v>70000</v>
      </c>
      <c r="Q28" s="26">
        <v>8000</v>
      </c>
      <c r="R28" s="18">
        <f>Q28/P28*100</f>
        <v>11.428571428571429</v>
      </c>
      <c r="S28" s="26">
        <v>89921</v>
      </c>
      <c r="T28" s="33">
        <v>0</v>
      </c>
      <c r="U28" s="33">
        <v>0</v>
      </c>
      <c r="V28" s="33">
        <v>0</v>
      </c>
      <c r="W28" s="18">
        <v>0</v>
      </c>
      <c r="X28" s="27">
        <v>0</v>
      </c>
    </row>
    <row r="29" spans="1:24" s="31" customFormat="1" ht="9.75" x14ac:dyDescent="0.2">
      <c r="A29" s="15" t="s">
        <v>61</v>
      </c>
      <c r="B29" s="21" t="s">
        <v>62</v>
      </c>
      <c r="C29" s="21"/>
      <c r="D29" s="16" t="s">
        <v>16</v>
      </c>
      <c r="E29" s="17">
        <f t="shared" si="3"/>
        <v>70700</v>
      </c>
      <c r="F29" s="17">
        <f t="shared" si="3"/>
        <v>78784</v>
      </c>
      <c r="G29" s="17">
        <f t="shared" si="3"/>
        <v>8712</v>
      </c>
      <c r="H29" s="29">
        <f t="shared" si="0"/>
        <v>11.058082859463852</v>
      </c>
      <c r="I29" s="17">
        <f t="shared" si="3"/>
        <v>29651</v>
      </c>
      <c r="J29" s="44">
        <v>70700</v>
      </c>
      <c r="K29" s="26">
        <v>78784</v>
      </c>
      <c r="L29" s="26">
        <v>8712</v>
      </c>
      <c r="M29" s="18">
        <f>L29/K29*100</f>
        <v>11.058082859463852</v>
      </c>
      <c r="N29" s="26">
        <v>29651</v>
      </c>
      <c r="O29" s="26">
        <v>0</v>
      </c>
      <c r="P29" s="26">
        <v>0</v>
      </c>
      <c r="Q29" s="26">
        <v>0</v>
      </c>
      <c r="R29" s="18">
        <v>0</v>
      </c>
      <c r="S29" s="26">
        <v>0</v>
      </c>
      <c r="T29" s="33">
        <v>0</v>
      </c>
      <c r="U29" s="33">
        <v>0</v>
      </c>
      <c r="V29" s="33">
        <v>0</v>
      </c>
      <c r="W29" s="18">
        <v>0</v>
      </c>
      <c r="X29" s="27">
        <v>0</v>
      </c>
    </row>
    <row r="30" spans="1:24" s="7" customFormat="1" ht="9.75" x14ac:dyDescent="0.2">
      <c r="A30" s="15" t="s">
        <v>63</v>
      </c>
      <c r="B30" s="21" t="s">
        <v>64</v>
      </c>
      <c r="C30" s="21"/>
      <c r="D30" s="16" t="s">
        <v>16</v>
      </c>
      <c r="E30" s="17">
        <f t="shared" ref="E30:G31" si="4">SUM(J30,O30)</f>
        <v>0</v>
      </c>
      <c r="F30" s="17">
        <f t="shared" si="4"/>
        <v>0</v>
      </c>
      <c r="G30" s="17">
        <f t="shared" si="4"/>
        <v>0</v>
      </c>
      <c r="H30" s="29">
        <v>0</v>
      </c>
      <c r="I30" s="17">
        <f>SUM(N30,S30)</f>
        <v>0</v>
      </c>
      <c r="J30" s="44">
        <v>0</v>
      </c>
      <c r="K30" s="26">
        <v>0</v>
      </c>
      <c r="L30" s="26">
        <v>0</v>
      </c>
      <c r="M30" s="18">
        <v>0</v>
      </c>
      <c r="N30" s="26">
        <v>0</v>
      </c>
      <c r="O30" s="26">
        <v>0</v>
      </c>
      <c r="P30" s="26">
        <v>0</v>
      </c>
      <c r="Q30" s="26">
        <v>0</v>
      </c>
      <c r="R30" s="18">
        <v>0</v>
      </c>
      <c r="S30" s="26">
        <v>0</v>
      </c>
      <c r="T30" s="33">
        <v>0</v>
      </c>
      <c r="U30" s="33">
        <v>0</v>
      </c>
      <c r="V30" s="33">
        <v>0</v>
      </c>
      <c r="W30" s="18">
        <v>0</v>
      </c>
      <c r="X30" s="27">
        <v>0</v>
      </c>
    </row>
    <row r="31" spans="1:24" s="34" customFormat="1" ht="9.75" x14ac:dyDescent="0.2">
      <c r="A31" s="15" t="s">
        <v>65</v>
      </c>
      <c r="B31" s="21" t="s">
        <v>66</v>
      </c>
      <c r="C31" s="21"/>
      <c r="D31" s="16" t="s">
        <v>16</v>
      </c>
      <c r="E31" s="17">
        <f t="shared" si="4"/>
        <v>0</v>
      </c>
      <c r="F31" s="17">
        <f t="shared" si="4"/>
        <v>0</v>
      </c>
      <c r="G31" s="17">
        <f t="shared" si="4"/>
        <v>0</v>
      </c>
      <c r="H31" s="29">
        <v>0</v>
      </c>
      <c r="I31" s="17">
        <f>SUM(N31,S31)</f>
        <v>0</v>
      </c>
      <c r="J31" s="44">
        <v>0</v>
      </c>
      <c r="K31" s="32">
        <v>0</v>
      </c>
      <c r="L31" s="32">
        <v>0</v>
      </c>
      <c r="M31" s="18">
        <v>0</v>
      </c>
      <c r="N31" s="32">
        <v>0</v>
      </c>
      <c r="O31" s="32">
        <v>0</v>
      </c>
      <c r="P31" s="32">
        <v>0</v>
      </c>
      <c r="Q31" s="32">
        <v>0</v>
      </c>
      <c r="R31" s="18">
        <v>0</v>
      </c>
      <c r="S31" s="32">
        <v>0</v>
      </c>
      <c r="T31" s="33">
        <v>0</v>
      </c>
      <c r="U31" s="33">
        <v>0</v>
      </c>
      <c r="V31" s="33">
        <v>0</v>
      </c>
      <c r="W31" s="18">
        <v>0</v>
      </c>
      <c r="X31" s="33">
        <v>0</v>
      </c>
    </row>
    <row r="32" spans="1:24" s="34" customFormat="1" ht="9.75" x14ac:dyDescent="0.2">
      <c r="A32" s="15" t="s">
        <v>67</v>
      </c>
      <c r="B32" s="21" t="s">
        <v>68</v>
      </c>
      <c r="C32" s="21"/>
      <c r="D32" s="16" t="s">
        <v>16</v>
      </c>
      <c r="E32" s="17">
        <f>SUM(J32,O32)</f>
        <v>0</v>
      </c>
      <c r="F32" s="17">
        <f>SUM(K32,P32)</f>
        <v>0</v>
      </c>
      <c r="G32" s="17">
        <f>SUM(L32,Q32)</f>
        <v>0</v>
      </c>
      <c r="H32" s="29">
        <v>0</v>
      </c>
      <c r="I32" s="17">
        <f>SUM(N32,S32)</f>
        <v>0</v>
      </c>
      <c r="J32" s="47">
        <v>0</v>
      </c>
      <c r="K32" s="33">
        <v>0</v>
      </c>
      <c r="L32" s="33">
        <v>0</v>
      </c>
      <c r="M32" s="18">
        <v>0</v>
      </c>
      <c r="N32" s="33">
        <v>0</v>
      </c>
      <c r="O32" s="33">
        <v>0</v>
      </c>
      <c r="P32" s="33">
        <v>0</v>
      </c>
      <c r="Q32" s="33">
        <v>0</v>
      </c>
      <c r="R32" s="18">
        <v>0</v>
      </c>
      <c r="S32" s="33">
        <v>0</v>
      </c>
      <c r="T32" s="33">
        <v>0</v>
      </c>
      <c r="U32" s="33">
        <v>0</v>
      </c>
      <c r="V32" s="33">
        <v>0</v>
      </c>
      <c r="W32" s="18">
        <v>0</v>
      </c>
      <c r="X32" s="33">
        <v>0</v>
      </c>
    </row>
    <row r="33" spans="1:24" s="34" customFormat="1" ht="9.75" x14ac:dyDescent="0.2">
      <c r="A33" s="147" t="s">
        <v>69</v>
      </c>
      <c r="B33" s="153" t="s">
        <v>70</v>
      </c>
      <c r="C33" s="153"/>
      <c r="D33" s="148" t="s">
        <v>16</v>
      </c>
      <c r="E33" s="149">
        <f>E6-E11</f>
        <v>0</v>
      </c>
      <c r="F33" s="149">
        <f>F6-F11</f>
        <v>0.40999999642372131</v>
      </c>
      <c r="G33" s="149">
        <f>G6-G11</f>
        <v>2883487.0099999979</v>
      </c>
      <c r="H33" s="154">
        <v>0</v>
      </c>
      <c r="I33" s="149">
        <f>I6-I11</f>
        <v>2297067</v>
      </c>
      <c r="J33" s="149">
        <f>J6-J11</f>
        <v>0</v>
      </c>
      <c r="K33" s="149">
        <f>K6-K11</f>
        <v>0</v>
      </c>
      <c r="L33" s="149">
        <f>L6-L11</f>
        <v>2305917.94</v>
      </c>
      <c r="M33" s="150">
        <v>0</v>
      </c>
      <c r="N33" s="149">
        <f>N6-N11</f>
        <v>867002</v>
      </c>
      <c r="O33" s="149">
        <f>O6-O11</f>
        <v>0</v>
      </c>
      <c r="P33" s="149">
        <f>P6-P11</f>
        <v>0.40999999642372131</v>
      </c>
      <c r="Q33" s="149">
        <f>Q6-Q11</f>
        <v>577569.06999999657</v>
      </c>
      <c r="R33" s="150">
        <v>0</v>
      </c>
      <c r="S33" s="149">
        <f>S6-S11</f>
        <v>1430065</v>
      </c>
      <c r="T33" s="149">
        <f>T6-T11</f>
        <v>80160</v>
      </c>
      <c r="U33" s="149">
        <f>U6-U11</f>
        <v>80160</v>
      </c>
      <c r="V33" s="149">
        <f>V6-V11</f>
        <v>192317.38</v>
      </c>
      <c r="W33" s="150">
        <f>V33/U33*100</f>
        <v>239.91689121756488</v>
      </c>
      <c r="X33" s="149">
        <f>X6-X11</f>
        <v>186993</v>
      </c>
    </row>
    <row r="34" spans="1:24" s="1" customFormat="1" ht="9.75" x14ac:dyDescent="0.2">
      <c r="A34" s="37" t="s">
        <v>71</v>
      </c>
      <c r="B34" s="749" t="s">
        <v>72</v>
      </c>
      <c r="C34" s="749"/>
      <c r="D34" s="38" t="s">
        <v>16</v>
      </c>
      <c r="E34" s="155">
        <f>E19/6/E35/2</f>
        <v>29030.602986059559</v>
      </c>
      <c r="F34" s="155">
        <f>F19/6/F35/2</f>
        <v>29808.737017202209</v>
      </c>
      <c r="G34" s="155">
        <f>G19/6/G35</f>
        <v>30008.58739837398</v>
      </c>
      <c r="H34" s="29">
        <f t="shared" si="0"/>
        <v>100.67044229702331</v>
      </c>
      <c r="I34" s="155">
        <f>I19/6/I35</f>
        <v>26050.752136752137</v>
      </c>
      <c r="J34" s="156"/>
      <c r="K34" s="156"/>
      <c r="L34" s="156"/>
      <c r="M34" s="150">
        <v>0</v>
      </c>
      <c r="N34" s="156"/>
      <c r="O34" s="155">
        <f>O19/6/O35/2</f>
        <v>28734.979423868313</v>
      </c>
      <c r="P34" s="155">
        <f>P19/6/P35/2</f>
        <v>29638.607723577239</v>
      </c>
      <c r="Q34" s="155">
        <f>Q19/6/Q35</f>
        <v>29810.225609756097</v>
      </c>
      <c r="R34" s="150">
        <v>0</v>
      </c>
      <c r="S34" s="156">
        <v>26855</v>
      </c>
      <c r="T34" s="156"/>
      <c r="U34" s="156"/>
      <c r="V34" s="156"/>
      <c r="W34" s="150">
        <v>0</v>
      </c>
      <c r="X34" s="156"/>
    </row>
    <row r="35" spans="1:24" s="1" customFormat="1" ht="9.75" x14ac:dyDescent="0.2">
      <c r="A35" s="40" t="s">
        <v>73</v>
      </c>
      <c r="B35" s="751" t="s">
        <v>74</v>
      </c>
      <c r="C35" s="751"/>
      <c r="D35" s="40" t="s">
        <v>75</v>
      </c>
      <c r="E35" s="157">
        <v>80.819999999999993</v>
      </c>
      <c r="F35" s="155">
        <v>82.16</v>
      </c>
      <c r="G35" s="155">
        <v>82</v>
      </c>
      <c r="H35" s="29">
        <f t="shared" si="0"/>
        <v>99.805258033106142</v>
      </c>
      <c r="I35" s="155">
        <v>78</v>
      </c>
      <c r="J35" s="156"/>
      <c r="K35" s="158"/>
      <c r="L35" s="156"/>
      <c r="M35" s="150">
        <v>0</v>
      </c>
      <c r="N35" s="156"/>
      <c r="O35" s="157">
        <v>81</v>
      </c>
      <c r="P35" s="157">
        <v>82</v>
      </c>
      <c r="Q35" s="157">
        <v>82</v>
      </c>
      <c r="R35" s="150">
        <f>Q35/P35*100</f>
        <v>100</v>
      </c>
      <c r="S35" s="156">
        <v>75</v>
      </c>
      <c r="T35" s="156"/>
      <c r="U35" s="156"/>
      <c r="V35" s="156"/>
      <c r="W35" s="150">
        <v>0</v>
      </c>
      <c r="X35" s="156"/>
    </row>
    <row r="36" spans="1:24" s="1" customFormat="1" ht="9.75" x14ac:dyDescent="0.2">
      <c r="A36" s="37" t="s">
        <v>76</v>
      </c>
      <c r="B36" s="749" t="s">
        <v>77</v>
      </c>
      <c r="C36" s="749"/>
      <c r="D36" s="38" t="s">
        <v>75</v>
      </c>
      <c r="E36" s="155">
        <v>90</v>
      </c>
      <c r="F36" s="155">
        <v>90</v>
      </c>
      <c r="G36" s="155">
        <v>90</v>
      </c>
      <c r="H36" s="29">
        <f t="shared" si="0"/>
        <v>100</v>
      </c>
      <c r="I36" s="155">
        <v>86</v>
      </c>
      <c r="J36" s="156"/>
      <c r="K36" s="156"/>
      <c r="L36" s="156"/>
      <c r="M36" s="150">
        <v>0</v>
      </c>
      <c r="N36" s="156"/>
      <c r="O36" s="155">
        <v>90</v>
      </c>
      <c r="P36" s="155">
        <v>90</v>
      </c>
      <c r="Q36" s="155">
        <v>90</v>
      </c>
      <c r="R36" s="150">
        <f>Q36/P36*100</f>
        <v>100</v>
      </c>
      <c r="S36" s="156">
        <v>86</v>
      </c>
      <c r="T36" s="156"/>
      <c r="U36" s="156"/>
      <c r="V36" s="156"/>
      <c r="W36" s="150">
        <v>0</v>
      </c>
      <c r="X36" s="156"/>
    </row>
  </sheetData>
  <mergeCells count="38">
    <mergeCell ref="A1:X1"/>
    <mergeCell ref="A3:A5"/>
    <mergeCell ref="B3:C5"/>
    <mergeCell ref="D3:D5"/>
    <mergeCell ref="E3:I3"/>
    <mergeCell ref="J3:N3"/>
    <mergeCell ref="O3:S3"/>
    <mergeCell ref="T3:X3"/>
    <mergeCell ref="E4:E5"/>
    <mergeCell ref="F4:H4"/>
    <mergeCell ref="I4:I5"/>
    <mergeCell ref="J4:J5"/>
    <mergeCell ref="X4:X5"/>
    <mergeCell ref="B6:C6"/>
    <mergeCell ref="O4:O5"/>
    <mergeCell ref="P4:R4"/>
    <mergeCell ref="B12:C12"/>
    <mergeCell ref="K4:M4"/>
    <mergeCell ref="N4:N5"/>
    <mergeCell ref="S4:S5"/>
    <mergeCell ref="T4:T5"/>
    <mergeCell ref="U4:W4"/>
    <mergeCell ref="B8:C8"/>
    <mergeCell ref="B10:C10"/>
    <mergeCell ref="B11:C11"/>
    <mergeCell ref="B7:C7"/>
    <mergeCell ref="B13:C13"/>
    <mergeCell ref="B26:C26"/>
    <mergeCell ref="B34:C34"/>
    <mergeCell ref="B35:C35"/>
    <mergeCell ref="B15:C15"/>
    <mergeCell ref="B36:C36"/>
    <mergeCell ref="B16:C16"/>
    <mergeCell ref="B18:C18"/>
    <mergeCell ref="B19:C19"/>
    <mergeCell ref="B20:C20"/>
    <mergeCell ref="B21:C21"/>
    <mergeCell ref="B22:C22"/>
  </mergeCells>
  <pageMargins left="0.70866141732283472" right="0.70866141732283472" top="0.78740157480314965" bottom="0.78740157480314965" header="0.31496062992125984" footer="0.31496062992125984"/>
  <pageSetup paperSize="9" scale="85" firstPageNumber="109" orientation="landscape" useFirstPageNumber="1" r:id="rId1"/>
  <headerFoot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4"/>
  <sheetViews>
    <sheetView topLeftCell="A52" workbookViewId="0">
      <selection activeCell="C51" sqref="C51"/>
    </sheetView>
  </sheetViews>
  <sheetFormatPr defaultRowHeight="12.75" x14ac:dyDescent="0.2"/>
  <cols>
    <col min="1" max="1" width="33.140625" style="5" customWidth="1"/>
    <col min="2" max="2" width="19.140625" style="5" customWidth="1"/>
    <col min="3" max="5" width="14.7109375" style="5" customWidth="1"/>
    <col min="6" max="7" width="13" style="5" customWidth="1"/>
    <col min="8" max="8" width="18.42578125" style="5" customWidth="1"/>
    <col min="9" max="16384" width="9.140625" style="5"/>
  </cols>
  <sheetData>
    <row r="1" spans="1:11" s="539" customFormat="1" ht="18.75" x14ac:dyDescent="0.3">
      <c r="A1" s="818" t="s">
        <v>97</v>
      </c>
      <c r="B1" s="818"/>
      <c r="C1" s="818"/>
      <c r="D1" s="818"/>
      <c r="E1" s="818"/>
      <c r="F1" s="818"/>
      <c r="G1" s="818"/>
      <c r="H1" s="818"/>
      <c r="I1" s="818"/>
    </row>
    <row r="3" spans="1:11" s="540" customFormat="1" ht="10.5" x14ac:dyDescent="0.15">
      <c r="A3" s="927" t="s">
        <v>99</v>
      </c>
      <c r="B3" s="927"/>
      <c r="C3" s="927"/>
      <c r="D3" s="927"/>
      <c r="E3" s="927"/>
      <c r="F3" s="927"/>
      <c r="G3" s="927"/>
      <c r="H3" s="927"/>
      <c r="I3" s="927"/>
    </row>
    <row r="4" spans="1:11" s="541" customFormat="1" ht="11.25" x14ac:dyDescent="0.2"/>
    <row r="5" spans="1:11" s="543" customFormat="1" ht="9.75" x14ac:dyDescent="0.2">
      <c r="A5" s="988" t="s">
        <v>100</v>
      </c>
      <c r="B5" s="989"/>
      <c r="C5" s="542" t="s">
        <v>16</v>
      </c>
      <c r="D5" s="964" t="s">
        <v>101</v>
      </c>
      <c r="E5" s="964"/>
      <c r="F5" s="964"/>
      <c r="G5" s="964"/>
      <c r="H5" s="964"/>
      <c r="I5" s="964"/>
    </row>
    <row r="6" spans="1:11" s="541" customFormat="1" ht="43.5" customHeight="1" x14ac:dyDescent="0.2">
      <c r="A6" s="990" t="s">
        <v>102</v>
      </c>
      <c r="B6" s="991"/>
      <c r="C6" s="544">
        <v>2305917.94</v>
      </c>
      <c r="D6" s="992" t="s">
        <v>630</v>
      </c>
      <c r="E6" s="993"/>
      <c r="F6" s="993"/>
      <c r="G6" s="993"/>
      <c r="H6" s="993"/>
      <c r="I6" s="994"/>
      <c r="K6" s="545"/>
    </row>
    <row r="7" spans="1:11" s="546" customFormat="1" ht="23.25" customHeight="1" x14ac:dyDescent="0.15">
      <c r="A7" s="995" t="s">
        <v>103</v>
      </c>
      <c r="B7" s="996"/>
      <c r="C7" s="544">
        <v>192317.33</v>
      </c>
      <c r="D7" s="826" t="s">
        <v>631</v>
      </c>
      <c r="E7" s="997"/>
      <c r="F7" s="997"/>
      <c r="G7" s="997"/>
      <c r="H7" s="997"/>
      <c r="I7" s="998"/>
    </row>
    <row r="8" spans="1:11" s="546" customFormat="1" ht="15" customHeight="1" x14ac:dyDescent="0.15">
      <c r="A8" s="999" t="s">
        <v>105</v>
      </c>
      <c r="B8" s="1000"/>
      <c r="C8" s="547">
        <v>577569.06999999995</v>
      </c>
      <c r="D8" s="1001"/>
      <c r="E8" s="1002"/>
      <c r="F8" s="1002"/>
      <c r="G8" s="1002"/>
      <c r="H8" s="1002"/>
      <c r="I8" s="1003"/>
    </row>
    <row r="9" spans="1:11" s="541" customFormat="1" ht="11.25" x14ac:dyDescent="0.2">
      <c r="C9" s="548"/>
    </row>
    <row r="10" spans="1:11" s="549" customFormat="1" ht="11.25" x14ac:dyDescent="0.2">
      <c r="A10" s="927" t="s">
        <v>106</v>
      </c>
      <c r="B10" s="927"/>
      <c r="C10" s="927"/>
      <c r="D10" s="927"/>
      <c r="E10" s="927"/>
      <c r="F10" s="927"/>
      <c r="G10" s="927"/>
      <c r="H10" s="927"/>
      <c r="I10" s="927"/>
    </row>
    <row r="11" spans="1:11" s="541" customFormat="1" ht="12" thickBot="1" x14ac:dyDescent="0.25">
      <c r="C11" s="548"/>
    </row>
    <row r="12" spans="1:11" s="553" customFormat="1" ht="21" x14ac:dyDescent="0.15">
      <c r="A12" s="550" t="s">
        <v>107</v>
      </c>
      <c r="B12" s="550" t="s">
        <v>108</v>
      </c>
      <c r="C12" s="551" t="s">
        <v>109</v>
      </c>
      <c r="D12" s="552" t="s">
        <v>110</v>
      </c>
      <c r="E12" s="551" t="s">
        <v>111</v>
      </c>
      <c r="F12" s="984" t="s">
        <v>112</v>
      </c>
      <c r="G12" s="985"/>
      <c r="H12" s="986" t="s">
        <v>113</v>
      </c>
      <c r="I12" s="987"/>
    </row>
    <row r="13" spans="1:11" s="553" customFormat="1" ht="35.25" customHeight="1" x14ac:dyDescent="0.15">
      <c r="A13" s="554" t="s">
        <v>114</v>
      </c>
      <c r="B13" s="555">
        <v>181395.72</v>
      </c>
      <c r="C13" s="556">
        <v>239978.29</v>
      </c>
      <c r="D13" s="185">
        <v>0</v>
      </c>
      <c r="E13" s="556">
        <f>B13+C13-D13</f>
        <v>421374.01</v>
      </c>
      <c r="F13" s="809">
        <f>E13</f>
        <v>421374.01</v>
      </c>
      <c r="G13" s="809"/>
      <c r="H13" s="978" t="s">
        <v>632</v>
      </c>
      <c r="I13" s="979"/>
    </row>
    <row r="14" spans="1:11" s="553" customFormat="1" ht="104.25" customHeight="1" x14ac:dyDescent="0.15">
      <c r="A14" s="554" t="s">
        <v>115</v>
      </c>
      <c r="B14" s="555">
        <v>1326473.27</v>
      </c>
      <c r="C14" s="556">
        <v>11115</v>
      </c>
      <c r="D14" s="185">
        <v>1309393.47</v>
      </c>
      <c r="E14" s="556">
        <f>B14+C14-D14</f>
        <v>28194.800000000047</v>
      </c>
      <c r="F14" s="809">
        <f>E14</f>
        <v>28194.800000000047</v>
      </c>
      <c r="G14" s="809"/>
      <c r="H14" s="978" t="s">
        <v>633</v>
      </c>
      <c r="I14" s="980"/>
    </row>
    <row r="15" spans="1:11" s="553" customFormat="1" ht="45.75" customHeight="1" x14ac:dyDescent="0.15">
      <c r="A15" s="557" t="s">
        <v>116</v>
      </c>
      <c r="B15" s="558">
        <v>117469.83</v>
      </c>
      <c r="C15" s="559">
        <v>494268</v>
      </c>
      <c r="D15" s="560">
        <v>452288</v>
      </c>
      <c r="E15" s="556">
        <f>B15+C15-D15</f>
        <v>159449.82999999996</v>
      </c>
      <c r="F15" s="981">
        <f>E15</f>
        <v>159449.82999999996</v>
      </c>
      <c r="G15" s="981"/>
      <c r="H15" s="978" t="s">
        <v>634</v>
      </c>
      <c r="I15" s="979"/>
    </row>
    <row r="16" spans="1:11" s="553" customFormat="1" ht="33.75" customHeight="1" x14ac:dyDescent="0.15">
      <c r="A16" s="561" t="s">
        <v>117</v>
      </c>
      <c r="B16" s="562">
        <v>47566.12</v>
      </c>
      <c r="C16" s="563">
        <v>25000</v>
      </c>
      <c r="D16" s="564">
        <v>0</v>
      </c>
      <c r="E16" s="556">
        <f>B16+C16-D16</f>
        <v>72566.12</v>
      </c>
      <c r="F16" s="982">
        <f>E16</f>
        <v>72566.12</v>
      </c>
      <c r="G16" s="982"/>
      <c r="H16" s="978" t="s">
        <v>635</v>
      </c>
      <c r="I16" s="979"/>
    </row>
    <row r="17" spans="1:9" s="553" customFormat="1" ht="125.25" customHeight="1" x14ac:dyDescent="0.15">
      <c r="A17" s="565" t="s">
        <v>118</v>
      </c>
      <c r="B17" s="566">
        <v>600839.81000000006</v>
      </c>
      <c r="C17" s="567">
        <v>278180</v>
      </c>
      <c r="D17" s="568">
        <v>140920</v>
      </c>
      <c r="E17" s="556">
        <f>B17+C17-D17</f>
        <v>738099.81</v>
      </c>
      <c r="F17" s="803">
        <v>701902.81</v>
      </c>
      <c r="G17" s="803"/>
      <c r="H17" s="978" t="s">
        <v>636</v>
      </c>
      <c r="I17" s="979"/>
    </row>
    <row r="18" spans="1:9" s="553" customFormat="1" thickBot="1" x14ac:dyDescent="0.2">
      <c r="A18" s="569" t="s">
        <v>120</v>
      </c>
      <c r="B18" s="570">
        <f>SUM(B13:B17)</f>
        <v>2273744.75</v>
      </c>
      <c r="C18" s="571">
        <f>SUM(C13:C17)</f>
        <v>1048541.29</v>
      </c>
      <c r="D18" s="572">
        <f>SUM(D13:D17)</f>
        <v>1902601.47</v>
      </c>
      <c r="E18" s="571">
        <f>SUM(E13:E17)</f>
        <v>1419684.57</v>
      </c>
      <c r="F18" s="983">
        <f>SUM(F13:G17)</f>
        <v>1383487.57</v>
      </c>
      <c r="G18" s="983"/>
      <c r="H18" s="573"/>
      <c r="I18" s="574"/>
    </row>
    <row r="19" spans="1:9" s="575" customFormat="1" ht="11.25" x14ac:dyDescent="0.2">
      <c r="C19" s="576"/>
    </row>
    <row r="20" spans="1:9" s="549" customFormat="1" ht="11.25" x14ac:dyDescent="0.2">
      <c r="A20" s="927" t="s">
        <v>121</v>
      </c>
      <c r="B20" s="927"/>
      <c r="C20" s="927"/>
      <c r="D20" s="927"/>
      <c r="E20" s="927"/>
      <c r="F20" s="927"/>
      <c r="G20" s="927"/>
      <c r="H20" s="927"/>
      <c r="I20" s="927"/>
    </row>
    <row r="21" spans="1:9" s="541" customFormat="1" ht="11.25" x14ac:dyDescent="0.2">
      <c r="C21" s="548"/>
    </row>
    <row r="22" spans="1:9" s="541" customFormat="1" ht="11.25" x14ac:dyDescent="0.2">
      <c r="A22" s="542" t="s">
        <v>122</v>
      </c>
      <c r="B22" s="542" t="s">
        <v>16</v>
      </c>
      <c r="C22" s="577" t="s">
        <v>123</v>
      </c>
      <c r="D22" s="964" t="s">
        <v>124</v>
      </c>
      <c r="E22" s="964"/>
      <c r="F22" s="964"/>
      <c r="G22" s="964"/>
      <c r="H22" s="964"/>
      <c r="I22" s="964"/>
    </row>
    <row r="23" spans="1:9" s="541" customFormat="1" ht="11.25" customHeight="1" x14ac:dyDescent="0.2">
      <c r="A23" s="578"/>
      <c r="B23" s="579"/>
      <c r="C23" s="580"/>
      <c r="D23" s="965"/>
      <c r="E23" s="966"/>
      <c r="F23" s="966"/>
      <c r="G23" s="966"/>
      <c r="H23" s="966"/>
      <c r="I23" s="967"/>
    </row>
    <row r="24" spans="1:9" s="546" customFormat="1" ht="11.25" x14ac:dyDescent="0.2">
      <c r="A24" s="581" t="s">
        <v>120</v>
      </c>
      <c r="B24" s="582">
        <f>SUM(B23:B23)</f>
        <v>0</v>
      </c>
      <c r="C24" s="968"/>
      <c r="D24" s="968"/>
      <c r="E24" s="968"/>
      <c r="F24" s="968"/>
      <c r="G24" s="968"/>
      <c r="H24" s="968"/>
      <c r="I24" s="969"/>
    </row>
    <row r="25" spans="1:9" s="575" customFormat="1" ht="11.25" x14ac:dyDescent="0.2">
      <c r="A25" s="583" t="s">
        <v>637</v>
      </c>
      <c r="C25" s="576"/>
    </row>
    <row r="26" spans="1:9" s="575" customFormat="1" ht="11.25" x14ac:dyDescent="0.2">
      <c r="C26" s="576"/>
    </row>
    <row r="27" spans="1:9" s="549" customFormat="1" ht="11.25" x14ac:dyDescent="0.2">
      <c r="A27" s="927" t="s">
        <v>126</v>
      </c>
      <c r="B27" s="927"/>
      <c r="C27" s="927"/>
      <c r="D27" s="927"/>
      <c r="E27" s="927"/>
      <c r="F27" s="927"/>
      <c r="G27" s="927"/>
      <c r="H27" s="927"/>
      <c r="I27" s="927"/>
    </row>
    <row r="28" spans="1:9" s="541" customFormat="1" ht="11.25" x14ac:dyDescent="0.2">
      <c r="C28" s="548"/>
    </row>
    <row r="29" spans="1:9" s="541" customFormat="1" ht="11.25" x14ac:dyDescent="0.2">
      <c r="A29" s="542" t="s">
        <v>122</v>
      </c>
      <c r="B29" s="542" t="s">
        <v>16</v>
      </c>
      <c r="C29" s="577" t="s">
        <v>123</v>
      </c>
      <c r="D29" s="964" t="s">
        <v>127</v>
      </c>
      <c r="E29" s="964"/>
      <c r="F29" s="964"/>
      <c r="G29" s="964"/>
      <c r="H29" s="964"/>
      <c r="I29" s="970"/>
    </row>
    <row r="30" spans="1:9" s="541" customFormat="1" ht="11.25" customHeight="1" x14ac:dyDescent="0.2">
      <c r="A30" s="578"/>
      <c r="B30" s="579"/>
      <c r="C30" s="580"/>
      <c r="D30" s="965"/>
      <c r="E30" s="966"/>
      <c r="F30" s="966"/>
      <c r="G30" s="966"/>
      <c r="H30" s="966"/>
      <c r="I30" s="967"/>
    </row>
    <row r="31" spans="1:9" s="546" customFormat="1" ht="10.5" x14ac:dyDescent="0.15">
      <c r="A31" s="581" t="s">
        <v>120</v>
      </c>
      <c r="B31" s="582">
        <f>SUM(B30:B30)</f>
        <v>0</v>
      </c>
      <c r="C31" s="971"/>
      <c r="D31" s="971"/>
      <c r="E31" s="971"/>
      <c r="F31" s="971"/>
      <c r="G31" s="971"/>
      <c r="H31" s="971"/>
      <c r="I31" s="971"/>
    </row>
    <row r="32" spans="1:9" s="541" customFormat="1" ht="11.25" x14ac:dyDescent="0.2">
      <c r="A32" s="541" t="s">
        <v>638</v>
      </c>
      <c r="C32" s="548"/>
    </row>
    <row r="33" spans="1:9" s="549" customFormat="1" ht="11.25" x14ac:dyDescent="0.2">
      <c r="A33" s="927" t="s">
        <v>129</v>
      </c>
      <c r="B33" s="927"/>
      <c r="C33" s="927"/>
      <c r="D33" s="927"/>
      <c r="E33" s="927"/>
      <c r="F33" s="927"/>
      <c r="G33" s="927"/>
      <c r="H33" s="927"/>
      <c r="I33" s="927"/>
    </row>
    <row r="34" spans="1:9" s="541" customFormat="1" ht="11.25" x14ac:dyDescent="0.2">
      <c r="C34" s="545"/>
    </row>
    <row r="35" spans="1:9" s="541" customFormat="1" ht="11.25" x14ac:dyDescent="0.2">
      <c r="A35" s="542" t="s">
        <v>130</v>
      </c>
      <c r="B35" s="577" t="s">
        <v>131</v>
      </c>
      <c r="C35" s="972" t="s">
        <v>132</v>
      </c>
      <c r="D35" s="972"/>
      <c r="E35" s="972"/>
      <c r="F35" s="972"/>
      <c r="G35" s="972"/>
      <c r="H35" s="972"/>
      <c r="I35" s="973"/>
    </row>
    <row r="36" spans="1:9" s="541" customFormat="1" ht="11.25" x14ac:dyDescent="0.2">
      <c r="A36" s="584">
        <v>11115</v>
      </c>
      <c r="B36" s="584">
        <v>8084</v>
      </c>
      <c r="C36" s="974" t="s">
        <v>639</v>
      </c>
      <c r="D36" s="974"/>
      <c r="E36" s="974"/>
      <c r="F36" s="974"/>
      <c r="G36" s="974"/>
      <c r="H36" s="974"/>
      <c r="I36" s="974"/>
    </row>
    <row r="37" spans="1:9" s="546" customFormat="1" ht="10.5" x14ac:dyDescent="0.15">
      <c r="A37" s="585">
        <f>SUM(A36:A36)</f>
        <v>11115</v>
      </c>
      <c r="B37" s="585">
        <f>SUM(B36:B36)</f>
        <v>8084</v>
      </c>
      <c r="C37" s="975" t="s">
        <v>120</v>
      </c>
      <c r="D37" s="976"/>
      <c r="E37" s="976"/>
      <c r="F37" s="976"/>
      <c r="G37" s="976"/>
      <c r="H37" s="976"/>
      <c r="I37" s="977"/>
    </row>
    <row r="38" spans="1:9" s="541" customFormat="1" ht="11.25" x14ac:dyDescent="0.2">
      <c r="C38" s="545"/>
    </row>
    <row r="39" spans="1:9" s="541" customFormat="1" ht="11.25" x14ac:dyDescent="0.2">
      <c r="A39" s="927" t="s">
        <v>177</v>
      </c>
      <c r="B39" s="928"/>
      <c r="C39" s="928"/>
      <c r="D39" s="928"/>
      <c r="E39" s="928"/>
      <c r="F39" s="928"/>
      <c r="G39" s="928"/>
      <c r="H39" s="928"/>
      <c r="I39" s="928"/>
    </row>
    <row r="40" spans="1:9" s="541" customFormat="1" ht="11.25" x14ac:dyDescent="0.2">
      <c r="C40" s="545"/>
    </row>
    <row r="41" spans="1:9" s="587" customFormat="1" ht="31.5" x14ac:dyDescent="0.25">
      <c r="A41" s="929" t="s">
        <v>135</v>
      </c>
      <c r="B41" s="930"/>
      <c r="C41" s="586" t="s">
        <v>136</v>
      </c>
      <c r="D41" s="586" t="s">
        <v>137</v>
      </c>
      <c r="E41" s="586" t="s">
        <v>138</v>
      </c>
      <c r="F41" s="586" t="s">
        <v>139</v>
      </c>
      <c r="G41" s="586" t="s">
        <v>140</v>
      </c>
    </row>
    <row r="42" spans="1:9" s="587" customFormat="1" ht="15" x14ac:dyDescent="0.25">
      <c r="A42" s="939" t="s">
        <v>640</v>
      </c>
      <c r="B42" s="940"/>
      <c r="C42" s="588" t="s">
        <v>641</v>
      </c>
      <c r="D42" s="589">
        <v>8084</v>
      </c>
      <c r="E42" s="590"/>
      <c r="F42" s="943">
        <v>43087</v>
      </c>
      <c r="G42" s="945">
        <v>43280</v>
      </c>
    </row>
    <row r="43" spans="1:9" s="587" customFormat="1" ht="15" x14ac:dyDescent="0.25">
      <c r="A43" s="941"/>
      <c r="B43" s="942"/>
      <c r="C43" s="591" t="s">
        <v>642</v>
      </c>
      <c r="D43" s="592"/>
      <c r="E43" s="592">
        <v>8084</v>
      </c>
      <c r="F43" s="944"/>
      <c r="G43" s="946"/>
    </row>
    <row r="44" spans="1:9" s="587" customFormat="1" ht="15" x14ac:dyDescent="0.25">
      <c r="A44" s="954" t="s">
        <v>643</v>
      </c>
      <c r="B44" s="940"/>
      <c r="C44" s="588" t="s">
        <v>644</v>
      </c>
      <c r="D44" s="589">
        <v>109185</v>
      </c>
      <c r="E44" s="590"/>
      <c r="F44" s="943">
        <v>43140</v>
      </c>
      <c r="G44" s="945">
        <v>43140</v>
      </c>
    </row>
    <row r="45" spans="1:9" s="587" customFormat="1" ht="15" x14ac:dyDescent="0.25">
      <c r="A45" s="941"/>
      <c r="B45" s="942"/>
      <c r="C45" s="591" t="s">
        <v>645</v>
      </c>
      <c r="D45" s="592"/>
      <c r="E45" s="592">
        <f>D44</f>
        <v>109185</v>
      </c>
      <c r="F45" s="944"/>
      <c r="G45" s="946"/>
    </row>
    <row r="46" spans="1:9" s="587" customFormat="1" ht="15" x14ac:dyDescent="0.25">
      <c r="A46" s="939" t="s">
        <v>646</v>
      </c>
      <c r="B46" s="940"/>
      <c r="C46" s="588" t="s">
        <v>647</v>
      </c>
      <c r="D46" s="589">
        <v>480000</v>
      </c>
      <c r="E46" s="590"/>
      <c r="F46" s="943">
        <v>43165</v>
      </c>
      <c r="G46" s="945">
        <v>43180</v>
      </c>
    </row>
    <row r="47" spans="1:9" s="587" customFormat="1" ht="15" x14ac:dyDescent="0.25">
      <c r="A47" s="941"/>
      <c r="B47" s="942"/>
      <c r="C47" s="591" t="s">
        <v>645</v>
      </c>
      <c r="D47" s="592"/>
      <c r="E47" s="592">
        <f>D46</f>
        <v>480000</v>
      </c>
      <c r="F47" s="944">
        <v>42066</v>
      </c>
      <c r="G47" s="946">
        <v>42101</v>
      </c>
    </row>
    <row r="48" spans="1:9" s="587" customFormat="1" ht="15" x14ac:dyDescent="0.25">
      <c r="A48" s="939" t="s">
        <v>648</v>
      </c>
      <c r="B48" s="940"/>
      <c r="C48" s="588" t="s">
        <v>647</v>
      </c>
      <c r="D48" s="589">
        <v>320000</v>
      </c>
      <c r="E48" s="590"/>
      <c r="F48" s="943">
        <v>43165</v>
      </c>
      <c r="G48" s="945">
        <v>43180</v>
      </c>
    </row>
    <row r="49" spans="1:7" s="587" customFormat="1" ht="15" x14ac:dyDescent="0.25">
      <c r="A49" s="941"/>
      <c r="B49" s="942"/>
      <c r="C49" s="591" t="s">
        <v>645</v>
      </c>
      <c r="D49" s="592"/>
      <c r="E49" s="592">
        <f>D48</f>
        <v>320000</v>
      </c>
      <c r="F49" s="944">
        <v>42066</v>
      </c>
      <c r="G49" s="946">
        <v>42101</v>
      </c>
    </row>
    <row r="50" spans="1:7" s="587" customFormat="1" ht="15" x14ac:dyDescent="0.25">
      <c r="A50" s="939" t="s">
        <v>649</v>
      </c>
      <c r="B50" s="940"/>
      <c r="C50" s="588" t="s">
        <v>647</v>
      </c>
      <c r="D50" s="589">
        <v>120000</v>
      </c>
      <c r="E50" s="590"/>
      <c r="F50" s="943">
        <v>43165</v>
      </c>
      <c r="G50" s="945">
        <v>43180</v>
      </c>
    </row>
    <row r="51" spans="1:7" s="587" customFormat="1" ht="15" x14ac:dyDescent="0.25">
      <c r="A51" s="941"/>
      <c r="B51" s="942"/>
      <c r="C51" s="591" t="s">
        <v>645</v>
      </c>
      <c r="D51" s="592"/>
      <c r="E51" s="592">
        <f>D50</f>
        <v>120000</v>
      </c>
      <c r="F51" s="944">
        <v>42066</v>
      </c>
      <c r="G51" s="946">
        <v>42101</v>
      </c>
    </row>
    <row r="52" spans="1:7" s="587" customFormat="1" ht="15" x14ac:dyDescent="0.25">
      <c r="A52" s="939" t="s">
        <v>650</v>
      </c>
      <c r="B52" s="940"/>
      <c r="C52" s="588" t="s">
        <v>647</v>
      </c>
      <c r="D52" s="589">
        <v>195000</v>
      </c>
      <c r="E52" s="590"/>
      <c r="F52" s="943">
        <v>43165</v>
      </c>
      <c r="G52" s="945">
        <v>43180</v>
      </c>
    </row>
    <row r="53" spans="1:7" s="587" customFormat="1" ht="15" x14ac:dyDescent="0.25">
      <c r="A53" s="941"/>
      <c r="B53" s="942"/>
      <c r="C53" s="591" t="s">
        <v>645</v>
      </c>
      <c r="D53" s="592"/>
      <c r="E53" s="592">
        <f>D52</f>
        <v>195000</v>
      </c>
      <c r="F53" s="944">
        <v>42066</v>
      </c>
      <c r="G53" s="946">
        <v>42101</v>
      </c>
    </row>
    <row r="54" spans="1:7" s="587" customFormat="1" ht="15" x14ac:dyDescent="0.25">
      <c r="A54" s="939" t="s">
        <v>651</v>
      </c>
      <c r="B54" s="940"/>
      <c r="C54" s="588" t="s">
        <v>652</v>
      </c>
      <c r="D54" s="589">
        <v>6790</v>
      </c>
      <c r="E54" s="589"/>
      <c r="F54" s="943">
        <v>43222</v>
      </c>
      <c r="G54" s="945">
        <v>43234</v>
      </c>
    </row>
    <row r="55" spans="1:7" s="587" customFormat="1" ht="15" x14ac:dyDescent="0.25">
      <c r="A55" s="962"/>
      <c r="B55" s="963"/>
      <c r="C55" s="591" t="s">
        <v>653</v>
      </c>
      <c r="D55" s="592"/>
      <c r="E55" s="592">
        <f>D54</f>
        <v>6790</v>
      </c>
      <c r="F55" s="952"/>
      <c r="G55" s="953"/>
    </row>
    <row r="56" spans="1:7" s="587" customFormat="1" ht="15" x14ac:dyDescent="0.25">
      <c r="A56" s="939" t="s">
        <v>654</v>
      </c>
      <c r="B56" s="940"/>
      <c r="C56" s="588" t="s">
        <v>647</v>
      </c>
      <c r="D56" s="589">
        <v>472000</v>
      </c>
      <c r="E56" s="590"/>
      <c r="F56" s="943">
        <v>43222</v>
      </c>
      <c r="G56" s="945">
        <v>43234</v>
      </c>
    </row>
    <row r="57" spans="1:7" s="587" customFormat="1" ht="15" x14ac:dyDescent="0.25">
      <c r="A57" s="941"/>
      <c r="B57" s="942"/>
      <c r="C57" s="591" t="s">
        <v>645</v>
      </c>
      <c r="D57" s="592"/>
      <c r="E57" s="592">
        <f>D56</f>
        <v>472000</v>
      </c>
      <c r="F57" s="952"/>
      <c r="G57" s="946"/>
    </row>
    <row r="58" spans="1:7" s="587" customFormat="1" ht="15" x14ac:dyDescent="0.25">
      <c r="A58" s="939" t="s">
        <v>655</v>
      </c>
      <c r="B58" s="940"/>
      <c r="C58" s="588" t="s">
        <v>647</v>
      </c>
      <c r="D58" s="589">
        <v>63000</v>
      </c>
      <c r="E58" s="590"/>
      <c r="F58" s="943">
        <v>43249</v>
      </c>
      <c r="G58" s="945">
        <v>43257</v>
      </c>
    </row>
    <row r="59" spans="1:7" s="587" customFormat="1" ht="15" x14ac:dyDescent="0.25">
      <c r="A59" s="941"/>
      <c r="B59" s="942"/>
      <c r="C59" s="591" t="s">
        <v>424</v>
      </c>
      <c r="D59" s="592"/>
      <c r="E59" s="592">
        <f>D58</f>
        <v>63000</v>
      </c>
      <c r="F59" s="944"/>
      <c r="G59" s="946"/>
    </row>
    <row r="60" spans="1:7" s="587" customFormat="1" ht="15" x14ac:dyDescent="0.25">
      <c r="A60" s="939" t="s">
        <v>656</v>
      </c>
      <c r="B60" s="947"/>
      <c r="C60" s="588" t="s">
        <v>652</v>
      </c>
      <c r="D60" s="589">
        <f>E61+E62</f>
        <v>6297</v>
      </c>
      <c r="E60" s="589"/>
      <c r="F60" s="943">
        <v>43249</v>
      </c>
      <c r="G60" s="945">
        <v>43258</v>
      </c>
    </row>
    <row r="61" spans="1:7" s="587" customFormat="1" ht="15" x14ac:dyDescent="0.25">
      <c r="A61" s="948"/>
      <c r="B61" s="949"/>
      <c r="C61" s="588" t="s">
        <v>653</v>
      </c>
      <c r="D61" s="589"/>
      <c r="E61" s="589">
        <v>3199</v>
      </c>
      <c r="F61" s="952"/>
      <c r="G61" s="953"/>
    </row>
    <row r="62" spans="1:7" s="587" customFormat="1" ht="15" x14ac:dyDescent="0.25">
      <c r="A62" s="950"/>
      <c r="B62" s="951"/>
      <c r="C62" s="593" t="s">
        <v>657</v>
      </c>
      <c r="D62" s="594"/>
      <c r="E62" s="594">
        <f>1299+1799</f>
        <v>3098</v>
      </c>
      <c r="F62" s="944"/>
      <c r="G62" s="946"/>
    </row>
    <row r="63" spans="1:7" s="587" customFormat="1" ht="15" x14ac:dyDescent="0.25">
      <c r="A63" s="954" t="s">
        <v>658</v>
      </c>
      <c r="B63" s="955"/>
      <c r="C63" s="588" t="s">
        <v>647</v>
      </c>
      <c r="D63" s="589">
        <f>E64+E65</f>
        <v>880000</v>
      </c>
      <c r="E63" s="589"/>
      <c r="F63" s="943">
        <v>43249</v>
      </c>
      <c r="G63" s="945">
        <v>43258</v>
      </c>
    </row>
    <row r="64" spans="1:7" s="587" customFormat="1" ht="15" x14ac:dyDescent="0.25">
      <c r="A64" s="956"/>
      <c r="B64" s="957"/>
      <c r="C64" s="588" t="s">
        <v>657</v>
      </c>
      <c r="D64" s="589"/>
      <c r="E64" s="589">
        <v>440000</v>
      </c>
      <c r="F64" s="952"/>
      <c r="G64" s="953"/>
    </row>
    <row r="65" spans="1:9" s="587" customFormat="1" ht="15" x14ac:dyDescent="0.25">
      <c r="A65" s="958"/>
      <c r="B65" s="959"/>
      <c r="C65" s="593" t="s">
        <v>653</v>
      </c>
      <c r="D65" s="594"/>
      <c r="E65" s="594">
        <v>440000</v>
      </c>
      <c r="F65" s="944"/>
      <c r="G65" s="946"/>
    </row>
    <row r="66" spans="1:9" s="541" customFormat="1" ht="12" x14ac:dyDescent="0.2">
      <c r="A66" s="933" t="s">
        <v>178</v>
      </c>
      <c r="B66" s="934"/>
      <c r="C66" s="595"/>
      <c r="D66" s="393">
        <f>SUM(D42:D65)</f>
        <v>2660356</v>
      </c>
      <c r="E66" s="393">
        <f>SUM(E42:E65)</f>
        <v>2660356</v>
      </c>
      <c r="F66" s="960"/>
      <c r="G66" s="961"/>
    </row>
    <row r="67" spans="1:9" s="541" customFormat="1" ht="15" x14ac:dyDescent="0.25">
      <c r="A67" s="938"/>
      <c r="B67" s="783"/>
      <c r="C67" s="545"/>
    </row>
    <row r="68" spans="1:9" s="541" customFormat="1" ht="11.25" x14ac:dyDescent="0.2">
      <c r="A68" s="928" t="s">
        <v>180</v>
      </c>
      <c r="B68" s="928"/>
      <c r="C68" s="928"/>
      <c r="D68" s="928"/>
      <c r="E68" s="928"/>
      <c r="F68" s="928"/>
      <c r="G68" s="928"/>
      <c r="H68" s="928"/>
      <c r="I68" s="928"/>
    </row>
    <row r="69" spans="1:9" s="541" customFormat="1" ht="11.25" x14ac:dyDescent="0.2">
      <c r="C69" s="545"/>
    </row>
    <row r="70" spans="1:9" s="587" customFormat="1" ht="31.5" x14ac:dyDescent="0.25">
      <c r="A70" s="929" t="s">
        <v>135</v>
      </c>
      <c r="B70" s="930"/>
      <c r="C70" s="586" t="s">
        <v>136</v>
      </c>
      <c r="D70" s="586" t="s">
        <v>137</v>
      </c>
      <c r="E70" s="586" t="s">
        <v>138</v>
      </c>
      <c r="F70" s="586" t="s">
        <v>139</v>
      </c>
      <c r="G70" s="586" t="s">
        <v>140</v>
      </c>
    </row>
    <row r="71" spans="1:9" s="541" customFormat="1" ht="11.25" customHeight="1" x14ac:dyDescent="0.2">
      <c r="A71" s="931"/>
      <c r="B71" s="932"/>
      <c r="C71" s="596"/>
      <c r="D71" s="597"/>
      <c r="E71" s="597"/>
      <c r="F71" s="598"/>
      <c r="G71" s="598"/>
    </row>
    <row r="72" spans="1:9" s="541" customFormat="1" ht="11.25" x14ac:dyDescent="0.2">
      <c r="A72" s="933" t="s">
        <v>178</v>
      </c>
      <c r="B72" s="934"/>
      <c r="C72" s="595"/>
      <c r="D72" s="599">
        <f>SUM(D71:D71)</f>
        <v>0</v>
      </c>
      <c r="E72" s="599">
        <f>SUM(E71:E71)</f>
        <v>0</v>
      </c>
      <c r="F72" s="935"/>
      <c r="G72" s="936"/>
    </row>
    <row r="73" spans="1:9" s="541" customFormat="1" ht="11.25" x14ac:dyDescent="0.2">
      <c r="A73" s="600" t="s">
        <v>659</v>
      </c>
      <c r="C73" s="545"/>
    </row>
    <row r="74" spans="1:9" s="541" customFormat="1" ht="11.25" x14ac:dyDescent="0.2">
      <c r="C74" s="545"/>
    </row>
    <row r="75" spans="1:9" s="549" customFormat="1" ht="11.25" x14ac:dyDescent="0.2">
      <c r="A75" s="937" t="s">
        <v>238</v>
      </c>
      <c r="B75" s="937"/>
      <c r="C75" s="937"/>
      <c r="D75" s="937"/>
      <c r="E75" s="937"/>
      <c r="F75" s="937"/>
      <c r="G75" s="937"/>
      <c r="H75" s="937"/>
      <c r="I75" s="937"/>
    </row>
    <row r="76" spans="1:9" s="541" customFormat="1" ht="11.25" x14ac:dyDescent="0.2">
      <c r="A76" s="541" t="s">
        <v>660</v>
      </c>
    </row>
    <row r="77" spans="1:9" s="541" customFormat="1" ht="11.25" x14ac:dyDescent="0.2">
      <c r="A77" s="778"/>
      <c r="B77" s="779"/>
      <c r="C77" s="779"/>
      <c r="D77" s="779"/>
      <c r="E77" s="779"/>
      <c r="F77" s="779"/>
      <c r="G77" s="779"/>
      <c r="H77" s="779"/>
      <c r="I77" s="780"/>
    </row>
    <row r="78" spans="1:9" s="540" customFormat="1" ht="10.5" x14ac:dyDescent="0.15">
      <c r="A78" s="927" t="s">
        <v>165</v>
      </c>
      <c r="B78" s="927"/>
      <c r="C78" s="927"/>
      <c r="D78" s="927"/>
      <c r="E78" s="927"/>
      <c r="F78" s="927"/>
      <c r="G78" s="927"/>
      <c r="H78" s="927"/>
      <c r="I78" s="927"/>
    </row>
    <row r="79" spans="1:9" s="541" customFormat="1" ht="11.25" x14ac:dyDescent="0.2"/>
    <row r="80" spans="1:9" s="541" customFormat="1" ht="24.75" customHeight="1" x14ac:dyDescent="0.2">
      <c r="A80" s="763" t="s">
        <v>661</v>
      </c>
      <c r="B80" s="764"/>
      <c r="C80" s="764"/>
      <c r="D80" s="764"/>
      <c r="E80" s="764"/>
      <c r="F80" s="764"/>
      <c r="G80" s="764"/>
      <c r="H80" s="764"/>
      <c r="I80" s="765"/>
    </row>
    <row r="81" spans="1:9" s="541" customFormat="1" ht="18.75" customHeight="1" x14ac:dyDescent="0.2">
      <c r="A81" s="763"/>
      <c r="B81" s="764"/>
      <c r="C81" s="764"/>
      <c r="D81" s="764"/>
      <c r="E81" s="764"/>
      <c r="F81" s="764"/>
      <c r="G81" s="764"/>
      <c r="H81" s="764"/>
      <c r="I81" s="765"/>
    </row>
    <row r="82" spans="1:9" x14ac:dyDescent="0.2">
      <c r="A82" s="5" t="s">
        <v>662</v>
      </c>
    </row>
    <row r="83" spans="1:9" ht="14.25" customHeight="1" x14ac:dyDescent="0.2">
      <c r="A83" s="246" t="s">
        <v>431</v>
      </c>
    </row>
    <row r="84" spans="1:9" ht="13.5" customHeight="1" x14ac:dyDescent="0.2">
      <c r="A84" s="246"/>
    </row>
  </sheetData>
  <mergeCells count="84">
    <mergeCell ref="F12:G12"/>
    <mergeCell ref="H12:I12"/>
    <mergeCell ref="A1:I1"/>
    <mergeCell ref="A3:I3"/>
    <mergeCell ref="A5:B5"/>
    <mergeCell ref="D5:I5"/>
    <mergeCell ref="A6:B6"/>
    <mergeCell ref="D6:I6"/>
    <mergeCell ref="A7:B7"/>
    <mergeCell ref="D7:I7"/>
    <mergeCell ref="A8:B8"/>
    <mergeCell ref="D8:I8"/>
    <mergeCell ref="A10:I10"/>
    <mergeCell ref="A20:I20"/>
    <mergeCell ref="F13:G13"/>
    <mergeCell ref="H13:I13"/>
    <mergeCell ref="F14:G14"/>
    <mergeCell ref="H14:I14"/>
    <mergeCell ref="F15:G15"/>
    <mergeCell ref="H15:I15"/>
    <mergeCell ref="F16:G16"/>
    <mergeCell ref="H16:I16"/>
    <mergeCell ref="F17:G17"/>
    <mergeCell ref="H17:I17"/>
    <mergeCell ref="F18:G18"/>
    <mergeCell ref="A39:I39"/>
    <mergeCell ref="D22:I22"/>
    <mergeCell ref="D23:I23"/>
    <mergeCell ref="C24:I24"/>
    <mergeCell ref="A27:I27"/>
    <mergeCell ref="D29:I29"/>
    <mergeCell ref="D30:I30"/>
    <mergeCell ref="C31:I31"/>
    <mergeCell ref="A33:I33"/>
    <mergeCell ref="C35:I35"/>
    <mergeCell ref="C36:I36"/>
    <mergeCell ref="C37:I37"/>
    <mergeCell ref="A41:B41"/>
    <mergeCell ref="A42:B43"/>
    <mergeCell ref="F42:F43"/>
    <mergeCell ref="G42:G43"/>
    <mergeCell ref="A44:B45"/>
    <mergeCell ref="F44:F45"/>
    <mergeCell ref="G44:G45"/>
    <mergeCell ref="A46:B47"/>
    <mergeCell ref="F46:F47"/>
    <mergeCell ref="G46:G47"/>
    <mergeCell ref="A48:B49"/>
    <mergeCell ref="F48:F49"/>
    <mergeCell ref="G48:G49"/>
    <mergeCell ref="A50:B51"/>
    <mergeCell ref="F50:F51"/>
    <mergeCell ref="G50:G51"/>
    <mergeCell ref="A52:B53"/>
    <mergeCell ref="F52:F53"/>
    <mergeCell ref="G52:G53"/>
    <mergeCell ref="A54:B55"/>
    <mergeCell ref="F54:F55"/>
    <mergeCell ref="G54:G55"/>
    <mergeCell ref="A56:B57"/>
    <mergeCell ref="F56:F57"/>
    <mergeCell ref="G56:G57"/>
    <mergeCell ref="A67:B67"/>
    <mergeCell ref="A58:B59"/>
    <mergeCell ref="F58:F59"/>
    <mergeCell ref="G58:G59"/>
    <mergeCell ref="A60:B62"/>
    <mergeCell ref="F60:F62"/>
    <mergeCell ref="G60:G62"/>
    <mergeCell ref="A63:B65"/>
    <mergeCell ref="F63:F65"/>
    <mergeCell ref="G63:G65"/>
    <mergeCell ref="A66:B66"/>
    <mergeCell ref="F66:G66"/>
    <mergeCell ref="A77:I77"/>
    <mergeCell ref="A78:I78"/>
    <mergeCell ref="A80:I80"/>
    <mergeCell ref="A81:I81"/>
    <mergeCell ref="A68:I68"/>
    <mergeCell ref="A70:B70"/>
    <mergeCell ref="A71:B71"/>
    <mergeCell ref="A72:B72"/>
    <mergeCell ref="F72:G72"/>
    <mergeCell ref="A75:I75"/>
  </mergeCells>
  <pageMargins left="0.70866141732283472" right="0.70866141732283472" top="0.78740157480314965" bottom="0.78740157480314965" header="0.31496062992125984" footer="0.31496062992125984"/>
  <pageSetup paperSize="9" scale="51" firstPageNumber="110" orientation="portrait" useFirstPageNumber="1" r:id="rId1"/>
  <headerFooter>
    <oddFooter>&amp;C&amp;P</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36"/>
  <sheetViews>
    <sheetView workbookViewId="0">
      <selection activeCell="C51" sqref="C51"/>
    </sheetView>
  </sheetViews>
  <sheetFormatPr defaultColWidth="3.7109375" defaultRowHeight="15" x14ac:dyDescent="0.25"/>
  <cols>
    <col min="1" max="1" width="3.140625" style="2" customWidth="1"/>
    <col min="2" max="2" width="3.7109375" style="3" customWidth="1"/>
    <col min="3" max="3" width="21" style="3" customWidth="1"/>
    <col min="4" max="4" width="4.85546875" style="3" customWidth="1"/>
    <col min="5" max="7" width="6.28515625" style="3" customWidth="1"/>
    <col min="8" max="8" width="5" style="3" customWidth="1"/>
    <col min="9" max="12" width="6.28515625" style="3" customWidth="1"/>
    <col min="13" max="13" width="5" style="3" customWidth="1"/>
    <col min="14" max="17" width="6.28515625" style="3" customWidth="1"/>
    <col min="18" max="18" width="5" style="3" customWidth="1"/>
    <col min="19" max="22" width="6.28515625" style="3" customWidth="1"/>
    <col min="23" max="23" width="5" style="3" customWidth="1"/>
    <col min="24" max="24" width="6.28515625" style="3" customWidth="1"/>
    <col min="25" max="16384" width="3.7109375" style="3"/>
  </cols>
  <sheetData>
    <row r="1" spans="1:24" s="6" customFormat="1" ht="15.75" x14ac:dyDescent="0.25">
      <c r="A1" s="759" t="s">
        <v>94</v>
      </c>
      <c r="B1" s="759"/>
      <c r="C1" s="759"/>
      <c r="D1" s="759"/>
      <c r="E1" s="759"/>
      <c r="F1" s="759"/>
      <c r="G1" s="759"/>
      <c r="H1" s="759"/>
      <c r="I1" s="759"/>
      <c r="J1" s="759"/>
      <c r="K1" s="759"/>
      <c r="L1" s="759"/>
      <c r="M1" s="759"/>
      <c r="N1" s="759"/>
      <c r="O1" s="759"/>
      <c r="P1" s="759"/>
      <c r="Q1" s="759"/>
      <c r="R1" s="759"/>
      <c r="S1" s="759"/>
      <c r="T1" s="759"/>
      <c r="U1" s="759"/>
      <c r="V1" s="759"/>
      <c r="W1" s="759"/>
      <c r="X1" s="759"/>
    </row>
    <row r="2" spans="1:24" x14ac:dyDescent="0.25">
      <c r="C2" s="142"/>
    </row>
    <row r="3" spans="1:24" s="7" customFormat="1" ht="9.75" customHeight="1" x14ac:dyDescent="0.2">
      <c r="A3" s="752" t="s">
        <v>1</v>
      </c>
      <c r="B3" s="761" t="s">
        <v>2</v>
      </c>
      <c r="C3" s="760"/>
      <c r="D3" s="761" t="s">
        <v>3</v>
      </c>
      <c r="E3" s="762" t="s">
        <v>4</v>
      </c>
      <c r="F3" s="762"/>
      <c r="G3" s="762"/>
      <c r="H3" s="762"/>
      <c r="I3" s="762"/>
      <c r="J3" s="762" t="s">
        <v>5</v>
      </c>
      <c r="K3" s="762"/>
      <c r="L3" s="762"/>
      <c r="M3" s="762"/>
      <c r="N3" s="762"/>
      <c r="O3" s="762" t="s">
        <v>6</v>
      </c>
      <c r="P3" s="762"/>
      <c r="Q3" s="762"/>
      <c r="R3" s="762"/>
      <c r="S3" s="762"/>
      <c r="T3" s="762" t="s">
        <v>7</v>
      </c>
      <c r="U3" s="762"/>
      <c r="V3" s="762"/>
      <c r="W3" s="762"/>
      <c r="X3" s="762"/>
    </row>
    <row r="4" spans="1:24" s="8" customFormat="1" ht="9.75" customHeight="1" x14ac:dyDescent="0.2">
      <c r="A4" s="760"/>
      <c r="B4" s="760"/>
      <c r="C4" s="760"/>
      <c r="D4" s="761"/>
      <c r="E4" s="754" t="s">
        <v>8</v>
      </c>
      <c r="F4" s="755" t="s">
        <v>9</v>
      </c>
      <c r="G4" s="755"/>
      <c r="H4" s="755"/>
      <c r="I4" s="752" t="s">
        <v>10</v>
      </c>
      <c r="J4" s="754" t="s">
        <v>8</v>
      </c>
      <c r="K4" s="755" t="s">
        <v>9</v>
      </c>
      <c r="L4" s="755"/>
      <c r="M4" s="755"/>
      <c r="N4" s="752" t="s">
        <v>10</v>
      </c>
      <c r="O4" s="754" t="s">
        <v>8</v>
      </c>
      <c r="P4" s="755" t="s">
        <v>9</v>
      </c>
      <c r="Q4" s="755"/>
      <c r="R4" s="755"/>
      <c r="S4" s="752" t="s">
        <v>10</v>
      </c>
      <c r="T4" s="754" t="s">
        <v>8</v>
      </c>
      <c r="U4" s="755" t="s">
        <v>9</v>
      </c>
      <c r="V4" s="755"/>
      <c r="W4" s="755"/>
      <c r="X4" s="752" t="s">
        <v>10</v>
      </c>
    </row>
    <row r="5" spans="1:24" s="10" customFormat="1" ht="9.75" customHeight="1" x14ac:dyDescent="0.2">
      <c r="A5" s="760"/>
      <c r="B5" s="760"/>
      <c r="C5" s="760"/>
      <c r="D5" s="761"/>
      <c r="E5" s="754"/>
      <c r="F5" s="9" t="s">
        <v>11</v>
      </c>
      <c r="G5" s="9" t="s">
        <v>12</v>
      </c>
      <c r="H5" s="9" t="s">
        <v>13</v>
      </c>
      <c r="I5" s="752"/>
      <c r="J5" s="754"/>
      <c r="K5" s="9" t="s">
        <v>11</v>
      </c>
      <c r="L5" s="9" t="s">
        <v>12</v>
      </c>
      <c r="M5" s="9" t="s">
        <v>13</v>
      </c>
      <c r="N5" s="752"/>
      <c r="O5" s="754"/>
      <c r="P5" s="9" t="s">
        <v>11</v>
      </c>
      <c r="Q5" s="9" t="s">
        <v>12</v>
      </c>
      <c r="R5" s="9" t="s">
        <v>13</v>
      </c>
      <c r="S5" s="752"/>
      <c r="T5" s="754"/>
      <c r="U5" s="9" t="s">
        <v>11</v>
      </c>
      <c r="V5" s="9" t="s">
        <v>12</v>
      </c>
      <c r="W5" s="9" t="s">
        <v>13</v>
      </c>
      <c r="X5" s="752"/>
    </row>
    <row r="6" spans="1:24" s="7" customFormat="1" ht="9.75" customHeight="1" x14ac:dyDescent="0.2">
      <c r="A6" s="11" t="s">
        <v>14</v>
      </c>
      <c r="B6" s="753" t="s">
        <v>15</v>
      </c>
      <c r="C6" s="753"/>
      <c r="D6" s="12" t="s">
        <v>16</v>
      </c>
      <c r="E6" s="13">
        <f>SUM(E7:E9)</f>
        <v>32365547</v>
      </c>
      <c r="F6" s="13">
        <f>SUM(F7:F9)</f>
        <v>33136637.25</v>
      </c>
      <c r="G6" s="13">
        <f>SUM(G7:G9)</f>
        <v>16072590.719999999</v>
      </c>
      <c r="H6" s="14">
        <f t="shared" ref="H6:H36" si="0">G6/F6*100</f>
        <v>48.503988496901563</v>
      </c>
      <c r="I6" s="13">
        <f>SUM(I7:I9)</f>
        <v>14061648</v>
      </c>
      <c r="J6" s="13">
        <f>SUM(J7:J9)</f>
        <v>4406057</v>
      </c>
      <c r="K6" s="13">
        <f t="shared" ref="K6:X6" si="1">SUM(K7:K9)</f>
        <v>4452664.4399999995</v>
      </c>
      <c r="L6" s="13">
        <f t="shared" si="1"/>
        <v>2163260.44</v>
      </c>
      <c r="M6" s="14">
        <f t="shared" ref="M6:M36" si="2">L6/K6*100</f>
        <v>48.583504756536293</v>
      </c>
      <c r="N6" s="13">
        <f t="shared" si="1"/>
        <v>2712269</v>
      </c>
      <c r="O6" s="13">
        <f t="shared" si="1"/>
        <v>27959490</v>
      </c>
      <c r="P6" s="13">
        <f t="shared" si="1"/>
        <v>28683972.809999999</v>
      </c>
      <c r="Q6" s="13">
        <f t="shared" si="1"/>
        <v>13909330.279999999</v>
      </c>
      <c r="R6" s="14">
        <f t="shared" ref="R6:R36" si="3">Q6/P6*100</f>
        <v>48.491645045594368</v>
      </c>
      <c r="S6" s="13">
        <f t="shared" si="1"/>
        <v>11349379</v>
      </c>
      <c r="T6" s="13">
        <f t="shared" si="1"/>
        <v>140457</v>
      </c>
      <c r="U6" s="13">
        <f t="shared" si="1"/>
        <v>140457</v>
      </c>
      <c r="V6" s="13">
        <f t="shared" si="1"/>
        <v>95216</v>
      </c>
      <c r="W6" s="14">
        <f t="shared" ref="W6:W33" si="4">V6/U6*100</f>
        <v>67.7901421787451</v>
      </c>
      <c r="X6" s="13">
        <f t="shared" si="1"/>
        <v>76851</v>
      </c>
    </row>
    <row r="7" spans="1:24" s="7" customFormat="1" ht="9.75" x14ac:dyDescent="0.2">
      <c r="A7" s="15" t="s">
        <v>17</v>
      </c>
      <c r="B7" s="750" t="s">
        <v>18</v>
      </c>
      <c r="C7" s="750"/>
      <c r="D7" s="16" t="s">
        <v>16</v>
      </c>
      <c r="E7" s="17">
        <f t="shared" ref="E7:G10" si="5">SUM(J7,O7)</f>
        <v>866057</v>
      </c>
      <c r="F7" s="17">
        <f t="shared" si="5"/>
        <v>874111</v>
      </c>
      <c r="G7" s="17">
        <f t="shared" si="5"/>
        <v>354707</v>
      </c>
      <c r="H7" s="18">
        <f t="shared" si="0"/>
        <v>40.579171295178753</v>
      </c>
      <c r="I7" s="17">
        <f>SUM(N7,S7)</f>
        <v>180537</v>
      </c>
      <c r="J7" s="42">
        <v>866057</v>
      </c>
      <c r="K7" s="19">
        <f>J7+1200+200+2500+2538+1616</f>
        <v>874111</v>
      </c>
      <c r="L7" s="19">
        <f>375848+1200+19705+4154-46200</f>
        <v>354707</v>
      </c>
      <c r="M7" s="18">
        <f t="shared" si="2"/>
        <v>40.579171295178753</v>
      </c>
      <c r="N7" s="19">
        <v>180537</v>
      </c>
      <c r="O7" s="19"/>
      <c r="P7" s="19"/>
      <c r="Q7" s="19"/>
      <c r="R7" s="18"/>
      <c r="S7" s="19"/>
      <c r="T7" s="19">
        <v>140457</v>
      </c>
      <c r="U7" s="19">
        <f>56400+84057</f>
        <v>140457</v>
      </c>
      <c r="V7" s="19">
        <f>46200+49016</f>
        <v>95216</v>
      </c>
      <c r="W7" s="18">
        <f t="shared" si="4"/>
        <v>67.7901421787451</v>
      </c>
      <c r="X7" s="19">
        <v>76851</v>
      </c>
    </row>
    <row r="8" spans="1:24" s="7" customFormat="1" ht="9.75" x14ac:dyDescent="0.2">
      <c r="A8" s="20" t="s">
        <v>19</v>
      </c>
      <c r="B8" s="758" t="s">
        <v>20</v>
      </c>
      <c r="C8" s="758"/>
      <c r="D8" s="16" t="s">
        <v>16</v>
      </c>
      <c r="E8" s="17"/>
      <c r="F8" s="17">
        <f t="shared" si="5"/>
        <v>553.44000000000005</v>
      </c>
      <c r="G8" s="17">
        <f t="shared" si="5"/>
        <v>553.44000000000005</v>
      </c>
      <c r="H8" s="18">
        <f t="shared" si="0"/>
        <v>100</v>
      </c>
      <c r="I8" s="17">
        <f>SUM(N8,S8)</f>
        <v>329</v>
      </c>
      <c r="J8" s="43"/>
      <c r="K8" s="17">
        <v>553.44000000000005</v>
      </c>
      <c r="L8" s="17">
        <v>553.44000000000005</v>
      </c>
      <c r="M8" s="18">
        <f t="shared" si="2"/>
        <v>100</v>
      </c>
      <c r="N8" s="17">
        <v>329</v>
      </c>
      <c r="O8" s="17"/>
      <c r="P8" s="17"/>
      <c r="Q8" s="17"/>
      <c r="R8" s="18"/>
      <c r="S8" s="17"/>
      <c r="T8" s="17"/>
      <c r="U8" s="17"/>
      <c r="V8" s="17"/>
      <c r="W8" s="18"/>
      <c r="X8" s="17"/>
    </row>
    <row r="9" spans="1:24" s="7" customFormat="1" ht="9.75" x14ac:dyDescent="0.2">
      <c r="A9" s="20" t="s">
        <v>21</v>
      </c>
      <c r="B9" s="21" t="s">
        <v>22</v>
      </c>
      <c r="C9" s="22"/>
      <c r="D9" s="16" t="s">
        <v>16</v>
      </c>
      <c r="E9" s="17">
        <f t="shared" si="5"/>
        <v>31499490</v>
      </c>
      <c r="F9" s="17">
        <f t="shared" si="5"/>
        <v>32261972.809999999</v>
      </c>
      <c r="G9" s="17">
        <f t="shared" si="5"/>
        <v>15717330.279999999</v>
      </c>
      <c r="H9" s="18">
        <f t="shared" si="0"/>
        <v>48.717821357558819</v>
      </c>
      <c r="I9" s="17">
        <f>SUM(N9,S9)</f>
        <v>13880782</v>
      </c>
      <c r="J9" s="43">
        <v>3540000</v>
      </c>
      <c r="K9" s="17">
        <f>J9+38000</f>
        <v>3578000</v>
      </c>
      <c r="L9" s="17">
        <f>15717330.28-Q9</f>
        <v>1808000</v>
      </c>
      <c r="M9" s="18">
        <f t="shared" si="2"/>
        <v>50.531022917831194</v>
      </c>
      <c r="N9" s="17">
        <v>2531403</v>
      </c>
      <c r="O9" s="17">
        <v>27959490</v>
      </c>
      <c r="P9" s="17">
        <f>O9+73392+640590.81+10500</f>
        <v>28683972.809999999</v>
      </c>
      <c r="Q9" s="17">
        <f>13130483.03+54364.44+640590.81+73392+10500</f>
        <v>13909330.279999999</v>
      </c>
      <c r="R9" s="18">
        <f t="shared" si="3"/>
        <v>48.491645045594368</v>
      </c>
      <c r="S9" s="17">
        <v>11349379</v>
      </c>
      <c r="T9" s="17"/>
      <c r="U9" s="17"/>
      <c r="V9" s="17"/>
      <c r="W9" s="18"/>
      <c r="X9" s="17"/>
    </row>
    <row r="10" spans="1:24" s="7" customFormat="1" ht="9.75" x14ac:dyDescent="0.2">
      <c r="A10" s="11" t="s">
        <v>23</v>
      </c>
      <c r="B10" s="753" t="s">
        <v>24</v>
      </c>
      <c r="C10" s="753"/>
      <c r="D10" s="12" t="s">
        <v>16</v>
      </c>
      <c r="E10" s="23">
        <f t="shared" si="5"/>
        <v>0</v>
      </c>
      <c r="F10" s="23">
        <f t="shared" si="5"/>
        <v>0</v>
      </c>
      <c r="G10" s="23">
        <f t="shared" si="5"/>
        <v>0</v>
      </c>
      <c r="H10" s="14">
        <v>0</v>
      </c>
      <c r="I10" s="23">
        <f>SUM(N10,S10)</f>
        <v>0</v>
      </c>
      <c r="J10" s="24">
        <v>0</v>
      </c>
      <c r="K10" s="23">
        <v>0</v>
      </c>
      <c r="L10" s="23">
        <v>0</v>
      </c>
      <c r="M10" s="14">
        <v>0</v>
      </c>
      <c r="N10" s="23">
        <v>0</v>
      </c>
      <c r="O10" s="23"/>
      <c r="P10" s="23"/>
      <c r="Q10" s="23"/>
      <c r="R10" s="14"/>
      <c r="S10" s="23"/>
      <c r="T10" s="23"/>
      <c r="U10" s="23"/>
      <c r="V10" s="23"/>
      <c r="W10" s="14"/>
      <c r="X10" s="23"/>
    </row>
    <row r="11" spans="1:24" s="7" customFormat="1" ht="9.75" x14ac:dyDescent="0.2">
      <c r="A11" s="11" t="s">
        <v>25</v>
      </c>
      <c r="B11" s="753" t="s">
        <v>26</v>
      </c>
      <c r="C11" s="753"/>
      <c r="D11" s="12" t="s">
        <v>16</v>
      </c>
      <c r="E11" s="13">
        <f>SUM(E12:E31)</f>
        <v>32365547</v>
      </c>
      <c r="F11" s="13">
        <f>SUM(F12:F31)</f>
        <v>33136637.559999999</v>
      </c>
      <c r="G11" s="13">
        <f>SUM(G12:G31)</f>
        <v>15793010.509999998</v>
      </c>
      <c r="H11" s="14">
        <f t="shared" si="0"/>
        <v>47.660268732468211</v>
      </c>
      <c r="I11" s="13">
        <f>SUM(I12:I31)</f>
        <v>13732952</v>
      </c>
      <c r="J11" s="13">
        <f>SUM(J12:J31)</f>
        <v>4406057</v>
      </c>
      <c r="K11" s="13">
        <f>SUM(K12:K31)</f>
        <v>4452664.4399999995</v>
      </c>
      <c r="L11" s="13">
        <f>SUM(L12:L31)</f>
        <v>1883680.7299999997</v>
      </c>
      <c r="M11" s="14">
        <f t="shared" si="2"/>
        <v>42.304574157400459</v>
      </c>
      <c r="N11" s="13">
        <f>SUM(N12:N31)</f>
        <v>2383573</v>
      </c>
      <c r="O11" s="13">
        <f>SUM(O12:O31)</f>
        <v>27959490</v>
      </c>
      <c r="P11" s="13">
        <f>SUM(P12:P31)</f>
        <v>28683973.120000001</v>
      </c>
      <c r="Q11" s="13">
        <f>SUM(Q12:Q31)</f>
        <v>13909329.780000001</v>
      </c>
      <c r="R11" s="14">
        <f t="shared" si="3"/>
        <v>48.49164277839067</v>
      </c>
      <c r="S11" s="13">
        <f>SUM(S12:S31)</f>
        <v>11349379</v>
      </c>
      <c r="T11" s="13">
        <f>SUM(T12:T31)</f>
        <v>74947</v>
      </c>
      <c r="U11" s="13">
        <f>SUM(U12:U31)</f>
        <v>78594</v>
      </c>
      <c r="V11" s="13">
        <f>SUM(V12:V31)</f>
        <v>55522</v>
      </c>
      <c r="W11" s="14">
        <f t="shared" si="4"/>
        <v>70.644069521846447</v>
      </c>
      <c r="X11" s="13">
        <f>SUM(X12:X31)</f>
        <v>35998</v>
      </c>
    </row>
    <row r="12" spans="1:24" s="7" customFormat="1" ht="9.75" x14ac:dyDescent="0.2">
      <c r="A12" s="15" t="s">
        <v>27</v>
      </c>
      <c r="B12" s="750" t="s">
        <v>28</v>
      </c>
      <c r="C12" s="750"/>
      <c r="D12" s="16" t="s">
        <v>16</v>
      </c>
      <c r="E12" s="17">
        <f t="shared" ref="E12:I29" si="6">SUM(J12,O12)</f>
        <v>792000</v>
      </c>
      <c r="F12" s="17">
        <f t="shared" si="6"/>
        <v>827753.31</v>
      </c>
      <c r="G12" s="17">
        <f t="shared" si="6"/>
        <v>358279.81</v>
      </c>
      <c r="H12" s="18">
        <f t="shared" si="0"/>
        <v>43.283404085693114</v>
      </c>
      <c r="I12" s="17">
        <f t="shared" si="6"/>
        <v>339381</v>
      </c>
      <c r="J12" s="44">
        <v>542000</v>
      </c>
      <c r="K12" s="25">
        <f>J12+38000-13000</f>
        <v>567000</v>
      </c>
      <c r="L12" s="25">
        <f>358752.81-V12-Q12</f>
        <v>239528.5</v>
      </c>
      <c r="M12" s="18">
        <f t="shared" si="2"/>
        <v>42.244885361552029</v>
      </c>
      <c r="N12" s="26">
        <v>219519</v>
      </c>
      <c r="O12" s="25">
        <v>250000</v>
      </c>
      <c r="P12" s="25">
        <f>O12+10753.31</f>
        <v>260753.31</v>
      </c>
      <c r="Q12" s="19">
        <f>107998+10753.31</f>
        <v>118751.31</v>
      </c>
      <c r="R12" s="18">
        <f t="shared" si="3"/>
        <v>45.541630900102476</v>
      </c>
      <c r="S12" s="25">
        <v>119862</v>
      </c>
      <c r="T12" s="25">
        <v>947</v>
      </c>
      <c r="U12" s="25">
        <v>947</v>
      </c>
      <c r="V12" s="25">
        <v>473</v>
      </c>
      <c r="W12" s="18">
        <f t="shared" si="4"/>
        <v>49.947201689545935</v>
      </c>
      <c r="X12" s="17"/>
    </row>
    <row r="13" spans="1:24" s="7" customFormat="1" ht="9.75" x14ac:dyDescent="0.2">
      <c r="A13" s="15" t="s">
        <v>29</v>
      </c>
      <c r="B13" s="750" t="s">
        <v>30</v>
      </c>
      <c r="C13" s="750"/>
      <c r="D13" s="16" t="s">
        <v>16</v>
      </c>
      <c r="E13" s="17">
        <f t="shared" si="6"/>
        <v>1490000</v>
      </c>
      <c r="F13" s="17">
        <f t="shared" si="6"/>
        <v>1490000</v>
      </c>
      <c r="G13" s="17">
        <f t="shared" si="6"/>
        <v>699952</v>
      </c>
      <c r="H13" s="18">
        <f t="shared" si="0"/>
        <v>46.976644295302009</v>
      </c>
      <c r="I13" s="17">
        <f t="shared" si="6"/>
        <v>756948</v>
      </c>
      <c r="J13" s="44">
        <v>1490000</v>
      </c>
      <c r="K13" s="17">
        <f>J13</f>
        <v>1490000</v>
      </c>
      <c r="L13" s="17">
        <f>705297-Q13-V13</f>
        <v>699952</v>
      </c>
      <c r="M13" s="18">
        <f t="shared" si="2"/>
        <v>46.976644295302009</v>
      </c>
      <c r="N13" s="17">
        <v>756948</v>
      </c>
      <c r="O13" s="17"/>
      <c r="P13" s="17"/>
      <c r="Q13" s="17"/>
      <c r="R13" s="18"/>
      <c r="S13" s="17"/>
      <c r="T13" s="17">
        <v>11255</v>
      </c>
      <c r="U13" s="17">
        <v>11255</v>
      </c>
      <c r="V13" s="17">
        <v>5345</v>
      </c>
      <c r="W13" s="18">
        <f t="shared" si="4"/>
        <v>47.49000444247001</v>
      </c>
      <c r="X13" s="17"/>
    </row>
    <row r="14" spans="1:24" s="7" customFormat="1" ht="9.75" x14ac:dyDescent="0.2">
      <c r="A14" s="15" t="s">
        <v>31</v>
      </c>
      <c r="B14" s="21" t="s">
        <v>32</v>
      </c>
      <c r="C14" s="21"/>
      <c r="D14" s="16" t="s">
        <v>16</v>
      </c>
      <c r="E14" s="17"/>
      <c r="F14" s="17">
        <f t="shared" si="6"/>
        <v>1200</v>
      </c>
      <c r="G14" s="17">
        <f t="shared" si="6"/>
        <v>1200</v>
      </c>
      <c r="H14" s="18">
        <f t="shared" si="0"/>
        <v>100</v>
      </c>
      <c r="I14" s="17"/>
      <c r="J14" s="44"/>
      <c r="K14" s="17">
        <v>1200</v>
      </c>
      <c r="L14" s="17">
        <v>1200</v>
      </c>
      <c r="M14" s="18">
        <f t="shared" si="2"/>
        <v>100</v>
      </c>
      <c r="N14" s="17"/>
      <c r="O14" s="17"/>
      <c r="P14" s="17"/>
      <c r="Q14" s="17"/>
      <c r="R14" s="18"/>
      <c r="S14" s="17"/>
      <c r="T14" s="17"/>
      <c r="U14" s="17"/>
      <c r="V14" s="17"/>
      <c r="W14" s="18"/>
      <c r="X14" s="17"/>
    </row>
    <row r="15" spans="1:24" s="7" customFormat="1" ht="9.75" x14ac:dyDescent="0.2">
      <c r="A15" s="15" t="s">
        <v>33</v>
      </c>
      <c r="B15" s="750" t="s">
        <v>34</v>
      </c>
      <c r="C15" s="750"/>
      <c r="D15" s="16" t="s">
        <v>16</v>
      </c>
      <c r="E15" s="17">
        <f t="shared" si="6"/>
        <v>668000</v>
      </c>
      <c r="F15" s="17">
        <f t="shared" si="6"/>
        <v>668000</v>
      </c>
      <c r="G15" s="17">
        <f t="shared" si="6"/>
        <v>105713.5</v>
      </c>
      <c r="H15" s="18">
        <f t="shared" si="0"/>
        <v>15.825374251497006</v>
      </c>
      <c r="I15" s="17">
        <f t="shared" si="6"/>
        <v>599416</v>
      </c>
      <c r="J15" s="44">
        <v>668000</v>
      </c>
      <c r="K15" s="17">
        <f>J15</f>
        <v>668000</v>
      </c>
      <c r="L15" s="17">
        <v>105713.5</v>
      </c>
      <c r="M15" s="18">
        <f t="shared" si="2"/>
        <v>15.825374251497006</v>
      </c>
      <c r="N15" s="17">
        <v>599416</v>
      </c>
      <c r="O15" s="17"/>
      <c r="P15" s="17"/>
      <c r="Q15" s="17"/>
      <c r="R15" s="18"/>
      <c r="S15" s="17"/>
      <c r="T15" s="17">
        <v>11728</v>
      </c>
      <c r="U15" s="17">
        <v>11728</v>
      </c>
      <c r="V15" s="17"/>
      <c r="W15" s="18"/>
      <c r="X15" s="17"/>
    </row>
    <row r="16" spans="1:24" s="7" customFormat="1" ht="9.75" x14ac:dyDescent="0.2">
      <c r="A16" s="15" t="s">
        <v>35</v>
      </c>
      <c r="B16" s="750" t="s">
        <v>36</v>
      </c>
      <c r="C16" s="750"/>
      <c r="D16" s="16" t="s">
        <v>16</v>
      </c>
      <c r="E16" s="17">
        <f t="shared" si="6"/>
        <v>53000</v>
      </c>
      <c r="F16" s="17">
        <f t="shared" si="6"/>
        <v>53832</v>
      </c>
      <c r="G16" s="17">
        <f t="shared" si="6"/>
        <v>31927</v>
      </c>
      <c r="H16" s="18">
        <f t="shared" si="0"/>
        <v>59.308589686431866</v>
      </c>
      <c r="I16" s="17">
        <f t="shared" si="6"/>
        <v>40705</v>
      </c>
      <c r="J16" s="44">
        <v>3000</v>
      </c>
      <c r="K16" s="17">
        <f t="shared" ref="K16:K17" si="7">J16</f>
        <v>3000</v>
      </c>
      <c r="L16" s="17">
        <v>774</v>
      </c>
      <c r="M16" s="18">
        <f t="shared" si="2"/>
        <v>25.8</v>
      </c>
      <c r="N16" s="17">
        <v>3711</v>
      </c>
      <c r="O16" s="17">
        <v>50000</v>
      </c>
      <c r="P16" s="17">
        <f>O16+832</f>
        <v>50832</v>
      </c>
      <c r="Q16" s="17">
        <f>30321+832</f>
        <v>31153</v>
      </c>
      <c r="R16" s="18">
        <f t="shared" si="3"/>
        <v>61.286197670758582</v>
      </c>
      <c r="S16" s="17">
        <v>36994</v>
      </c>
      <c r="T16" s="17"/>
      <c r="U16" s="17"/>
      <c r="V16" s="17"/>
      <c r="W16" s="18"/>
      <c r="X16" s="17"/>
    </row>
    <row r="17" spans="1:24" s="7" customFormat="1" ht="9.75" x14ac:dyDescent="0.2">
      <c r="A17" s="15" t="s">
        <v>37</v>
      </c>
      <c r="B17" s="21" t="s">
        <v>38</v>
      </c>
      <c r="C17" s="21"/>
      <c r="D17" s="16" t="s">
        <v>16</v>
      </c>
      <c r="E17" s="17">
        <f t="shared" si="6"/>
        <v>5000</v>
      </c>
      <c r="F17" s="17">
        <f t="shared" si="6"/>
        <v>5000</v>
      </c>
      <c r="G17" s="17">
        <f t="shared" si="6"/>
        <v>934</v>
      </c>
      <c r="H17" s="18">
        <f t="shared" si="0"/>
        <v>18.68</v>
      </c>
      <c r="I17" s="17">
        <f t="shared" si="6"/>
        <v>1725</v>
      </c>
      <c r="J17" s="44">
        <v>5000</v>
      </c>
      <c r="K17" s="17">
        <f t="shared" si="7"/>
        <v>5000</v>
      </c>
      <c r="L17" s="17">
        <v>934</v>
      </c>
      <c r="M17" s="18">
        <f t="shared" si="2"/>
        <v>18.68</v>
      </c>
      <c r="N17" s="17">
        <v>1725</v>
      </c>
      <c r="O17" s="17"/>
      <c r="P17" s="17"/>
      <c r="Q17" s="17"/>
      <c r="R17" s="18"/>
      <c r="S17" s="17">
        <v>0</v>
      </c>
      <c r="T17" s="17">
        <v>1050</v>
      </c>
      <c r="U17" s="17">
        <v>1050</v>
      </c>
      <c r="V17" s="17"/>
      <c r="W17" s="18"/>
      <c r="X17" s="17"/>
    </row>
    <row r="18" spans="1:24" s="7" customFormat="1" ht="9.75" x14ac:dyDescent="0.2">
      <c r="A18" s="15" t="s">
        <v>39</v>
      </c>
      <c r="B18" s="750" t="s">
        <v>40</v>
      </c>
      <c r="C18" s="750"/>
      <c r="D18" s="16" t="s">
        <v>16</v>
      </c>
      <c r="E18" s="17">
        <f t="shared" si="6"/>
        <v>754811</v>
      </c>
      <c r="F18" s="17">
        <f t="shared" si="6"/>
        <v>965080.25</v>
      </c>
      <c r="G18" s="17">
        <f t="shared" si="6"/>
        <v>504808.80000000005</v>
      </c>
      <c r="H18" s="18">
        <f t="shared" si="0"/>
        <v>52.307442826645769</v>
      </c>
      <c r="I18" s="17">
        <f t="shared" si="6"/>
        <v>273655</v>
      </c>
      <c r="J18" s="44">
        <v>636921</v>
      </c>
      <c r="K18" s="17">
        <f>J18+18968.44</f>
        <v>655889.43999999994</v>
      </c>
      <c r="L18" s="17">
        <f>540429.8-Q18-V18+9000+1579</f>
        <v>275787.80000000005</v>
      </c>
      <c r="M18" s="18">
        <f t="shared" si="2"/>
        <v>42.047909781868128</v>
      </c>
      <c r="N18" s="17">
        <v>253105</v>
      </c>
      <c r="O18" s="17">
        <v>117890</v>
      </c>
      <c r="P18" s="17">
        <f>O18+182336+10500-1535.19</f>
        <v>309190.81</v>
      </c>
      <c r="Q18" s="17">
        <f>36185+182336+10500</f>
        <v>229021</v>
      </c>
      <c r="R18" s="18">
        <f t="shared" si="3"/>
        <v>74.071088982237214</v>
      </c>
      <c r="S18" s="17">
        <v>20550</v>
      </c>
      <c r="T18" s="17">
        <v>406</v>
      </c>
      <c r="U18" s="17">
        <f>406+46200</f>
        <v>46606</v>
      </c>
      <c r="V18" s="17">
        <v>46200</v>
      </c>
      <c r="W18" s="18"/>
      <c r="X18" s="17">
        <v>35998</v>
      </c>
    </row>
    <row r="19" spans="1:24" s="28" customFormat="1" ht="9.75" x14ac:dyDescent="0.2">
      <c r="A19" s="15" t="s">
        <v>41</v>
      </c>
      <c r="B19" s="750" t="s">
        <v>42</v>
      </c>
      <c r="C19" s="750"/>
      <c r="D19" s="16" t="s">
        <v>16</v>
      </c>
      <c r="E19" s="17">
        <f t="shared" si="6"/>
        <v>20433148</v>
      </c>
      <c r="F19" s="17">
        <f t="shared" si="6"/>
        <v>20871492</v>
      </c>
      <c r="G19" s="17">
        <f t="shared" si="6"/>
        <v>10109485</v>
      </c>
      <c r="H19" s="18">
        <f t="shared" si="0"/>
        <v>48.436810363149888</v>
      </c>
      <c r="I19" s="17">
        <f t="shared" si="6"/>
        <v>8339423</v>
      </c>
      <c r="J19" s="45">
        <v>255348</v>
      </c>
      <c r="K19" s="17">
        <f>J19</f>
        <v>255348</v>
      </c>
      <c r="L19" s="17">
        <f>10109485-Q19</f>
        <v>130682</v>
      </c>
      <c r="M19" s="18">
        <f t="shared" si="2"/>
        <v>51.178000219308551</v>
      </c>
      <c r="N19" s="17">
        <v>191028</v>
      </c>
      <c r="O19" s="17">
        <f>20165800+12000</f>
        <v>20177800</v>
      </c>
      <c r="P19" s="17">
        <f>O19+56474+381870</f>
        <v>20616144</v>
      </c>
      <c r="Q19" s="17">
        <f>9501773+40222+381870+56474-1536</f>
        <v>9978803</v>
      </c>
      <c r="R19" s="18">
        <f t="shared" si="3"/>
        <v>48.402858458885426</v>
      </c>
      <c r="S19" s="17">
        <v>8148395</v>
      </c>
      <c r="T19" s="27">
        <v>31193</v>
      </c>
      <c r="U19" s="27"/>
      <c r="V19" s="17"/>
      <c r="W19" s="18"/>
      <c r="X19" s="17"/>
    </row>
    <row r="20" spans="1:24" s="7" customFormat="1" ht="9.75" x14ac:dyDescent="0.2">
      <c r="A20" s="15" t="s">
        <v>43</v>
      </c>
      <c r="B20" s="750" t="s">
        <v>44</v>
      </c>
      <c r="C20" s="750"/>
      <c r="D20" s="16" t="s">
        <v>16</v>
      </c>
      <c r="E20" s="17">
        <f t="shared" si="6"/>
        <v>6975018</v>
      </c>
      <c r="F20" s="17">
        <f t="shared" si="6"/>
        <v>7032803.7199999997</v>
      </c>
      <c r="G20" s="17">
        <f t="shared" si="6"/>
        <v>3353616.54</v>
      </c>
      <c r="H20" s="18">
        <f t="shared" si="0"/>
        <v>47.685342482443119</v>
      </c>
      <c r="I20" s="17">
        <f t="shared" si="6"/>
        <v>2823849</v>
      </c>
      <c r="J20" s="44">
        <f>63746+788</f>
        <v>64534</v>
      </c>
      <c r="K20" s="17">
        <f t="shared" ref="K20:K26" si="8">J20</f>
        <v>64534</v>
      </c>
      <c r="L20" s="17">
        <f>3312695+40921.54-Q20</f>
        <v>27719.369999999646</v>
      </c>
      <c r="M20" s="18">
        <f t="shared" si="2"/>
        <v>42.953125484240317</v>
      </c>
      <c r="N20" s="17">
        <v>29435</v>
      </c>
      <c r="O20" s="17">
        <f>7263800-403316+50000</f>
        <v>6910484</v>
      </c>
      <c r="P20" s="17">
        <f>O20+18453.5+38852.25+479.97</f>
        <v>6968269.7199999997</v>
      </c>
      <c r="Q20" s="17">
        <f>3214832+13262+38852.25+479.97+76+39941.45+18453.5</f>
        <v>3325897.1700000004</v>
      </c>
      <c r="R20" s="18">
        <f t="shared" si="3"/>
        <v>47.72916812410643</v>
      </c>
      <c r="S20" s="17">
        <v>2794414</v>
      </c>
      <c r="T20" s="17">
        <f>10605+131</f>
        <v>10736</v>
      </c>
      <c r="U20" s="17"/>
      <c r="V20" s="17"/>
      <c r="W20" s="18"/>
      <c r="X20" s="17"/>
    </row>
    <row r="21" spans="1:24" s="7" customFormat="1" ht="9.75" x14ac:dyDescent="0.2">
      <c r="A21" s="15" t="s">
        <v>45</v>
      </c>
      <c r="B21" s="750" t="s">
        <v>46</v>
      </c>
      <c r="C21" s="750"/>
      <c r="D21" s="16" t="s">
        <v>16</v>
      </c>
      <c r="E21" s="17">
        <f t="shared" si="6"/>
        <v>407066</v>
      </c>
      <c r="F21" s="17">
        <f t="shared" si="6"/>
        <v>409383.28</v>
      </c>
      <c r="G21" s="17">
        <f t="shared" si="6"/>
        <v>197617.86</v>
      </c>
      <c r="H21" s="18">
        <f t="shared" si="0"/>
        <v>48.272088689113041</v>
      </c>
      <c r="I21" s="17">
        <f t="shared" si="6"/>
        <v>170933</v>
      </c>
      <c r="J21" s="44">
        <v>3750</v>
      </c>
      <c r="K21" s="17">
        <f t="shared" si="8"/>
        <v>3750</v>
      </c>
      <c r="L21" s="17">
        <f>197617.86-Q21</f>
        <v>2413.5599999999977</v>
      </c>
      <c r="M21" s="18">
        <f t="shared" si="2"/>
        <v>64.361599999999939</v>
      </c>
      <c r="N21" s="17">
        <v>1133</v>
      </c>
      <c r="O21" s="17">
        <v>403316</v>
      </c>
      <c r="P21" s="17">
        <f>O21+2317.28</f>
        <v>405633.28000000003</v>
      </c>
      <c r="Q21" s="17">
        <f>192082.58+804.44+2317.28</f>
        <v>195204.3</v>
      </c>
      <c r="R21" s="18">
        <f t="shared" si="3"/>
        <v>48.123344317310448</v>
      </c>
      <c r="S21" s="17">
        <v>169800</v>
      </c>
      <c r="T21" s="17">
        <v>624</v>
      </c>
      <c r="U21" s="17"/>
      <c r="V21" s="17"/>
      <c r="W21" s="18"/>
      <c r="X21" s="17"/>
    </row>
    <row r="22" spans="1:24" s="7" customFormat="1" ht="9.75" x14ac:dyDescent="0.2">
      <c r="A22" s="15" t="s">
        <v>47</v>
      </c>
      <c r="B22" s="750" t="s">
        <v>48</v>
      </c>
      <c r="C22" s="750"/>
      <c r="D22" s="16" t="s">
        <v>16</v>
      </c>
      <c r="E22" s="17"/>
      <c r="F22" s="17"/>
      <c r="G22" s="17"/>
      <c r="H22" s="18"/>
      <c r="I22" s="17"/>
      <c r="J22" s="44"/>
      <c r="K22" s="17"/>
      <c r="L22" s="17"/>
      <c r="M22" s="18"/>
      <c r="N22" s="17"/>
      <c r="O22" s="17"/>
      <c r="P22" s="17"/>
      <c r="Q22" s="17"/>
      <c r="R22" s="18"/>
      <c r="S22" s="17"/>
      <c r="T22" s="17"/>
      <c r="U22" s="17"/>
      <c r="V22" s="17"/>
      <c r="W22" s="18"/>
      <c r="X22" s="17"/>
    </row>
    <row r="23" spans="1:24" s="7" customFormat="1" ht="9.75" x14ac:dyDescent="0.2">
      <c r="A23" s="15" t="s">
        <v>49</v>
      </c>
      <c r="B23" s="21" t="s">
        <v>50</v>
      </c>
      <c r="C23" s="21"/>
      <c r="D23" s="16" t="s">
        <v>16</v>
      </c>
      <c r="E23" s="17"/>
      <c r="F23" s="17"/>
      <c r="G23" s="17"/>
      <c r="H23" s="18"/>
      <c r="I23" s="17"/>
      <c r="J23" s="44"/>
      <c r="K23" s="17"/>
      <c r="L23" s="17"/>
      <c r="M23" s="18"/>
      <c r="N23" s="17"/>
      <c r="O23" s="17"/>
      <c r="P23" s="17"/>
      <c r="Q23" s="17"/>
      <c r="R23" s="18"/>
      <c r="S23" s="17"/>
      <c r="T23" s="17"/>
      <c r="U23" s="17"/>
      <c r="V23" s="17"/>
      <c r="W23" s="18"/>
      <c r="X23" s="17"/>
    </row>
    <row r="24" spans="1:24" s="7" customFormat="1" ht="9.75" x14ac:dyDescent="0.2">
      <c r="A24" s="15" t="s">
        <v>51</v>
      </c>
      <c r="B24" s="21" t="s">
        <v>52</v>
      </c>
      <c r="C24" s="21"/>
      <c r="D24" s="16" t="s">
        <v>16</v>
      </c>
      <c r="E24" s="17"/>
      <c r="F24" s="17"/>
      <c r="G24" s="17"/>
      <c r="H24" s="18"/>
      <c r="I24" s="17"/>
      <c r="J24" s="44"/>
      <c r="K24" s="17"/>
      <c r="L24" s="17"/>
      <c r="M24" s="18"/>
      <c r="N24" s="17"/>
      <c r="O24" s="17"/>
      <c r="P24" s="17"/>
      <c r="Q24" s="17"/>
      <c r="R24" s="18"/>
      <c r="S24" s="17"/>
      <c r="T24" s="17"/>
      <c r="U24" s="17"/>
      <c r="V24" s="17"/>
      <c r="W24" s="18"/>
      <c r="X24" s="17"/>
    </row>
    <row r="25" spans="1:24" s="7" customFormat="1" ht="9.75" x14ac:dyDescent="0.2">
      <c r="A25" s="15" t="s">
        <v>53</v>
      </c>
      <c r="B25" s="21" t="s">
        <v>54</v>
      </c>
      <c r="C25" s="21"/>
      <c r="D25" s="16" t="s">
        <v>16</v>
      </c>
      <c r="E25" s="17"/>
      <c r="F25" s="17"/>
      <c r="G25" s="17"/>
      <c r="H25" s="18"/>
      <c r="I25" s="17"/>
      <c r="J25" s="44"/>
      <c r="K25" s="17"/>
      <c r="L25" s="25"/>
      <c r="M25" s="18"/>
      <c r="N25" s="17"/>
      <c r="O25" s="25"/>
      <c r="P25" s="25"/>
      <c r="Q25" s="25"/>
      <c r="R25" s="18"/>
      <c r="S25" s="17"/>
      <c r="T25" s="25"/>
      <c r="U25" s="25"/>
      <c r="V25" s="17"/>
      <c r="W25" s="18"/>
      <c r="X25" s="17"/>
    </row>
    <row r="26" spans="1:24" s="30" customFormat="1" ht="9.75" x14ac:dyDescent="0.2">
      <c r="A26" s="15" t="s">
        <v>55</v>
      </c>
      <c r="B26" s="750" t="s">
        <v>56</v>
      </c>
      <c r="C26" s="750"/>
      <c r="D26" s="16" t="s">
        <v>16</v>
      </c>
      <c r="E26" s="17">
        <f t="shared" si="6"/>
        <v>577282</v>
      </c>
      <c r="F26" s="17">
        <f t="shared" si="6"/>
        <v>577282</v>
      </c>
      <c r="G26" s="17">
        <f t="shared" si="6"/>
        <v>288642</v>
      </c>
      <c r="H26" s="18">
        <f>G26/F26*100</f>
        <v>50.000173225563941</v>
      </c>
      <c r="I26" s="17">
        <f>SUM(N26,S26)</f>
        <v>262704</v>
      </c>
      <c r="J26" s="44">
        <v>577282</v>
      </c>
      <c r="K26" s="17">
        <f t="shared" si="8"/>
        <v>577282</v>
      </c>
      <c r="L26" s="26">
        <f>292146-V26</f>
        <v>288642</v>
      </c>
      <c r="M26" s="18">
        <f>L26/K26*100</f>
        <v>50.000173225563941</v>
      </c>
      <c r="N26" s="26">
        <v>262704</v>
      </c>
      <c r="O26" s="26"/>
      <c r="P26" s="26"/>
      <c r="Q26" s="26"/>
      <c r="R26" s="18"/>
      <c r="S26" s="17"/>
      <c r="T26" s="17">
        <v>7008</v>
      </c>
      <c r="U26" s="17">
        <v>7008</v>
      </c>
      <c r="V26" s="17">
        <v>3504</v>
      </c>
      <c r="W26" s="18"/>
      <c r="X26" s="17"/>
    </row>
    <row r="27" spans="1:24" s="30" customFormat="1" ht="9.75" x14ac:dyDescent="0.2">
      <c r="A27" s="15" t="s">
        <v>57</v>
      </c>
      <c r="B27" s="21" t="s">
        <v>58</v>
      </c>
      <c r="C27" s="21"/>
      <c r="D27" s="16" t="s">
        <v>16</v>
      </c>
      <c r="E27" s="17"/>
      <c r="F27" s="17"/>
      <c r="G27" s="17"/>
      <c r="H27" s="18"/>
      <c r="I27" s="17"/>
      <c r="J27" s="44"/>
      <c r="K27" s="17"/>
      <c r="L27" s="26"/>
      <c r="M27" s="18"/>
      <c r="N27" s="17"/>
      <c r="O27" s="26"/>
      <c r="P27" s="26"/>
      <c r="Q27" s="26"/>
      <c r="R27" s="18"/>
      <c r="S27" s="17"/>
      <c r="T27" s="17"/>
      <c r="U27" s="17"/>
      <c r="V27" s="17"/>
      <c r="W27" s="18"/>
      <c r="X27" s="17"/>
    </row>
    <row r="28" spans="1:24" s="30" customFormat="1" ht="9.75" x14ac:dyDescent="0.2">
      <c r="A28" s="15" t="s">
        <v>59</v>
      </c>
      <c r="B28" s="21" t="s">
        <v>60</v>
      </c>
      <c r="C28" s="21"/>
      <c r="D28" s="16" t="s">
        <v>16</v>
      </c>
      <c r="E28" s="17">
        <f>SUM(J28,O28)</f>
        <v>210000</v>
      </c>
      <c r="F28" s="17">
        <f>SUM(K28,P28)</f>
        <v>193350</v>
      </c>
      <c r="G28" s="17">
        <f>SUM(L28,Q28)</f>
        <v>99373</v>
      </c>
      <c r="H28" s="18">
        <f>G28/F28*100</f>
        <v>51.395396948538917</v>
      </c>
      <c r="I28" s="17">
        <f>SUM(N28,S28)</f>
        <v>121449</v>
      </c>
      <c r="J28" s="44">
        <v>160000</v>
      </c>
      <c r="K28" s="17">
        <f>J28-39800</f>
        <v>120200</v>
      </c>
      <c r="L28" s="26">
        <f>99373-Q28</f>
        <v>68873</v>
      </c>
      <c r="M28" s="18">
        <f>L28/K28*100</f>
        <v>57.298668885191347</v>
      </c>
      <c r="N28" s="17">
        <v>62085</v>
      </c>
      <c r="O28" s="26">
        <v>50000</v>
      </c>
      <c r="P28" s="26">
        <f>O28+23150</f>
        <v>73150</v>
      </c>
      <c r="Q28" s="26">
        <f>7350+23150</f>
        <v>30500</v>
      </c>
      <c r="R28" s="18">
        <f>Q28/P28*100</f>
        <v>41.695146958304854</v>
      </c>
      <c r="S28" s="26">
        <v>59364</v>
      </c>
      <c r="T28" s="17"/>
      <c r="U28" s="17"/>
      <c r="V28" s="17"/>
      <c r="W28" s="18"/>
      <c r="X28" s="17"/>
    </row>
    <row r="29" spans="1:24" s="31" customFormat="1" ht="9.75" x14ac:dyDescent="0.2">
      <c r="A29" s="15" t="s">
        <v>61</v>
      </c>
      <c r="B29" s="21" t="s">
        <v>62</v>
      </c>
      <c r="C29" s="21"/>
      <c r="D29" s="16" t="s">
        <v>16</v>
      </c>
      <c r="E29" s="17">
        <f t="shared" si="6"/>
        <v>222</v>
      </c>
      <c r="F29" s="17">
        <f t="shared" si="6"/>
        <v>41461</v>
      </c>
      <c r="G29" s="17">
        <f t="shared" si="6"/>
        <v>41461</v>
      </c>
      <c r="H29" s="18">
        <f t="shared" si="0"/>
        <v>100</v>
      </c>
      <c r="I29" s="17">
        <f t="shared" si="6"/>
        <v>2764</v>
      </c>
      <c r="J29" s="44">
        <v>222</v>
      </c>
      <c r="K29" s="26">
        <f>J29+41239</f>
        <v>41461</v>
      </c>
      <c r="L29" s="26">
        <v>41461</v>
      </c>
      <c r="M29" s="18">
        <f t="shared" si="2"/>
        <v>100</v>
      </c>
      <c r="N29" s="26">
        <v>2764</v>
      </c>
      <c r="O29" s="26"/>
      <c r="P29" s="26"/>
      <c r="Q29" s="26"/>
      <c r="R29" s="18"/>
      <c r="S29" s="17"/>
      <c r="T29" s="17"/>
      <c r="U29" s="17"/>
      <c r="V29" s="17"/>
      <c r="W29" s="18"/>
      <c r="X29" s="17"/>
    </row>
    <row r="30" spans="1:24" s="7" customFormat="1" ht="9.75" x14ac:dyDescent="0.2">
      <c r="A30" s="15" t="s">
        <v>63</v>
      </c>
      <c r="B30" s="21" t="s">
        <v>64</v>
      </c>
      <c r="C30" s="21"/>
      <c r="D30" s="16" t="s">
        <v>16</v>
      </c>
      <c r="E30" s="17"/>
      <c r="F30" s="17"/>
      <c r="G30" s="17"/>
      <c r="H30" s="18"/>
      <c r="I30" s="17"/>
      <c r="J30" s="44"/>
      <c r="K30" s="26"/>
      <c r="L30" s="26"/>
      <c r="M30" s="18"/>
      <c r="N30" s="17"/>
      <c r="O30" s="26"/>
      <c r="P30" s="26"/>
      <c r="Q30" s="26"/>
      <c r="R30" s="18"/>
      <c r="S30" s="17"/>
      <c r="T30" s="17"/>
      <c r="U30" s="17"/>
      <c r="V30" s="17"/>
      <c r="W30" s="18"/>
      <c r="X30" s="17"/>
    </row>
    <row r="31" spans="1:24" s="34" customFormat="1" ht="9.75" x14ac:dyDescent="0.2">
      <c r="A31" s="15" t="s">
        <v>65</v>
      </c>
      <c r="B31" s="21" t="s">
        <v>66</v>
      </c>
      <c r="C31" s="21"/>
      <c r="D31" s="16" t="s">
        <v>16</v>
      </c>
      <c r="E31" s="17"/>
      <c r="F31" s="17"/>
      <c r="G31" s="17"/>
      <c r="H31" s="18"/>
      <c r="I31" s="17"/>
      <c r="J31" s="44"/>
      <c r="K31" s="26"/>
      <c r="L31" s="32"/>
      <c r="M31" s="18"/>
      <c r="N31" s="17"/>
      <c r="O31" s="32"/>
      <c r="P31" s="32"/>
      <c r="Q31" s="32"/>
      <c r="R31" s="18"/>
      <c r="S31" s="17"/>
      <c r="T31" s="33"/>
      <c r="U31" s="33"/>
      <c r="V31" s="17"/>
      <c r="W31" s="18"/>
      <c r="X31" s="17"/>
    </row>
    <row r="32" spans="1:24" s="34" customFormat="1" ht="9.75" x14ac:dyDescent="0.2">
      <c r="A32" s="15" t="s">
        <v>67</v>
      </c>
      <c r="B32" s="21" t="s">
        <v>68</v>
      </c>
      <c r="C32" s="21"/>
      <c r="D32" s="16" t="s">
        <v>16</v>
      </c>
      <c r="E32" s="17"/>
      <c r="F32" s="17"/>
      <c r="G32" s="17"/>
      <c r="H32" s="18"/>
      <c r="I32" s="17"/>
      <c r="J32" s="47"/>
      <c r="K32" s="26"/>
      <c r="L32" s="33"/>
      <c r="M32" s="18"/>
      <c r="N32" s="17"/>
      <c r="O32" s="33"/>
      <c r="P32" s="33"/>
      <c r="Q32" s="33"/>
      <c r="R32" s="18"/>
      <c r="S32" s="17"/>
      <c r="T32" s="33"/>
      <c r="U32" s="33"/>
      <c r="V32" s="17"/>
      <c r="W32" s="18"/>
      <c r="X32" s="17"/>
    </row>
    <row r="33" spans="1:24" s="34" customFormat="1" ht="9.75" x14ac:dyDescent="0.2">
      <c r="A33" s="11" t="s">
        <v>69</v>
      </c>
      <c r="B33" s="35" t="s">
        <v>70</v>
      </c>
      <c r="C33" s="35"/>
      <c r="D33" s="12" t="s">
        <v>16</v>
      </c>
      <c r="E33" s="13">
        <f>E6-E11</f>
        <v>0</v>
      </c>
      <c r="F33" s="13">
        <f>F6-F11</f>
        <v>-0.30999999865889549</v>
      </c>
      <c r="G33" s="13">
        <f>G6-G11</f>
        <v>279580.21000000089</v>
      </c>
      <c r="H33" s="14">
        <v>0</v>
      </c>
      <c r="I33" s="13">
        <f>I6-I11</f>
        <v>328696</v>
      </c>
      <c r="J33" s="13">
        <f>J6-J11</f>
        <v>0</v>
      </c>
      <c r="K33" s="13">
        <f>K6-K11</f>
        <v>0</v>
      </c>
      <c r="L33" s="13">
        <f>L6-L11</f>
        <v>279579.7100000002</v>
      </c>
      <c r="M33" s="14">
        <v>0</v>
      </c>
      <c r="N33" s="13">
        <f>N6-N11</f>
        <v>328696</v>
      </c>
      <c r="O33" s="13">
        <f>O6-O11</f>
        <v>0</v>
      </c>
      <c r="P33" s="13">
        <f>P6-P11</f>
        <v>-0.31000000238418579</v>
      </c>
      <c r="Q33" s="13">
        <f>Q6-Q11</f>
        <v>0.49999999813735485</v>
      </c>
      <c r="R33" s="14"/>
      <c r="S33" s="13">
        <f>S6-S11</f>
        <v>0</v>
      </c>
      <c r="T33" s="13">
        <f>T6-T11</f>
        <v>65510</v>
      </c>
      <c r="U33" s="13">
        <f>U6-U11</f>
        <v>61863</v>
      </c>
      <c r="V33" s="13">
        <f>V6-V11</f>
        <v>39694</v>
      </c>
      <c r="W33" s="14">
        <f t="shared" si="4"/>
        <v>64.164363189628688</v>
      </c>
      <c r="X33" s="13">
        <f>X6-X11</f>
        <v>40853</v>
      </c>
    </row>
    <row r="34" spans="1:24" s="1" customFormat="1" ht="9.75" x14ac:dyDescent="0.2">
      <c r="A34" s="37" t="s">
        <v>71</v>
      </c>
      <c r="B34" s="749" t="s">
        <v>72</v>
      </c>
      <c r="C34" s="749"/>
      <c r="D34" s="38" t="s">
        <v>16</v>
      </c>
      <c r="E34" s="48">
        <f>E19/E35/12</f>
        <v>29873.023391812865</v>
      </c>
      <c r="F34" s="48">
        <f>F19/F35/12</f>
        <v>30513.877192982458</v>
      </c>
      <c r="G34" s="48">
        <f>G19/G35/6</f>
        <v>29606.644995021383</v>
      </c>
      <c r="H34" s="29">
        <f t="shared" si="0"/>
        <v>97.026820969936523</v>
      </c>
      <c r="I34" s="48">
        <v>24731</v>
      </c>
      <c r="J34" s="143">
        <v>13020</v>
      </c>
      <c r="K34" s="39">
        <f>K19/12/K35</f>
        <v>10639.5</v>
      </c>
      <c r="L34" s="39">
        <f>L19/6/L35</f>
        <v>10890.166666666666</v>
      </c>
      <c r="M34" s="14">
        <f t="shared" si="2"/>
        <v>102.3560004386171</v>
      </c>
      <c r="N34" s="39">
        <v>13266</v>
      </c>
      <c r="O34" s="39">
        <f>O19/12/O35</f>
        <v>28057.455920796485</v>
      </c>
      <c r="P34" s="39">
        <f>P19/12/P35</f>
        <v>28666.978141164691</v>
      </c>
      <c r="Q34" s="39">
        <f>Q19/12/Q35</f>
        <v>13875.63685410757</v>
      </c>
      <c r="R34" s="14">
        <f t="shared" si="3"/>
        <v>48.402858458885426</v>
      </c>
      <c r="S34" s="39">
        <f>S19/6/S35</f>
        <v>25337.049129353232</v>
      </c>
      <c r="T34" s="39">
        <v>0</v>
      </c>
      <c r="U34" s="39">
        <v>0</v>
      </c>
      <c r="V34" s="39">
        <v>0</v>
      </c>
      <c r="W34" s="14">
        <v>0</v>
      </c>
      <c r="X34" s="39">
        <v>0</v>
      </c>
    </row>
    <row r="35" spans="1:24" s="1" customFormat="1" ht="9.75" x14ac:dyDescent="0.2">
      <c r="A35" s="40" t="s">
        <v>73</v>
      </c>
      <c r="B35" s="751" t="s">
        <v>74</v>
      </c>
      <c r="C35" s="751"/>
      <c r="D35" s="40" t="s">
        <v>75</v>
      </c>
      <c r="E35" s="48">
        <v>57</v>
      </c>
      <c r="F35" s="48">
        <v>57</v>
      </c>
      <c r="G35" s="48">
        <v>56.91</v>
      </c>
      <c r="H35" s="29">
        <f t="shared" si="0"/>
        <v>99.84210526315789</v>
      </c>
      <c r="I35" s="48">
        <v>56.2</v>
      </c>
      <c r="J35" s="143">
        <v>1.2</v>
      </c>
      <c r="K35" s="39">
        <v>2</v>
      </c>
      <c r="L35" s="39">
        <v>2</v>
      </c>
      <c r="M35" s="14">
        <f t="shared" si="2"/>
        <v>100</v>
      </c>
      <c r="N35" s="39">
        <v>2.4</v>
      </c>
      <c r="O35" s="39">
        <v>59.93</v>
      </c>
      <c r="P35" s="39">
        <v>59.93</v>
      </c>
      <c r="Q35" s="39">
        <v>59.93</v>
      </c>
      <c r="R35" s="14">
        <f t="shared" si="3"/>
        <v>100</v>
      </c>
      <c r="S35" s="39">
        <v>53.6</v>
      </c>
      <c r="T35" s="39">
        <v>0</v>
      </c>
      <c r="U35" s="39">
        <v>0</v>
      </c>
      <c r="V35" s="39">
        <v>0</v>
      </c>
      <c r="W35" s="14">
        <v>0</v>
      </c>
      <c r="X35" s="39">
        <v>0</v>
      </c>
    </row>
    <row r="36" spans="1:24" s="1" customFormat="1" ht="9.75" x14ac:dyDescent="0.2">
      <c r="A36" s="37" t="s">
        <v>76</v>
      </c>
      <c r="B36" s="749" t="s">
        <v>77</v>
      </c>
      <c r="C36" s="749"/>
      <c r="D36" s="38" t="s">
        <v>75</v>
      </c>
      <c r="E36" s="48">
        <v>65</v>
      </c>
      <c r="F36" s="48">
        <v>65</v>
      </c>
      <c r="G36" s="48">
        <v>65.290000000000006</v>
      </c>
      <c r="H36" s="29">
        <f t="shared" si="0"/>
        <v>100.44615384615385</v>
      </c>
      <c r="I36" s="48">
        <v>62</v>
      </c>
      <c r="J36" s="39">
        <v>2</v>
      </c>
      <c r="K36" s="39">
        <v>2</v>
      </c>
      <c r="L36" s="39">
        <v>2</v>
      </c>
      <c r="M36" s="14">
        <f t="shared" si="2"/>
        <v>100</v>
      </c>
      <c r="N36" s="39">
        <v>5</v>
      </c>
      <c r="O36" s="39">
        <v>60</v>
      </c>
      <c r="P36" s="39">
        <v>60</v>
      </c>
      <c r="Q36" s="39">
        <v>60</v>
      </c>
      <c r="R36" s="14">
        <f t="shared" si="3"/>
        <v>100</v>
      </c>
      <c r="S36" s="39">
        <v>56</v>
      </c>
      <c r="T36" s="39">
        <v>0</v>
      </c>
      <c r="U36" s="39">
        <v>0</v>
      </c>
      <c r="V36" s="39">
        <v>0</v>
      </c>
      <c r="W36" s="14">
        <v>0</v>
      </c>
      <c r="X36" s="39">
        <v>0</v>
      </c>
    </row>
  </sheetData>
  <mergeCells count="38">
    <mergeCell ref="A1:X1"/>
    <mergeCell ref="A3:A5"/>
    <mergeCell ref="B3:C5"/>
    <mergeCell ref="D3:D5"/>
    <mergeCell ref="E3:I3"/>
    <mergeCell ref="J3:N3"/>
    <mergeCell ref="O3:S3"/>
    <mergeCell ref="T3:X3"/>
    <mergeCell ref="E4:E5"/>
    <mergeCell ref="F4:H4"/>
    <mergeCell ref="I4:I5"/>
    <mergeCell ref="J4:J5"/>
    <mergeCell ref="X4:X5"/>
    <mergeCell ref="B6:C6"/>
    <mergeCell ref="O4:O5"/>
    <mergeCell ref="P4:R4"/>
    <mergeCell ref="B12:C12"/>
    <mergeCell ref="K4:M4"/>
    <mergeCell ref="N4:N5"/>
    <mergeCell ref="S4:S5"/>
    <mergeCell ref="T4:T5"/>
    <mergeCell ref="U4:W4"/>
    <mergeCell ref="B8:C8"/>
    <mergeCell ref="B10:C10"/>
    <mergeCell ref="B11:C11"/>
    <mergeCell ref="B7:C7"/>
    <mergeCell ref="B13:C13"/>
    <mergeCell ref="B26:C26"/>
    <mergeCell ref="B34:C34"/>
    <mergeCell ref="B35:C35"/>
    <mergeCell ref="B15:C15"/>
    <mergeCell ref="B36:C36"/>
    <mergeCell ref="B16:C16"/>
    <mergeCell ref="B18:C18"/>
    <mergeCell ref="B19:C19"/>
    <mergeCell ref="B20:C20"/>
    <mergeCell ref="B21:C21"/>
    <mergeCell ref="B22:C22"/>
  </mergeCells>
  <pageMargins left="0.70866141732283472" right="0.70866141732283472" top="0.78740157480314965" bottom="0.78740157480314965" header="0.31496062992125984" footer="0.31496062992125984"/>
  <pageSetup paperSize="9" scale="85" firstPageNumber="111" orientation="landscape" useFirstPageNumber="1" r:id="rId1"/>
  <headerFooter>
    <oddFooter>&amp;C&amp;P</oddFooter>
  </headerFooter>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8"/>
  <sheetViews>
    <sheetView topLeftCell="A49" workbookViewId="0">
      <selection activeCell="C51" sqref="C51"/>
    </sheetView>
  </sheetViews>
  <sheetFormatPr defaultRowHeight="12.75" x14ac:dyDescent="0.2"/>
  <cols>
    <col min="1" max="1" width="33.140625" style="4" customWidth="1"/>
    <col min="2" max="2" width="19.140625" style="4" customWidth="1"/>
    <col min="3" max="5" width="14.7109375" style="4" customWidth="1"/>
    <col min="6" max="7" width="13" style="4" customWidth="1"/>
    <col min="8" max="8" width="18.42578125" style="4" customWidth="1"/>
    <col min="9" max="16384" width="9.140625" style="4"/>
  </cols>
  <sheetData>
    <row r="1" spans="1:9" s="168" customFormat="1" ht="18.75" x14ac:dyDescent="0.3">
      <c r="A1" s="818" t="s">
        <v>548</v>
      </c>
      <c r="B1" s="818"/>
      <c r="C1" s="818"/>
      <c r="D1" s="818"/>
      <c r="E1" s="818"/>
      <c r="F1" s="818"/>
      <c r="G1" s="818"/>
      <c r="H1" s="818"/>
      <c r="I1" s="818"/>
    </row>
    <row r="3" spans="1:9" s="169" customFormat="1" ht="10.5" x14ac:dyDescent="0.15">
      <c r="A3" s="781" t="s">
        <v>99</v>
      </c>
      <c r="B3" s="781"/>
      <c r="C3" s="781"/>
      <c r="D3" s="781"/>
      <c r="E3" s="781"/>
      <c r="F3" s="781"/>
      <c r="G3" s="781"/>
      <c r="H3" s="781"/>
      <c r="I3" s="781"/>
    </row>
    <row r="4" spans="1:9" s="170" customFormat="1" ht="11.25" x14ac:dyDescent="0.2"/>
    <row r="5" spans="1:9" s="172" customFormat="1" ht="9.75" x14ac:dyDescent="0.2">
      <c r="A5" s="819" t="s">
        <v>100</v>
      </c>
      <c r="B5" s="820"/>
      <c r="C5" s="171" t="s">
        <v>16</v>
      </c>
      <c r="D5" s="805" t="s">
        <v>101</v>
      </c>
      <c r="E5" s="805"/>
      <c r="F5" s="805"/>
      <c r="G5" s="805"/>
      <c r="H5" s="805"/>
      <c r="I5" s="805"/>
    </row>
    <row r="6" spans="1:9" s="170" customFormat="1" ht="51" customHeight="1" x14ac:dyDescent="0.2">
      <c r="A6" s="821" t="s">
        <v>102</v>
      </c>
      <c r="B6" s="822"/>
      <c r="C6" s="173">
        <v>279580.21000000002</v>
      </c>
      <c r="D6" s="823" t="s">
        <v>549</v>
      </c>
      <c r="E6" s="824"/>
      <c r="F6" s="824"/>
      <c r="G6" s="824"/>
      <c r="H6" s="824"/>
      <c r="I6" s="825"/>
    </row>
    <row r="7" spans="1:9" s="174" customFormat="1" ht="24.75" customHeight="1" x14ac:dyDescent="0.15">
      <c r="A7" s="821" t="s">
        <v>103</v>
      </c>
      <c r="B7" s="822"/>
      <c r="C7" s="173">
        <v>39694</v>
      </c>
      <c r="D7" s="826" t="s">
        <v>550</v>
      </c>
      <c r="E7" s="827"/>
      <c r="F7" s="827"/>
      <c r="G7" s="827"/>
      <c r="H7" s="827"/>
      <c r="I7" s="828"/>
    </row>
    <row r="8" spans="1:9" s="174" customFormat="1" ht="15" customHeight="1" x14ac:dyDescent="0.15">
      <c r="A8" s="829" t="s">
        <v>105</v>
      </c>
      <c r="B8" s="830"/>
      <c r="C8" s="175"/>
      <c r="D8" s="831"/>
      <c r="E8" s="832"/>
      <c r="F8" s="832"/>
      <c r="G8" s="832"/>
      <c r="H8" s="832"/>
      <c r="I8" s="833"/>
    </row>
    <row r="9" spans="1:9" s="170" customFormat="1" ht="11.25" x14ac:dyDescent="0.2">
      <c r="C9" s="176"/>
    </row>
    <row r="10" spans="1:9" s="177" customFormat="1" ht="11.25" x14ac:dyDescent="0.2">
      <c r="A10" s="781" t="s">
        <v>106</v>
      </c>
      <c r="B10" s="781"/>
      <c r="C10" s="781"/>
      <c r="D10" s="781"/>
      <c r="E10" s="781"/>
      <c r="F10" s="781"/>
      <c r="G10" s="781"/>
      <c r="H10" s="781"/>
      <c r="I10" s="781"/>
    </row>
    <row r="11" spans="1:9" s="170" customFormat="1" ht="12" thickBot="1" x14ac:dyDescent="0.25">
      <c r="C11" s="176"/>
    </row>
    <row r="12" spans="1:9" s="181" customFormat="1" ht="21" x14ac:dyDescent="0.15">
      <c r="A12" s="178" t="s">
        <v>107</v>
      </c>
      <c r="B12" s="178" t="s">
        <v>108</v>
      </c>
      <c r="C12" s="179" t="s">
        <v>109</v>
      </c>
      <c r="D12" s="180" t="s">
        <v>110</v>
      </c>
      <c r="E12" s="179" t="s">
        <v>111</v>
      </c>
      <c r="F12" s="814" t="s">
        <v>112</v>
      </c>
      <c r="G12" s="815"/>
      <c r="H12" s="816" t="s">
        <v>113</v>
      </c>
      <c r="I12" s="817"/>
    </row>
    <row r="13" spans="1:9" s="181" customFormat="1" ht="43.5" customHeight="1" x14ac:dyDescent="0.15">
      <c r="A13" s="182" t="s">
        <v>114</v>
      </c>
      <c r="B13" s="183">
        <v>108114.8</v>
      </c>
      <c r="C13" s="184">
        <v>55832.04</v>
      </c>
      <c r="D13" s="185">
        <v>22830.65</v>
      </c>
      <c r="E13" s="184">
        <f>B13+C13-D13</f>
        <v>141116.19</v>
      </c>
      <c r="F13" s="809">
        <v>141116.19</v>
      </c>
      <c r="G13" s="809"/>
      <c r="H13" s="801" t="s">
        <v>551</v>
      </c>
      <c r="I13" s="802"/>
    </row>
    <row r="14" spans="1:9" s="181" customFormat="1" ht="43.5" customHeight="1" x14ac:dyDescent="0.15">
      <c r="A14" s="182" t="s">
        <v>115</v>
      </c>
      <c r="B14" s="183">
        <v>696557.98</v>
      </c>
      <c r="C14" s="184">
        <v>19992</v>
      </c>
      <c r="D14" s="185">
        <v>657795.93000000005</v>
      </c>
      <c r="E14" s="184">
        <f t="shared" ref="E14:E17" si="0">B14+C14-D14</f>
        <v>58754.04999999993</v>
      </c>
      <c r="F14" s="810">
        <v>58754.05</v>
      </c>
      <c r="G14" s="811"/>
      <c r="H14" s="801" t="s">
        <v>552</v>
      </c>
      <c r="I14" s="812"/>
    </row>
    <row r="15" spans="1:9" s="181" customFormat="1" ht="48" customHeight="1" x14ac:dyDescent="0.15">
      <c r="A15" s="186" t="s">
        <v>116</v>
      </c>
      <c r="B15" s="187">
        <v>132987.29</v>
      </c>
      <c r="C15" s="188">
        <v>314976.65000000002</v>
      </c>
      <c r="D15" s="189">
        <v>300942.65000000002</v>
      </c>
      <c r="E15" s="184">
        <f t="shared" si="0"/>
        <v>147021.29000000004</v>
      </c>
      <c r="F15" s="813">
        <v>147021.29</v>
      </c>
      <c r="G15" s="813"/>
      <c r="H15" s="801" t="s">
        <v>553</v>
      </c>
      <c r="I15" s="802"/>
    </row>
    <row r="16" spans="1:9" s="181" customFormat="1" ht="35.25" customHeight="1" x14ac:dyDescent="0.15">
      <c r="A16" s="190" t="s">
        <v>117</v>
      </c>
      <c r="B16" s="191">
        <v>61735.15</v>
      </c>
      <c r="C16" s="192">
        <v>20000</v>
      </c>
      <c r="D16" s="193"/>
      <c r="E16" s="184">
        <f t="shared" si="0"/>
        <v>81735.149999999994</v>
      </c>
      <c r="F16" s="800">
        <v>81735.149999999994</v>
      </c>
      <c r="G16" s="800"/>
      <c r="H16" s="801" t="s">
        <v>554</v>
      </c>
      <c r="I16" s="802"/>
    </row>
    <row r="17" spans="1:9" s="181" customFormat="1" ht="51" customHeight="1" x14ac:dyDescent="0.15">
      <c r="A17" s="194" t="s">
        <v>118</v>
      </c>
      <c r="B17" s="195">
        <v>508705.31</v>
      </c>
      <c r="C17" s="196">
        <v>195618.86</v>
      </c>
      <c r="D17" s="197">
        <v>134321</v>
      </c>
      <c r="E17" s="184">
        <f t="shared" si="0"/>
        <v>570003.16999999993</v>
      </c>
      <c r="F17" s="803">
        <v>522573.31</v>
      </c>
      <c r="G17" s="803"/>
      <c r="H17" s="801" t="s">
        <v>555</v>
      </c>
      <c r="I17" s="802"/>
    </row>
    <row r="18" spans="1:9" s="181" customFormat="1" thickBot="1" x14ac:dyDescent="0.2">
      <c r="A18" s="198" t="s">
        <v>120</v>
      </c>
      <c r="B18" s="199">
        <f>SUM(B13:B17)</f>
        <v>1508100.53</v>
      </c>
      <c r="C18" s="200">
        <f>SUM(C13:C17)</f>
        <v>606419.55000000005</v>
      </c>
      <c r="D18" s="201">
        <f>SUM(D13:D17)</f>
        <v>1115890.23</v>
      </c>
      <c r="E18" s="200">
        <f>SUM(E13:E17)</f>
        <v>998629.84999999986</v>
      </c>
      <c r="F18" s="804">
        <f>SUM(F13:G17)</f>
        <v>951199.99</v>
      </c>
      <c r="G18" s="804"/>
      <c r="H18" s="202"/>
      <c r="I18" s="203"/>
    </row>
    <row r="19" spans="1:9" s="204" customFormat="1" ht="11.25" x14ac:dyDescent="0.2">
      <c r="C19" s="205"/>
    </row>
    <row r="20" spans="1:9" s="177" customFormat="1" ht="11.25" x14ac:dyDescent="0.2">
      <c r="A20" s="781" t="s">
        <v>121</v>
      </c>
      <c r="B20" s="781"/>
      <c r="C20" s="781"/>
      <c r="D20" s="781"/>
      <c r="E20" s="781"/>
      <c r="F20" s="781"/>
      <c r="G20" s="781"/>
      <c r="H20" s="781"/>
      <c r="I20" s="781"/>
    </row>
    <row r="21" spans="1:9" s="170" customFormat="1" ht="11.25" x14ac:dyDescent="0.2">
      <c r="C21" s="176"/>
    </row>
    <row r="22" spans="1:9" s="170" customFormat="1" ht="11.25" x14ac:dyDescent="0.2">
      <c r="A22" s="171" t="s">
        <v>122</v>
      </c>
      <c r="B22" s="171" t="s">
        <v>16</v>
      </c>
      <c r="C22" s="206" t="s">
        <v>123</v>
      </c>
      <c r="D22" s="805" t="s">
        <v>124</v>
      </c>
      <c r="E22" s="805"/>
      <c r="F22" s="805"/>
      <c r="G22" s="805"/>
      <c r="H22" s="805"/>
      <c r="I22" s="805"/>
    </row>
    <row r="23" spans="1:9" s="170" customFormat="1" ht="11.25" customHeight="1" x14ac:dyDescent="0.2">
      <c r="A23" s="207"/>
      <c r="B23" s="208"/>
      <c r="C23" s="209"/>
      <c r="D23" s="797"/>
      <c r="E23" s="798"/>
      <c r="F23" s="798"/>
      <c r="G23" s="798"/>
      <c r="H23" s="798"/>
      <c r="I23" s="799"/>
    </row>
    <row r="24" spans="1:9" s="174" customFormat="1" ht="11.25" x14ac:dyDescent="0.2">
      <c r="A24" s="210" t="s">
        <v>120</v>
      </c>
      <c r="B24" s="211">
        <f>SUM(B23:B23)</f>
        <v>0</v>
      </c>
      <c r="C24" s="806"/>
      <c r="D24" s="806"/>
      <c r="E24" s="806"/>
      <c r="F24" s="806"/>
      <c r="G24" s="806"/>
      <c r="H24" s="806"/>
      <c r="I24" s="807"/>
    </row>
    <row r="25" spans="1:9" s="204" customFormat="1" ht="11.25" x14ac:dyDescent="0.2">
      <c r="C25" s="205"/>
    </row>
    <row r="26" spans="1:9" s="204" customFormat="1" ht="11.25" x14ac:dyDescent="0.2">
      <c r="C26" s="205"/>
    </row>
    <row r="27" spans="1:9" s="177" customFormat="1" ht="11.25" x14ac:dyDescent="0.2">
      <c r="A27" s="781" t="s">
        <v>126</v>
      </c>
      <c r="B27" s="781"/>
      <c r="C27" s="781"/>
      <c r="D27" s="781"/>
      <c r="E27" s="781"/>
      <c r="F27" s="781"/>
      <c r="G27" s="781"/>
      <c r="H27" s="781"/>
      <c r="I27" s="781"/>
    </row>
    <row r="28" spans="1:9" s="170" customFormat="1" ht="11.25" x14ac:dyDescent="0.2">
      <c r="C28" s="176"/>
    </row>
    <row r="29" spans="1:9" s="170" customFormat="1" ht="11.25" x14ac:dyDescent="0.2">
      <c r="A29" s="171" t="s">
        <v>122</v>
      </c>
      <c r="B29" s="171" t="s">
        <v>16</v>
      </c>
      <c r="C29" s="206" t="s">
        <v>123</v>
      </c>
      <c r="D29" s="805" t="s">
        <v>127</v>
      </c>
      <c r="E29" s="805"/>
      <c r="F29" s="805"/>
      <c r="G29" s="805"/>
      <c r="H29" s="805"/>
      <c r="I29" s="808"/>
    </row>
    <row r="30" spans="1:9" s="170" customFormat="1" ht="11.25" customHeight="1" x14ac:dyDescent="0.2">
      <c r="A30" s="207"/>
      <c r="B30" s="208"/>
      <c r="C30" s="209"/>
      <c r="D30" s="797"/>
      <c r="E30" s="798"/>
      <c r="F30" s="798"/>
      <c r="G30" s="798"/>
      <c r="H30" s="798"/>
      <c r="I30" s="799"/>
    </row>
    <row r="31" spans="1:9" s="174" customFormat="1" ht="10.5" x14ac:dyDescent="0.15">
      <c r="A31" s="210" t="s">
        <v>120</v>
      </c>
      <c r="B31" s="211">
        <f>SUM(B30:B30)</f>
        <v>0</v>
      </c>
      <c r="C31" s="784"/>
      <c r="D31" s="784"/>
      <c r="E31" s="784"/>
      <c r="F31" s="784"/>
      <c r="G31" s="784"/>
      <c r="H31" s="784"/>
      <c r="I31" s="784"/>
    </row>
    <row r="32" spans="1:9" s="170" customFormat="1" ht="11.25" x14ac:dyDescent="0.2">
      <c r="C32" s="176"/>
    </row>
    <row r="33" spans="1:9" s="170" customFormat="1" ht="11.25" x14ac:dyDescent="0.2">
      <c r="C33" s="176"/>
    </row>
    <row r="34" spans="1:9" s="177" customFormat="1" ht="11.25" x14ac:dyDescent="0.2">
      <c r="A34" s="781" t="s">
        <v>129</v>
      </c>
      <c r="B34" s="781"/>
      <c r="C34" s="781"/>
      <c r="D34" s="781"/>
      <c r="E34" s="781"/>
      <c r="F34" s="781"/>
      <c r="G34" s="781"/>
      <c r="H34" s="781"/>
      <c r="I34" s="781"/>
    </row>
    <row r="35" spans="1:9" s="170" customFormat="1" ht="11.25" x14ac:dyDescent="0.2">
      <c r="C35" s="212"/>
    </row>
    <row r="36" spans="1:9" s="170" customFormat="1" ht="11.25" x14ac:dyDescent="0.2">
      <c r="A36" s="171" t="s">
        <v>130</v>
      </c>
      <c r="B36" s="206" t="s">
        <v>131</v>
      </c>
      <c r="C36" s="785" t="s">
        <v>132</v>
      </c>
      <c r="D36" s="785"/>
      <c r="E36" s="785"/>
      <c r="F36" s="785"/>
      <c r="G36" s="785"/>
      <c r="H36" s="785"/>
      <c r="I36" s="786"/>
    </row>
    <row r="37" spans="1:9" s="170" customFormat="1" ht="11.25" x14ac:dyDescent="0.2">
      <c r="A37" s="213">
        <v>19992</v>
      </c>
      <c r="B37" s="213">
        <v>17205</v>
      </c>
      <c r="C37" s="787" t="s">
        <v>556</v>
      </c>
      <c r="D37" s="787"/>
      <c r="E37" s="787"/>
      <c r="F37" s="787"/>
      <c r="G37" s="787"/>
      <c r="H37" s="787"/>
      <c r="I37" s="787"/>
    </row>
    <row r="38" spans="1:9" s="174" customFormat="1" ht="10.5" x14ac:dyDescent="0.15">
      <c r="A38" s="214">
        <f>SUM(A37:A37)</f>
        <v>19992</v>
      </c>
      <c r="B38" s="214">
        <f>SUM(B37:B37)</f>
        <v>17205</v>
      </c>
      <c r="C38" s="788" t="s">
        <v>120</v>
      </c>
      <c r="D38" s="789"/>
      <c r="E38" s="789"/>
      <c r="F38" s="789"/>
      <c r="G38" s="789"/>
      <c r="H38" s="789"/>
      <c r="I38" s="790"/>
    </row>
    <row r="39" spans="1:9" s="170" customFormat="1" ht="11.25" x14ac:dyDescent="0.2">
      <c r="C39" s="212"/>
    </row>
    <row r="40" spans="1:9" s="170" customFormat="1" ht="11.25" x14ac:dyDescent="0.2">
      <c r="C40" s="212"/>
    </row>
    <row r="41" spans="1:9" s="170" customFormat="1" ht="11.25" x14ac:dyDescent="0.2">
      <c r="A41" s="781" t="s">
        <v>177</v>
      </c>
      <c r="B41" s="766"/>
      <c r="C41" s="766"/>
      <c r="D41" s="766"/>
      <c r="E41" s="766"/>
      <c r="F41" s="766"/>
      <c r="G41" s="766"/>
      <c r="H41" s="766"/>
      <c r="I41" s="766"/>
    </row>
    <row r="42" spans="1:9" s="170" customFormat="1" ht="11.25" x14ac:dyDescent="0.2">
      <c r="C42" s="212"/>
    </row>
    <row r="43" spans="1:9" s="216" customFormat="1" ht="31.5" x14ac:dyDescent="0.25">
      <c r="A43" s="767" t="s">
        <v>135</v>
      </c>
      <c r="B43" s="768"/>
      <c r="C43" s="215" t="s">
        <v>136</v>
      </c>
      <c r="D43" s="215" t="s">
        <v>137</v>
      </c>
      <c r="E43" s="215" t="s">
        <v>138</v>
      </c>
      <c r="F43" s="215" t="s">
        <v>139</v>
      </c>
      <c r="G43" s="215" t="s">
        <v>140</v>
      </c>
    </row>
    <row r="44" spans="1:9" s="170" customFormat="1" ht="12" x14ac:dyDescent="0.2">
      <c r="A44" s="791" t="s">
        <v>557</v>
      </c>
      <c r="B44" s="792"/>
      <c r="C44" s="217" t="s">
        <v>558</v>
      </c>
      <c r="D44" s="218"/>
      <c r="E44" s="219">
        <v>38000</v>
      </c>
      <c r="F44" s="220">
        <v>43281</v>
      </c>
      <c r="G44" s="221">
        <v>43281</v>
      </c>
    </row>
    <row r="45" spans="1:9" s="170" customFormat="1" ht="12" x14ac:dyDescent="0.2">
      <c r="A45" s="274" t="s">
        <v>559</v>
      </c>
      <c r="B45" s="331"/>
      <c r="C45" s="222" t="s">
        <v>560</v>
      </c>
      <c r="D45" s="223">
        <v>200</v>
      </c>
      <c r="E45" s="224"/>
      <c r="F45" s="220">
        <v>43281</v>
      </c>
      <c r="G45" s="221">
        <v>43281</v>
      </c>
    </row>
    <row r="46" spans="1:9" s="170" customFormat="1" ht="12" x14ac:dyDescent="0.2">
      <c r="A46" s="274" t="s">
        <v>561</v>
      </c>
      <c r="B46" s="331"/>
      <c r="C46" s="222" t="s">
        <v>562</v>
      </c>
      <c r="D46" s="223">
        <v>1200</v>
      </c>
      <c r="E46" s="224"/>
      <c r="F46" s="220">
        <v>43281</v>
      </c>
      <c r="G46" s="221">
        <v>43281</v>
      </c>
    </row>
    <row r="47" spans="1:9" s="170" customFormat="1" ht="12" x14ac:dyDescent="0.2">
      <c r="A47" s="274" t="s">
        <v>563</v>
      </c>
      <c r="B47" s="331"/>
      <c r="C47" s="222" t="s">
        <v>564</v>
      </c>
      <c r="D47" s="223"/>
      <c r="E47" s="224">
        <v>1200</v>
      </c>
      <c r="F47" s="220">
        <v>43281</v>
      </c>
      <c r="G47" s="221">
        <v>43281</v>
      </c>
    </row>
    <row r="48" spans="1:9" s="170" customFormat="1" ht="12" x14ac:dyDescent="0.2">
      <c r="A48" s="274" t="s">
        <v>565</v>
      </c>
      <c r="B48" s="331"/>
      <c r="C48" s="222" t="s">
        <v>566</v>
      </c>
      <c r="D48" s="223">
        <v>2500</v>
      </c>
      <c r="E48" s="224"/>
      <c r="F48" s="220">
        <v>43281</v>
      </c>
      <c r="G48" s="221">
        <v>43281</v>
      </c>
    </row>
    <row r="49" spans="1:7" s="170" customFormat="1" ht="12" x14ac:dyDescent="0.2">
      <c r="A49" s="274" t="s">
        <v>567</v>
      </c>
      <c r="B49" s="331"/>
      <c r="C49" s="222" t="s">
        <v>568</v>
      </c>
      <c r="D49" s="223">
        <v>2538</v>
      </c>
      <c r="E49" s="224"/>
      <c r="F49" s="220">
        <v>43281</v>
      </c>
      <c r="G49" s="221">
        <v>43281</v>
      </c>
    </row>
    <row r="50" spans="1:7" s="170" customFormat="1" ht="12" x14ac:dyDescent="0.2">
      <c r="A50" s="274" t="s">
        <v>569</v>
      </c>
      <c r="B50" s="331"/>
      <c r="C50" s="222" t="s">
        <v>570</v>
      </c>
      <c r="D50" s="223"/>
      <c r="E50" s="224">
        <v>1616</v>
      </c>
      <c r="F50" s="220">
        <v>43281</v>
      </c>
      <c r="G50" s="221">
        <v>43281</v>
      </c>
    </row>
    <row r="51" spans="1:7" s="170" customFormat="1" ht="12" x14ac:dyDescent="0.2">
      <c r="A51" s="274" t="s">
        <v>571</v>
      </c>
      <c r="B51" s="331"/>
      <c r="C51" s="222" t="s">
        <v>572</v>
      </c>
      <c r="D51" s="223">
        <v>1616</v>
      </c>
      <c r="E51" s="224"/>
      <c r="F51" s="220">
        <v>43281</v>
      </c>
      <c r="G51" s="221">
        <v>43281</v>
      </c>
    </row>
    <row r="52" spans="1:7" s="170" customFormat="1" ht="12" x14ac:dyDescent="0.2">
      <c r="A52" s="274" t="s">
        <v>573</v>
      </c>
      <c r="B52" s="331"/>
      <c r="C52" s="222" t="s">
        <v>574</v>
      </c>
      <c r="D52" s="223"/>
      <c r="E52" s="224">
        <v>400</v>
      </c>
      <c r="F52" s="220">
        <v>43281</v>
      </c>
      <c r="G52" s="221">
        <v>43281</v>
      </c>
    </row>
    <row r="53" spans="1:7" s="170" customFormat="1" ht="12" x14ac:dyDescent="0.2">
      <c r="A53" s="274" t="s">
        <v>575</v>
      </c>
      <c r="B53" s="331"/>
      <c r="C53" s="222" t="s">
        <v>576</v>
      </c>
      <c r="D53" s="223"/>
      <c r="E53" s="224">
        <v>1000</v>
      </c>
      <c r="F53" s="220">
        <v>43281</v>
      </c>
      <c r="G53" s="221">
        <v>43281</v>
      </c>
    </row>
    <row r="54" spans="1:7" s="170" customFormat="1" ht="12" x14ac:dyDescent="0.2">
      <c r="A54" s="274" t="s">
        <v>577</v>
      </c>
      <c r="B54" s="331"/>
      <c r="C54" s="222" t="s">
        <v>578</v>
      </c>
      <c r="D54" s="223"/>
      <c r="E54" s="224">
        <v>10000</v>
      </c>
      <c r="F54" s="220">
        <v>43281</v>
      </c>
      <c r="G54" s="221">
        <v>43281</v>
      </c>
    </row>
    <row r="55" spans="1:7" s="170" customFormat="1" ht="12" x14ac:dyDescent="0.2">
      <c r="A55" s="274" t="s">
        <v>579</v>
      </c>
      <c r="B55" s="331"/>
      <c r="C55" s="222" t="s">
        <v>570</v>
      </c>
      <c r="D55" s="223"/>
      <c r="E55" s="224">
        <v>6384</v>
      </c>
      <c r="F55" s="220">
        <v>43281</v>
      </c>
      <c r="G55" s="221">
        <v>43281</v>
      </c>
    </row>
    <row r="56" spans="1:7" s="170" customFormat="1" ht="12" x14ac:dyDescent="0.2">
      <c r="A56" s="274" t="s">
        <v>580</v>
      </c>
      <c r="B56" s="331"/>
      <c r="C56" s="222" t="s">
        <v>581</v>
      </c>
      <c r="D56" s="223"/>
      <c r="E56" s="224">
        <v>39800</v>
      </c>
      <c r="F56" s="220">
        <v>43281</v>
      </c>
      <c r="G56" s="221">
        <v>43281</v>
      </c>
    </row>
    <row r="57" spans="1:7" s="170" customFormat="1" ht="12" x14ac:dyDescent="0.2">
      <c r="A57" s="274" t="s">
        <v>582</v>
      </c>
      <c r="B57" s="331"/>
      <c r="C57" s="222" t="s">
        <v>583</v>
      </c>
      <c r="D57" s="223"/>
      <c r="E57" s="224">
        <v>1439</v>
      </c>
      <c r="F57" s="220">
        <v>43281</v>
      </c>
      <c r="G57" s="221">
        <v>43281</v>
      </c>
    </row>
    <row r="58" spans="1:7" s="170" customFormat="1" ht="12" x14ac:dyDescent="0.2">
      <c r="A58" s="274" t="s">
        <v>584</v>
      </c>
      <c r="B58" s="331"/>
      <c r="C58" s="222" t="s">
        <v>585</v>
      </c>
      <c r="D58" s="223"/>
      <c r="E58" s="224">
        <v>-350</v>
      </c>
      <c r="F58" s="220">
        <v>43281</v>
      </c>
      <c r="G58" s="221">
        <v>43281</v>
      </c>
    </row>
    <row r="59" spans="1:7" s="170" customFormat="1" ht="12" x14ac:dyDescent="0.2">
      <c r="A59" s="274" t="s">
        <v>586</v>
      </c>
      <c r="B59" s="331"/>
      <c r="C59" s="222" t="s">
        <v>587</v>
      </c>
      <c r="D59" s="223"/>
      <c r="E59" s="224">
        <v>350</v>
      </c>
      <c r="F59" s="220">
        <v>43281</v>
      </c>
      <c r="G59" s="221">
        <v>43281</v>
      </c>
    </row>
    <row r="60" spans="1:7" s="170" customFormat="1" ht="12" x14ac:dyDescent="0.2">
      <c r="A60" s="274" t="s">
        <v>588</v>
      </c>
      <c r="B60" s="331"/>
      <c r="C60" s="222" t="s">
        <v>589</v>
      </c>
      <c r="D60" s="223"/>
      <c r="E60" s="224">
        <v>-39800</v>
      </c>
      <c r="F60" s="220">
        <v>43281</v>
      </c>
      <c r="G60" s="221">
        <v>43281</v>
      </c>
    </row>
    <row r="61" spans="1:7" s="170" customFormat="1" ht="12" x14ac:dyDescent="0.2">
      <c r="A61" s="274" t="s">
        <v>590</v>
      </c>
      <c r="B61" s="331"/>
      <c r="C61" s="222" t="s">
        <v>591</v>
      </c>
      <c r="D61" s="223"/>
      <c r="E61" s="224">
        <v>-8000</v>
      </c>
      <c r="F61" s="220">
        <v>43281</v>
      </c>
      <c r="G61" s="221">
        <v>43281</v>
      </c>
    </row>
    <row r="62" spans="1:7" s="170" customFormat="1" ht="12" x14ac:dyDescent="0.2">
      <c r="A62" s="274" t="s">
        <v>592</v>
      </c>
      <c r="B62" s="331"/>
      <c r="C62" s="222" t="s">
        <v>593</v>
      </c>
      <c r="D62" s="223"/>
      <c r="E62" s="224">
        <v>-5000</v>
      </c>
      <c r="F62" s="220">
        <v>43281</v>
      </c>
      <c r="G62" s="221">
        <v>43281</v>
      </c>
    </row>
    <row r="63" spans="1:7" s="170" customFormat="1" ht="12" x14ac:dyDescent="0.2">
      <c r="A63" s="274" t="s">
        <v>594</v>
      </c>
      <c r="B63" s="331"/>
      <c r="C63" s="222" t="s">
        <v>595</v>
      </c>
      <c r="D63" s="223"/>
      <c r="E63" s="224">
        <v>-431.56</v>
      </c>
      <c r="F63" s="220">
        <v>43281</v>
      </c>
      <c r="G63" s="221">
        <v>43281</v>
      </c>
    </row>
    <row r="64" spans="1:7" s="170" customFormat="1" ht="12" x14ac:dyDescent="0.2">
      <c r="A64" s="274" t="s">
        <v>596</v>
      </c>
      <c r="B64" s="331"/>
      <c r="C64" s="222" t="s">
        <v>597</v>
      </c>
      <c r="D64" s="223">
        <v>553.44000000000005</v>
      </c>
      <c r="E64" s="224"/>
      <c r="F64" s="220">
        <v>43281</v>
      </c>
      <c r="G64" s="221">
        <v>43281</v>
      </c>
    </row>
    <row r="65" spans="1:9" s="170" customFormat="1" ht="12" x14ac:dyDescent="0.2">
      <c r="A65" s="793" t="s">
        <v>598</v>
      </c>
      <c r="B65" s="794"/>
      <c r="C65" s="227" t="s">
        <v>599</v>
      </c>
      <c r="D65" s="232">
        <v>38000</v>
      </c>
      <c r="E65" s="229"/>
      <c r="F65" s="220">
        <v>43281</v>
      </c>
      <c r="G65" s="221">
        <v>43281</v>
      </c>
    </row>
    <row r="66" spans="1:9" s="170" customFormat="1" ht="11.25" x14ac:dyDescent="0.2">
      <c r="A66" s="773" t="s">
        <v>178</v>
      </c>
      <c r="B66" s="774"/>
      <c r="C66" s="233"/>
      <c r="D66" s="234">
        <f>SUM(D44:D65)</f>
        <v>46607.44</v>
      </c>
      <c r="E66" s="234">
        <f>SUM(E44:E65)</f>
        <v>46607.44</v>
      </c>
      <c r="F66" s="795"/>
      <c r="G66" s="796"/>
    </row>
    <row r="67" spans="1:9" s="170" customFormat="1" ht="15" x14ac:dyDescent="0.25">
      <c r="A67" s="782"/>
      <c r="B67" s="783"/>
      <c r="C67" s="212"/>
    </row>
    <row r="68" spans="1:9" s="170" customFormat="1" ht="11.25" x14ac:dyDescent="0.2">
      <c r="A68" s="235"/>
      <c r="C68" s="212"/>
    </row>
    <row r="69" spans="1:9" s="170" customFormat="1" ht="11.25" x14ac:dyDescent="0.2">
      <c r="A69" s="766" t="s">
        <v>180</v>
      </c>
      <c r="B69" s="766"/>
      <c r="C69" s="766"/>
      <c r="D69" s="766"/>
      <c r="E69" s="766"/>
      <c r="F69" s="766"/>
      <c r="G69" s="766"/>
      <c r="H69" s="766"/>
      <c r="I69" s="766"/>
    </row>
    <row r="70" spans="1:9" s="170" customFormat="1" ht="11.25" x14ac:dyDescent="0.2">
      <c r="C70" s="212"/>
    </row>
    <row r="71" spans="1:9" s="216" customFormat="1" ht="31.5" x14ac:dyDescent="0.25">
      <c r="A71" s="767" t="s">
        <v>135</v>
      </c>
      <c r="B71" s="768"/>
      <c r="C71" s="215" t="s">
        <v>136</v>
      </c>
      <c r="D71" s="215" t="s">
        <v>137</v>
      </c>
      <c r="E71" s="215" t="s">
        <v>138</v>
      </c>
      <c r="F71" s="215" t="s">
        <v>139</v>
      </c>
      <c r="G71" s="215" t="s">
        <v>140</v>
      </c>
    </row>
    <row r="72" spans="1:9" s="170" customFormat="1" ht="11.25" customHeight="1" x14ac:dyDescent="0.2">
      <c r="A72" s="769" t="s">
        <v>600</v>
      </c>
      <c r="B72" s="770"/>
      <c r="C72" s="236" t="s">
        <v>601</v>
      </c>
      <c r="D72" s="237"/>
      <c r="E72" s="237">
        <v>46200</v>
      </c>
      <c r="F72" s="504">
        <v>43281</v>
      </c>
      <c r="G72" s="504">
        <v>43281</v>
      </c>
    </row>
    <row r="73" spans="1:9" s="170" customFormat="1" ht="25.5" customHeight="1" x14ac:dyDescent="0.2">
      <c r="A73" s="771" t="s">
        <v>602</v>
      </c>
      <c r="B73" s="772"/>
      <c r="C73" s="505" t="s">
        <v>603</v>
      </c>
      <c r="D73" s="244"/>
      <c r="E73" s="244">
        <v>-42553</v>
      </c>
      <c r="F73" s="506">
        <v>43281</v>
      </c>
      <c r="G73" s="506">
        <v>43281</v>
      </c>
    </row>
    <row r="74" spans="1:9" s="170" customFormat="1" ht="11.25" x14ac:dyDescent="0.2">
      <c r="A74" s="773" t="s">
        <v>178</v>
      </c>
      <c r="B74" s="774"/>
      <c r="C74" s="233"/>
      <c r="D74" s="234">
        <f>SUM(D72:D73)</f>
        <v>0</v>
      </c>
      <c r="E74" s="234">
        <f>SUM(E72:E73)</f>
        <v>3647</v>
      </c>
      <c r="F74" s="775"/>
      <c r="G74" s="776"/>
    </row>
    <row r="75" spans="1:9" s="170" customFormat="1" ht="11.25" x14ac:dyDescent="0.2">
      <c r="C75" s="212"/>
    </row>
    <row r="76" spans="1:9" s="170" customFormat="1" ht="11.25" x14ac:dyDescent="0.2">
      <c r="C76" s="212"/>
    </row>
    <row r="77" spans="1:9" s="177" customFormat="1" ht="11.25" x14ac:dyDescent="0.2">
      <c r="A77" s="777" t="s">
        <v>238</v>
      </c>
      <c r="B77" s="777"/>
      <c r="C77" s="777"/>
      <c r="D77" s="777"/>
      <c r="E77" s="777"/>
      <c r="F77" s="777"/>
      <c r="G77" s="777"/>
      <c r="H77" s="777"/>
      <c r="I77" s="777"/>
    </row>
    <row r="78" spans="1:9" s="170" customFormat="1" ht="11.25" x14ac:dyDescent="0.2">
      <c r="A78" s="170" t="s">
        <v>604</v>
      </c>
    </row>
    <row r="79" spans="1:9" s="170" customFormat="1" ht="11.25" x14ac:dyDescent="0.2">
      <c r="A79" s="778"/>
      <c r="B79" s="779"/>
      <c r="C79" s="779"/>
      <c r="D79" s="779"/>
      <c r="E79" s="779"/>
      <c r="F79" s="779"/>
      <c r="G79" s="779"/>
      <c r="H79" s="779"/>
      <c r="I79" s="780"/>
    </row>
    <row r="80" spans="1:9" s="170" customFormat="1" ht="11.25" x14ac:dyDescent="0.2"/>
    <row r="81" spans="1:9" s="169" customFormat="1" ht="10.5" x14ac:dyDescent="0.15">
      <c r="A81" s="781" t="s">
        <v>165</v>
      </c>
      <c r="B81" s="781"/>
      <c r="C81" s="781"/>
      <c r="D81" s="781"/>
      <c r="E81" s="781"/>
      <c r="F81" s="781"/>
      <c r="G81" s="781"/>
      <c r="H81" s="781"/>
      <c r="I81" s="781"/>
    </row>
    <row r="82" spans="1:9" s="170" customFormat="1" ht="11.25" x14ac:dyDescent="0.2">
      <c r="A82" s="170" t="s">
        <v>360</v>
      </c>
    </row>
    <row r="83" spans="1:9" s="170" customFormat="1" ht="28.5" customHeight="1" x14ac:dyDescent="0.2">
      <c r="A83" s="763"/>
      <c r="B83" s="764"/>
      <c r="C83" s="764"/>
      <c r="D83" s="764"/>
      <c r="E83" s="764"/>
      <c r="F83" s="764"/>
      <c r="G83" s="764"/>
      <c r="H83" s="764"/>
      <c r="I83" s="765"/>
    </row>
    <row r="84" spans="1:9" s="170" customFormat="1" ht="39" customHeight="1" x14ac:dyDescent="0.2">
      <c r="A84" s="763"/>
      <c r="B84" s="764"/>
      <c r="C84" s="764"/>
      <c r="D84" s="764"/>
      <c r="E84" s="764"/>
      <c r="F84" s="764"/>
      <c r="G84" s="764"/>
      <c r="H84" s="764"/>
      <c r="I84" s="765"/>
    </row>
    <row r="85" spans="1:9" s="170" customFormat="1" ht="18.75" customHeight="1" x14ac:dyDescent="0.2">
      <c r="A85" s="763"/>
      <c r="B85" s="764"/>
      <c r="C85" s="764"/>
      <c r="D85" s="764"/>
      <c r="E85" s="764"/>
      <c r="F85" s="764"/>
      <c r="G85" s="764"/>
      <c r="H85" s="764"/>
      <c r="I85" s="765"/>
    </row>
    <row r="86" spans="1:9" x14ac:dyDescent="0.2">
      <c r="A86" s="4" t="s">
        <v>362</v>
      </c>
      <c r="B86" s="4" t="s">
        <v>605</v>
      </c>
    </row>
    <row r="87" spans="1:9" ht="14.25" customHeight="1" x14ac:dyDescent="0.2">
      <c r="A87" s="246" t="s">
        <v>364</v>
      </c>
      <c r="B87" s="333">
        <v>43319</v>
      </c>
    </row>
    <row r="88" spans="1:9" ht="13.5" customHeight="1" x14ac:dyDescent="0.2">
      <c r="A88" s="246"/>
    </row>
  </sheetData>
  <mergeCells count="55">
    <mergeCell ref="F12:G12"/>
    <mergeCell ref="H12:I12"/>
    <mergeCell ref="A1:I1"/>
    <mergeCell ref="A3:I3"/>
    <mergeCell ref="A5:B5"/>
    <mergeCell ref="D5:I5"/>
    <mergeCell ref="A6:B6"/>
    <mergeCell ref="D6:I6"/>
    <mergeCell ref="A7:B7"/>
    <mergeCell ref="D7:I7"/>
    <mergeCell ref="A8:B8"/>
    <mergeCell ref="D8:I8"/>
    <mergeCell ref="A10:I10"/>
    <mergeCell ref="F13:G13"/>
    <mergeCell ref="H13:I13"/>
    <mergeCell ref="F14:G14"/>
    <mergeCell ref="H14:I14"/>
    <mergeCell ref="F15:G15"/>
    <mergeCell ref="H15:I15"/>
    <mergeCell ref="D30:I30"/>
    <mergeCell ref="F16:G16"/>
    <mergeCell ref="H16:I16"/>
    <mergeCell ref="F17:G17"/>
    <mergeCell ref="H17:I17"/>
    <mergeCell ref="F18:G18"/>
    <mergeCell ref="A20:I20"/>
    <mergeCell ref="D22:I22"/>
    <mergeCell ref="D23:I23"/>
    <mergeCell ref="C24:I24"/>
    <mergeCell ref="A27:I27"/>
    <mergeCell ref="D29:I29"/>
    <mergeCell ref="A67:B67"/>
    <mergeCell ref="C31:I31"/>
    <mergeCell ref="A34:I34"/>
    <mergeCell ref="C36:I36"/>
    <mergeCell ref="C37:I37"/>
    <mergeCell ref="C38:I38"/>
    <mergeCell ref="A41:I41"/>
    <mergeCell ref="A43:B43"/>
    <mergeCell ref="A44:B44"/>
    <mergeCell ref="A65:B65"/>
    <mergeCell ref="A66:B66"/>
    <mergeCell ref="F66:G66"/>
    <mergeCell ref="A85:I85"/>
    <mergeCell ref="A69:I69"/>
    <mergeCell ref="A71:B71"/>
    <mergeCell ref="A72:B72"/>
    <mergeCell ref="A73:B73"/>
    <mergeCell ref="A74:B74"/>
    <mergeCell ref="F74:G74"/>
    <mergeCell ref="A77:I77"/>
    <mergeCell ref="A79:I79"/>
    <mergeCell ref="A81:I81"/>
    <mergeCell ref="A83:I83"/>
    <mergeCell ref="A84:I84"/>
  </mergeCells>
  <pageMargins left="0.70866141732283472" right="0.70866141732283472" top="0.78740157480314965" bottom="0.78740157480314965" header="0.31496062992125984" footer="0.31496062992125984"/>
  <pageSetup paperSize="9" scale="56" firstPageNumber="112" orientation="portrait" useFirstPageNumber="1" r:id="rId1"/>
  <headerFoot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6"/>
  <sheetViews>
    <sheetView workbookViewId="0">
      <selection activeCell="C51" sqref="C51"/>
    </sheetView>
  </sheetViews>
  <sheetFormatPr defaultColWidth="3.7109375" defaultRowHeight="15" x14ac:dyDescent="0.25"/>
  <cols>
    <col min="1" max="1" width="3.140625" style="2" customWidth="1"/>
    <col min="2" max="2" width="3.7109375" style="3" customWidth="1"/>
    <col min="3" max="3" width="21" style="3" customWidth="1"/>
    <col min="4" max="4" width="4.85546875" style="3" customWidth="1"/>
    <col min="5" max="7" width="6.28515625" style="3" customWidth="1"/>
    <col min="8" max="8" width="5" style="3" customWidth="1"/>
    <col min="9" max="12" width="6.28515625" style="3" customWidth="1"/>
    <col min="13" max="13" width="5" style="3" customWidth="1"/>
    <col min="14" max="17" width="6.28515625" style="3" customWidth="1"/>
    <col min="18" max="18" width="5" style="3" customWidth="1"/>
    <col min="19" max="22" width="6.28515625" style="3" customWidth="1"/>
    <col min="23" max="23" width="5" style="3" customWidth="1"/>
    <col min="24" max="24" width="6.28515625" style="3" customWidth="1"/>
    <col min="25" max="16384" width="3.7109375" style="3"/>
  </cols>
  <sheetData>
    <row r="1" spans="1:24" s="6" customFormat="1" ht="15.75" x14ac:dyDescent="0.25">
      <c r="A1" s="759" t="s">
        <v>88</v>
      </c>
      <c r="B1" s="759"/>
      <c r="C1" s="759"/>
      <c r="D1" s="759"/>
      <c r="E1" s="759"/>
      <c r="F1" s="759"/>
      <c r="G1" s="759"/>
      <c r="H1" s="759"/>
      <c r="I1" s="759"/>
      <c r="J1" s="759"/>
      <c r="K1" s="759"/>
      <c r="L1" s="759"/>
      <c r="M1" s="759"/>
      <c r="N1" s="759"/>
      <c r="O1" s="759"/>
      <c r="P1" s="759"/>
      <c r="Q1" s="759"/>
      <c r="R1" s="759"/>
      <c r="S1" s="759"/>
      <c r="T1" s="759"/>
      <c r="U1" s="759"/>
      <c r="V1" s="759"/>
      <c r="W1" s="759"/>
      <c r="X1" s="759"/>
    </row>
    <row r="3" spans="1:24" s="7" customFormat="1" ht="9.75" customHeight="1" x14ac:dyDescent="0.2">
      <c r="A3" s="752" t="s">
        <v>1</v>
      </c>
      <c r="B3" s="761" t="s">
        <v>2</v>
      </c>
      <c r="C3" s="760"/>
      <c r="D3" s="761" t="s">
        <v>3</v>
      </c>
      <c r="E3" s="762" t="s">
        <v>4</v>
      </c>
      <c r="F3" s="762"/>
      <c r="G3" s="762"/>
      <c r="H3" s="762"/>
      <c r="I3" s="762"/>
      <c r="J3" s="762" t="s">
        <v>5</v>
      </c>
      <c r="K3" s="762"/>
      <c r="L3" s="762"/>
      <c r="M3" s="762"/>
      <c r="N3" s="762"/>
      <c r="O3" s="762" t="s">
        <v>6</v>
      </c>
      <c r="P3" s="762"/>
      <c r="Q3" s="762"/>
      <c r="R3" s="762"/>
      <c r="S3" s="762"/>
      <c r="T3" s="762" t="s">
        <v>7</v>
      </c>
      <c r="U3" s="762"/>
      <c r="V3" s="762"/>
      <c r="W3" s="762"/>
      <c r="X3" s="762"/>
    </row>
    <row r="4" spans="1:24" s="8" customFormat="1" ht="9.75" customHeight="1" x14ac:dyDescent="0.2">
      <c r="A4" s="760"/>
      <c r="B4" s="760"/>
      <c r="C4" s="760"/>
      <c r="D4" s="761"/>
      <c r="E4" s="754" t="s">
        <v>89</v>
      </c>
      <c r="F4" s="755" t="s">
        <v>9</v>
      </c>
      <c r="G4" s="755"/>
      <c r="H4" s="755"/>
      <c r="I4" s="752" t="s">
        <v>10</v>
      </c>
      <c r="J4" s="754" t="s">
        <v>89</v>
      </c>
      <c r="K4" s="755" t="s">
        <v>9</v>
      </c>
      <c r="L4" s="755"/>
      <c r="M4" s="755"/>
      <c r="N4" s="752" t="s">
        <v>10</v>
      </c>
      <c r="O4" s="754" t="s">
        <v>89</v>
      </c>
      <c r="P4" s="755" t="s">
        <v>9</v>
      </c>
      <c r="Q4" s="755"/>
      <c r="R4" s="755"/>
      <c r="S4" s="752" t="s">
        <v>10</v>
      </c>
      <c r="T4" s="754" t="s">
        <v>89</v>
      </c>
      <c r="U4" s="755" t="s">
        <v>9</v>
      </c>
      <c r="V4" s="755"/>
      <c r="W4" s="755"/>
      <c r="X4" s="752" t="s">
        <v>10</v>
      </c>
    </row>
    <row r="5" spans="1:24" s="10" customFormat="1" ht="9.75" customHeight="1" x14ac:dyDescent="0.2">
      <c r="A5" s="760"/>
      <c r="B5" s="760"/>
      <c r="C5" s="760"/>
      <c r="D5" s="761"/>
      <c r="E5" s="754"/>
      <c r="F5" s="9" t="s">
        <v>90</v>
      </c>
      <c r="G5" s="9" t="s">
        <v>12</v>
      </c>
      <c r="H5" s="9" t="s">
        <v>13</v>
      </c>
      <c r="I5" s="752"/>
      <c r="J5" s="754"/>
      <c r="K5" s="9" t="s">
        <v>90</v>
      </c>
      <c r="L5" s="9" t="s">
        <v>12</v>
      </c>
      <c r="M5" s="9" t="s">
        <v>13</v>
      </c>
      <c r="N5" s="752"/>
      <c r="O5" s="754"/>
      <c r="P5" s="9" t="s">
        <v>90</v>
      </c>
      <c r="Q5" s="9" t="s">
        <v>12</v>
      </c>
      <c r="R5" s="9" t="s">
        <v>13</v>
      </c>
      <c r="S5" s="752"/>
      <c r="T5" s="754"/>
      <c r="U5" s="9" t="s">
        <v>90</v>
      </c>
      <c r="V5" s="9" t="s">
        <v>12</v>
      </c>
      <c r="W5" s="9" t="s">
        <v>13</v>
      </c>
      <c r="X5" s="752"/>
    </row>
    <row r="6" spans="1:24" s="7" customFormat="1" ht="9.75" customHeight="1" x14ac:dyDescent="0.2">
      <c r="A6" s="11" t="s">
        <v>14</v>
      </c>
      <c r="B6" s="753" t="s">
        <v>15</v>
      </c>
      <c r="C6" s="753"/>
      <c r="D6" s="12" t="s">
        <v>16</v>
      </c>
      <c r="E6" s="13">
        <f>SUM(E7:E9)</f>
        <v>55733580</v>
      </c>
      <c r="F6" s="13">
        <f>SUM(F7:F9)</f>
        <v>59425080</v>
      </c>
      <c r="G6" s="13">
        <f>SUM(G7:G9)</f>
        <v>30996174</v>
      </c>
      <c r="H6" s="14">
        <f t="shared" ref="H6:H36" si="0">G6/F6*100</f>
        <v>52.160087962860125</v>
      </c>
      <c r="I6" s="13">
        <f>SUM(I7:I9)</f>
        <v>28032568</v>
      </c>
      <c r="J6" s="13">
        <f>SUM(J7:J9)</f>
        <v>13830390</v>
      </c>
      <c r="K6" s="13">
        <f t="shared" ref="K6:X6" si="1">SUM(K7:K9)</f>
        <v>16536390</v>
      </c>
      <c r="L6" s="13">
        <f t="shared" si="1"/>
        <v>9231798</v>
      </c>
      <c r="M6" s="14">
        <f t="shared" ref="M6:M36" si="2">L6/K6*100</f>
        <v>55.827166630685419</v>
      </c>
      <c r="N6" s="13">
        <f t="shared" si="1"/>
        <v>9308985</v>
      </c>
      <c r="O6" s="13">
        <f t="shared" si="1"/>
        <v>41903190</v>
      </c>
      <c r="P6" s="13">
        <f t="shared" si="1"/>
        <v>42888690</v>
      </c>
      <c r="Q6" s="13">
        <f t="shared" si="1"/>
        <v>21764376</v>
      </c>
      <c r="R6" s="14">
        <f t="shared" ref="R6:R36" si="3">Q6/P6*100</f>
        <v>50.746189729739946</v>
      </c>
      <c r="S6" s="13">
        <f t="shared" si="1"/>
        <v>18723583</v>
      </c>
      <c r="T6" s="13">
        <f t="shared" si="1"/>
        <v>244000</v>
      </c>
      <c r="U6" s="13">
        <f t="shared" si="1"/>
        <v>244000</v>
      </c>
      <c r="V6" s="13">
        <f t="shared" si="1"/>
        <v>171585</v>
      </c>
      <c r="W6" s="14">
        <f t="shared" ref="W6:W36" si="4">V6/U6*100</f>
        <v>70.3217213114754</v>
      </c>
      <c r="X6" s="13">
        <f t="shared" si="1"/>
        <v>180080</v>
      </c>
    </row>
    <row r="7" spans="1:24" s="7" customFormat="1" ht="9.75" x14ac:dyDescent="0.2">
      <c r="A7" s="15" t="s">
        <v>17</v>
      </c>
      <c r="B7" s="750" t="s">
        <v>18</v>
      </c>
      <c r="C7" s="750"/>
      <c r="D7" s="16" t="s">
        <v>16</v>
      </c>
      <c r="E7" s="17">
        <f t="shared" ref="E7:G10" si="5">SUM(J7,O7)</f>
        <v>5999000</v>
      </c>
      <c r="F7" s="17">
        <f t="shared" si="5"/>
        <v>6016000</v>
      </c>
      <c r="G7" s="17">
        <f t="shared" si="5"/>
        <v>3851668</v>
      </c>
      <c r="H7" s="18">
        <f t="shared" si="0"/>
        <v>64.023736702127664</v>
      </c>
      <c r="I7" s="17">
        <f>SUM(N7,S7)</f>
        <v>4061082</v>
      </c>
      <c r="J7" s="42">
        <v>5999000</v>
      </c>
      <c r="K7" s="19">
        <v>6016000</v>
      </c>
      <c r="L7" s="19">
        <v>3851668</v>
      </c>
      <c r="M7" s="18">
        <f t="shared" si="2"/>
        <v>64.023736702127664</v>
      </c>
      <c r="N7" s="19">
        <v>4061082</v>
      </c>
      <c r="O7" s="19"/>
      <c r="P7" s="19"/>
      <c r="Q7" s="19"/>
      <c r="R7" s="18" t="e">
        <f t="shared" si="3"/>
        <v>#DIV/0!</v>
      </c>
      <c r="S7" s="19"/>
      <c r="T7" s="19">
        <v>244000</v>
      </c>
      <c r="U7" s="19">
        <v>244000</v>
      </c>
      <c r="V7" s="19">
        <v>171585</v>
      </c>
      <c r="W7" s="18">
        <f t="shared" si="4"/>
        <v>70.3217213114754</v>
      </c>
      <c r="X7" s="19">
        <v>180080</v>
      </c>
    </row>
    <row r="8" spans="1:24" s="7" customFormat="1" ht="9.75" x14ac:dyDescent="0.2">
      <c r="A8" s="20" t="s">
        <v>19</v>
      </c>
      <c r="B8" s="758" t="s">
        <v>20</v>
      </c>
      <c r="C8" s="758"/>
      <c r="D8" s="16" t="s">
        <v>16</v>
      </c>
      <c r="E8" s="17">
        <f t="shared" si="5"/>
        <v>1100</v>
      </c>
      <c r="F8" s="17">
        <f t="shared" si="5"/>
        <v>1100</v>
      </c>
      <c r="G8" s="17">
        <f t="shared" si="5"/>
        <v>986</v>
      </c>
      <c r="H8" s="18">
        <f t="shared" si="0"/>
        <v>89.63636363636364</v>
      </c>
      <c r="I8" s="17">
        <f>SUM(N8,S8)</f>
        <v>759</v>
      </c>
      <c r="J8" s="43">
        <v>1100</v>
      </c>
      <c r="K8" s="17">
        <v>1100</v>
      </c>
      <c r="L8" s="17">
        <v>986</v>
      </c>
      <c r="M8" s="18">
        <f t="shared" si="2"/>
        <v>89.63636363636364</v>
      </c>
      <c r="N8" s="17">
        <v>759</v>
      </c>
      <c r="O8" s="17"/>
      <c r="P8" s="17"/>
      <c r="Q8" s="17"/>
      <c r="R8" s="18" t="e">
        <f t="shared" si="3"/>
        <v>#DIV/0!</v>
      </c>
      <c r="S8" s="17"/>
      <c r="T8" s="17"/>
      <c r="U8" s="17"/>
      <c r="V8" s="17"/>
      <c r="W8" s="18" t="e">
        <f t="shared" si="4"/>
        <v>#DIV/0!</v>
      </c>
      <c r="X8" s="17"/>
    </row>
    <row r="9" spans="1:24" s="7" customFormat="1" ht="9.75" x14ac:dyDescent="0.2">
      <c r="A9" s="20" t="s">
        <v>21</v>
      </c>
      <c r="B9" s="21" t="s">
        <v>22</v>
      </c>
      <c r="C9" s="22"/>
      <c r="D9" s="16" t="s">
        <v>16</v>
      </c>
      <c r="E9" s="17">
        <f t="shared" si="5"/>
        <v>49733480</v>
      </c>
      <c r="F9" s="17">
        <f t="shared" si="5"/>
        <v>53407980</v>
      </c>
      <c r="G9" s="17">
        <f t="shared" si="5"/>
        <v>27143520</v>
      </c>
      <c r="H9" s="18">
        <f t="shared" si="0"/>
        <v>50.822966904945666</v>
      </c>
      <c r="I9" s="17">
        <f>SUM(N9,S9)</f>
        <v>23970727</v>
      </c>
      <c r="J9" s="43">
        <v>7830290</v>
      </c>
      <c r="K9" s="17">
        <v>10519290</v>
      </c>
      <c r="L9" s="17">
        <v>5379144</v>
      </c>
      <c r="M9" s="18">
        <f t="shared" si="2"/>
        <v>51.135998722347232</v>
      </c>
      <c r="N9" s="17">
        <v>5247144</v>
      </c>
      <c r="O9" s="17">
        <v>41903190</v>
      </c>
      <c r="P9" s="17">
        <v>42888690</v>
      </c>
      <c r="Q9" s="17">
        <v>21764376</v>
      </c>
      <c r="R9" s="18">
        <f t="shared" si="3"/>
        <v>50.746189729739946</v>
      </c>
      <c r="S9" s="17">
        <v>18723583</v>
      </c>
      <c r="T9" s="17"/>
      <c r="U9" s="17"/>
      <c r="V9" s="17"/>
      <c r="W9" s="18" t="e">
        <f t="shared" si="4"/>
        <v>#DIV/0!</v>
      </c>
      <c r="X9" s="17"/>
    </row>
    <row r="10" spans="1:24" s="7" customFormat="1" ht="9.75" x14ac:dyDescent="0.2">
      <c r="A10" s="11" t="s">
        <v>23</v>
      </c>
      <c r="B10" s="753" t="s">
        <v>24</v>
      </c>
      <c r="C10" s="753"/>
      <c r="D10" s="12" t="s">
        <v>16</v>
      </c>
      <c r="E10" s="23">
        <f t="shared" si="5"/>
        <v>0</v>
      </c>
      <c r="F10" s="23">
        <f t="shared" si="5"/>
        <v>300000</v>
      </c>
      <c r="G10" s="23">
        <f t="shared" si="5"/>
        <v>300000</v>
      </c>
      <c r="H10" s="14">
        <f t="shared" si="0"/>
        <v>100</v>
      </c>
      <c r="I10" s="23">
        <v>1292000</v>
      </c>
      <c r="J10" s="24">
        <v>0</v>
      </c>
      <c r="K10" s="23">
        <v>300000</v>
      </c>
      <c r="L10" s="23">
        <v>300000</v>
      </c>
      <c r="M10" s="14">
        <f t="shared" si="2"/>
        <v>100</v>
      </c>
      <c r="N10" s="23"/>
      <c r="O10" s="23"/>
      <c r="P10" s="23"/>
      <c r="Q10" s="23"/>
      <c r="R10" s="14" t="e">
        <f t="shared" si="3"/>
        <v>#DIV/0!</v>
      </c>
      <c r="S10" s="23"/>
      <c r="T10" s="23"/>
      <c r="U10" s="23"/>
      <c r="V10" s="23"/>
      <c r="W10" s="14" t="e">
        <f t="shared" si="4"/>
        <v>#DIV/0!</v>
      </c>
      <c r="X10" s="23"/>
    </row>
    <row r="11" spans="1:24" s="7" customFormat="1" ht="9.75" x14ac:dyDescent="0.2">
      <c r="A11" s="11" t="s">
        <v>25</v>
      </c>
      <c r="B11" s="753" t="s">
        <v>26</v>
      </c>
      <c r="C11" s="753"/>
      <c r="D11" s="12" t="s">
        <v>16</v>
      </c>
      <c r="E11" s="13">
        <f>SUM(E12:E31)</f>
        <v>55733580</v>
      </c>
      <c r="F11" s="13">
        <f>SUM(F12:F31)</f>
        <v>59425080</v>
      </c>
      <c r="G11" s="13">
        <f>SUM(G12:G31)</f>
        <v>29068146</v>
      </c>
      <c r="H11" s="14">
        <f t="shared" si="0"/>
        <v>48.915619465720532</v>
      </c>
      <c r="I11" s="13">
        <f>SUM(I12:I31)</f>
        <v>26711084.09</v>
      </c>
      <c r="J11" s="13">
        <f>SUM(J12:J31)</f>
        <v>13830390</v>
      </c>
      <c r="K11" s="13">
        <f>SUM(K12:K31)</f>
        <v>16536390</v>
      </c>
      <c r="L11" s="13">
        <f>SUM(L12:L31)</f>
        <v>7240075</v>
      </c>
      <c r="M11" s="14">
        <f t="shared" si="2"/>
        <v>43.782681709853236</v>
      </c>
      <c r="N11" s="13">
        <f>SUM(N12:N31)</f>
        <v>7987501.0899999999</v>
      </c>
      <c r="O11" s="13">
        <f>SUM(O12:O31)</f>
        <v>41903190</v>
      </c>
      <c r="P11" s="13">
        <f>SUM(P12:P31)</f>
        <v>42888690</v>
      </c>
      <c r="Q11" s="13">
        <f>SUM(Q12:Q31)</f>
        <v>21828071</v>
      </c>
      <c r="R11" s="14">
        <f t="shared" si="3"/>
        <v>50.894702076468178</v>
      </c>
      <c r="S11" s="13">
        <f>SUM(S12:S31)</f>
        <v>18723583</v>
      </c>
      <c r="T11" s="13">
        <f>SUM(T12:T31)</f>
        <v>155300</v>
      </c>
      <c r="U11" s="13">
        <f>SUM(U12:U31)</f>
        <v>155300</v>
      </c>
      <c r="V11" s="13">
        <f>SUM(V12:V31)</f>
        <v>86162</v>
      </c>
      <c r="W11" s="14">
        <f t="shared" si="4"/>
        <v>55.481004507405018</v>
      </c>
      <c r="X11" s="13">
        <f>SUM(X12:X31)</f>
        <v>117463</v>
      </c>
    </row>
    <row r="12" spans="1:24" s="7" customFormat="1" ht="9.75" x14ac:dyDescent="0.2">
      <c r="A12" s="15" t="s">
        <v>27</v>
      </c>
      <c r="B12" s="750" t="s">
        <v>28</v>
      </c>
      <c r="C12" s="750"/>
      <c r="D12" s="16" t="s">
        <v>16</v>
      </c>
      <c r="E12" s="17">
        <f t="shared" ref="E12:I29" si="6">SUM(J12,O12)</f>
        <v>6757890</v>
      </c>
      <c r="F12" s="17">
        <f t="shared" si="6"/>
        <v>7339038</v>
      </c>
      <c r="G12" s="17">
        <f>SUM(L12+Q12)</f>
        <v>4407198</v>
      </c>
      <c r="H12" s="18">
        <f t="shared" si="0"/>
        <v>60.051439984368528</v>
      </c>
      <c r="I12" s="17">
        <f t="shared" si="6"/>
        <v>4359550</v>
      </c>
      <c r="J12" s="44">
        <v>6432000</v>
      </c>
      <c r="K12" s="25">
        <v>7031348</v>
      </c>
      <c r="L12" s="25">
        <v>4087457</v>
      </c>
      <c r="M12" s="18">
        <f t="shared" si="2"/>
        <v>58.131911548112825</v>
      </c>
      <c r="N12" s="25">
        <v>4162115</v>
      </c>
      <c r="O12" s="25">
        <v>325890</v>
      </c>
      <c r="P12" s="25">
        <v>307690</v>
      </c>
      <c r="Q12" s="25">
        <v>319741</v>
      </c>
      <c r="R12" s="18">
        <f t="shared" si="3"/>
        <v>103.91660437453281</v>
      </c>
      <c r="S12" s="25">
        <v>197435</v>
      </c>
      <c r="T12" s="25">
        <v>69400</v>
      </c>
      <c r="U12" s="25">
        <v>69400</v>
      </c>
      <c r="V12" s="25">
        <v>44079</v>
      </c>
      <c r="W12" s="18">
        <f t="shared" si="4"/>
        <v>63.514409221902014</v>
      </c>
      <c r="X12" s="26">
        <v>43589</v>
      </c>
    </row>
    <row r="13" spans="1:24" s="7" customFormat="1" ht="9.75" x14ac:dyDescent="0.2">
      <c r="A13" s="15" t="s">
        <v>29</v>
      </c>
      <c r="B13" s="750" t="s">
        <v>30</v>
      </c>
      <c r="C13" s="750"/>
      <c r="D13" s="16" t="s">
        <v>16</v>
      </c>
      <c r="E13" s="17">
        <f t="shared" si="6"/>
        <v>3056000</v>
      </c>
      <c r="F13" s="17">
        <f t="shared" si="6"/>
        <v>2726000</v>
      </c>
      <c r="G13" s="17">
        <f>SUM(L13+Q13)</f>
        <v>903645</v>
      </c>
      <c r="H13" s="18">
        <f t="shared" si="0"/>
        <v>33.149119589141598</v>
      </c>
      <c r="I13" s="17">
        <f t="shared" si="6"/>
        <v>1523971.09</v>
      </c>
      <c r="J13" s="44">
        <v>3056000</v>
      </c>
      <c r="K13" s="17">
        <v>2726000</v>
      </c>
      <c r="L13" s="17">
        <v>903645</v>
      </c>
      <c r="M13" s="18">
        <f t="shared" si="2"/>
        <v>33.149119589141598</v>
      </c>
      <c r="N13" s="17">
        <v>1523971.09</v>
      </c>
      <c r="O13" s="17"/>
      <c r="P13" s="17"/>
      <c r="Q13" s="17"/>
      <c r="R13" s="18" t="e">
        <f t="shared" si="3"/>
        <v>#DIV/0!</v>
      </c>
      <c r="S13" s="17"/>
      <c r="T13" s="17">
        <v>32500</v>
      </c>
      <c r="U13" s="17">
        <v>32500</v>
      </c>
      <c r="V13" s="17">
        <v>5216</v>
      </c>
      <c r="W13" s="18">
        <f t="shared" si="4"/>
        <v>16.049230769230768</v>
      </c>
      <c r="X13" s="17">
        <v>25274</v>
      </c>
    </row>
    <row r="14" spans="1:24" s="7" customFormat="1" ht="9.75" x14ac:dyDescent="0.2">
      <c r="A14" s="15" t="s">
        <v>31</v>
      </c>
      <c r="B14" s="21" t="s">
        <v>32</v>
      </c>
      <c r="C14" s="21"/>
      <c r="D14" s="16" t="s">
        <v>16</v>
      </c>
      <c r="E14" s="17">
        <f t="shared" si="6"/>
        <v>0</v>
      </c>
      <c r="F14" s="17">
        <f t="shared" si="6"/>
        <v>0</v>
      </c>
      <c r="G14" s="17"/>
      <c r="H14" s="18" t="e">
        <f t="shared" si="0"/>
        <v>#DIV/0!</v>
      </c>
      <c r="I14" s="17">
        <f t="shared" si="6"/>
        <v>0</v>
      </c>
      <c r="J14" s="44"/>
      <c r="K14" s="17"/>
      <c r="L14" s="17"/>
      <c r="M14" s="18" t="e">
        <f t="shared" si="2"/>
        <v>#DIV/0!</v>
      </c>
      <c r="N14" s="17"/>
      <c r="O14" s="17"/>
      <c r="P14" s="17"/>
      <c r="Q14" s="17"/>
      <c r="R14" s="18" t="e">
        <f t="shared" si="3"/>
        <v>#DIV/0!</v>
      </c>
      <c r="S14" s="17"/>
      <c r="T14" s="17"/>
      <c r="U14" s="17"/>
      <c r="V14" s="17"/>
      <c r="W14" s="18" t="e">
        <f t="shared" si="4"/>
        <v>#DIV/0!</v>
      </c>
      <c r="X14" s="17"/>
    </row>
    <row r="15" spans="1:24" s="7" customFormat="1" ht="9.75" x14ac:dyDescent="0.2">
      <c r="A15" s="15" t="s">
        <v>33</v>
      </c>
      <c r="B15" s="750" t="s">
        <v>34</v>
      </c>
      <c r="C15" s="750"/>
      <c r="D15" s="16" t="s">
        <v>16</v>
      </c>
      <c r="E15" s="17">
        <f t="shared" si="6"/>
        <v>1175000</v>
      </c>
      <c r="F15" s="17">
        <f t="shared" si="6"/>
        <v>2830000</v>
      </c>
      <c r="G15" s="17">
        <f t="shared" ref="G15:G21" si="7">SUM(L15+Q15)</f>
        <v>682192</v>
      </c>
      <c r="H15" s="18">
        <f t="shared" si="0"/>
        <v>24.105724381625443</v>
      </c>
      <c r="I15" s="17">
        <f t="shared" si="6"/>
        <v>587882.16</v>
      </c>
      <c r="J15" s="44">
        <v>1175000</v>
      </c>
      <c r="K15" s="17">
        <v>2830000</v>
      </c>
      <c r="L15" s="17">
        <v>682192</v>
      </c>
      <c r="M15" s="18">
        <f t="shared" si="2"/>
        <v>24.105724381625443</v>
      </c>
      <c r="N15" s="17">
        <v>587882.16</v>
      </c>
      <c r="O15" s="17"/>
      <c r="P15" s="17"/>
      <c r="Q15" s="17"/>
      <c r="R15" s="18" t="e">
        <f t="shared" si="3"/>
        <v>#DIV/0!</v>
      </c>
      <c r="S15" s="17"/>
      <c r="T15" s="17">
        <v>1600</v>
      </c>
      <c r="U15" s="17">
        <v>1600</v>
      </c>
      <c r="V15" s="17">
        <v>2196</v>
      </c>
      <c r="W15" s="18">
        <f t="shared" si="4"/>
        <v>137.25</v>
      </c>
      <c r="X15" s="17">
        <v>586</v>
      </c>
    </row>
    <row r="16" spans="1:24" s="7" customFormat="1" ht="9.75" x14ac:dyDescent="0.2">
      <c r="A16" s="15" t="s">
        <v>35</v>
      </c>
      <c r="B16" s="750" t="s">
        <v>36</v>
      </c>
      <c r="C16" s="750"/>
      <c r="D16" s="16" t="s">
        <v>16</v>
      </c>
      <c r="E16" s="17">
        <f t="shared" si="6"/>
        <v>44300</v>
      </c>
      <c r="F16" s="17">
        <f t="shared" si="6"/>
        <v>64300</v>
      </c>
      <c r="G16" s="17">
        <f t="shared" si="7"/>
        <v>60139</v>
      </c>
      <c r="H16" s="18">
        <f t="shared" si="0"/>
        <v>93.52877138413686</v>
      </c>
      <c r="I16" s="17">
        <f t="shared" si="6"/>
        <v>51646</v>
      </c>
      <c r="J16" s="44">
        <v>5600</v>
      </c>
      <c r="K16" s="17">
        <v>5600</v>
      </c>
      <c r="L16" s="17">
        <v>2683</v>
      </c>
      <c r="M16" s="18">
        <f t="shared" si="2"/>
        <v>47.910714285714285</v>
      </c>
      <c r="N16" s="17">
        <v>6398</v>
      </c>
      <c r="O16" s="17">
        <v>38700</v>
      </c>
      <c r="P16" s="17">
        <v>58700</v>
      </c>
      <c r="Q16" s="17">
        <v>57456</v>
      </c>
      <c r="R16" s="18">
        <f t="shared" si="3"/>
        <v>97.880749574105621</v>
      </c>
      <c r="S16" s="17">
        <v>45248</v>
      </c>
      <c r="T16" s="17"/>
      <c r="U16" s="17"/>
      <c r="V16" s="17"/>
      <c r="W16" s="18" t="e">
        <f t="shared" si="4"/>
        <v>#DIV/0!</v>
      </c>
      <c r="X16" s="17"/>
    </row>
    <row r="17" spans="1:24" s="7" customFormat="1" ht="9.75" x14ac:dyDescent="0.2">
      <c r="A17" s="15" t="s">
        <v>37</v>
      </c>
      <c r="B17" s="21" t="s">
        <v>38</v>
      </c>
      <c r="C17" s="21"/>
      <c r="D17" s="16" t="s">
        <v>16</v>
      </c>
      <c r="E17" s="17">
        <f t="shared" si="6"/>
        <v>5000</v>
      </c>
      <c r="F17" s="17">
        <f t="shared" si="6"/>
        <v>5962</v>
      </c>
      <c r="G17" s="17">
        <f t="shared" si="7"/>
        <v>3645</v>
      </c>
      <c r="H17" s="18">
        <f t="shared" si="0"/>
        <v>61.137202281113723</v>
      </c>
      <c r="I17" s="17">
        <f t="shared" si="6"/>
        <v>3603</v>
      </c>
      <c r="J17" s="44">
        <v>5000</v>
      </c>
      <c r="K17" s="17">
        <v>5962</v>
      </c>
      <c r="L17" s="17">
        <v>3645</v>
      </c>
      <c r="M17" s="18">
        <f t="shared" si="2"/>
        <v>61.137202281113723</v>
      </c>
      <c r="N17" s="17">
        <v>3603</v>
      </c>
      <c r="O17" s="17"/>
      <c r="P17" s="17"/>
      <c r="Q17" s="17"/>
      <c r="R17" s="18" t="e">
        <f t="shared" si="3"/>
        <v>#DIV/0!</v>
      </c>
      <c r="S17" s="17"/>
      <c r="T17" s="17"/>
      <c r="U17" s="17"/>
      <c r="V17" s="17"/>
      <c r="W17" s="18" t="e">
        <f t="shared" si="4"/>
        <v>#DIV/0!</v>
      </c>
      <c r="X17" s="17"/>
    </row>
    <row r="18" spans="1:24" s="7" customFormat="1" ht="9.75" x14ac:dyDescent="0.2">
      <c r="A18" s="15" t="s">
        <v>39</v>
      </c>
      <c r="B18" s="750" t="s">
        <v>40</v>
      </c>
      <c r="C18" s="750"/>
      <c r="D18" s="16" t="s">
        <v>16</v>
      </c>
      <c r="E18" s="17">
        <f t="shared" si="6"/>
        <v>815700</v>
      </c>
      <c r="F18" s="17">
        <f t="shared" si="6"/>
        <v>940700</v>
      </c>
      <c r="G18" s="17">
        <f t="shared" si="7"/>
        <v>586767</v>
      </c>
      <c r="H18" s="18">
        <f t="shared" si="0"/>
        <v>62.375571383012648</v>
      </c>
      <c r="I18" s="17">
        <f t="shared" si="6"/>
        <v>465467</v>
      </c>
      <c r="J18" s="44">
        <v>645700</v>
      </c>
      <c r="K18" s="17">
        <v>645700</v>
      </c>
      <c r="L18" s="17">
        <v>337213</v>
      </c>
      <c r="M18" s="18">
        <f t="shared" si="2"/>
        <v>52.224407619637603</v>
      </c>
      <c r="N18" s="17">
        <v>326504</v>
      </c>
      <c r="O18" s="17">
        <v>170000</v>
      </c>
      <c r="P18" s="17">
        <v>295000</v>
      </c>
      <c r="Q18" s="17">
        <v>249554</v>
      </c>
      <c r="R18" s="18">
        <f t="shared" si="3"/>
        <v>84.59457627118644</v>
      </c>
      <c r="S18" s="17">
        <v>138963</v>
      </c>
      <c r="T18" s="17">
        <v>5100</v>
      </c>
      <c r="U18" s="17">
        <v>5100</v>
      </c>
      <c r="V18" s="17">
        <v>1058</v>
      </c>
      <c r="W18" s="18">
        <f t="shared" si="4"/>
        <v>20.745098039215687</v>
      </c>
      <c r="X18" s="17">
        <v>6924</v>
      </c>
    </row>
    <row r="19" spans="1:24" s="28" customFormat="1" ht="9.75" x14ac:dyDescent="0.2">
      <c r="A19" s="15" t="s">
        <v>41</v>
      </c>
      <c r="B19" s="750" t="s">
        <v>42</v>
      </c>
      <c r="C19" s="750"/>
      <c r="D19" s="16" t="s">
        <v>16</v>
      </c>
      <c r="E19" s="17">
        <f t="shared" si="6"/>
        <v>30740890</v>
      </c>
      <c r="F19" s="17">
        <f t="shared" si="6"/>
        <v>31427890</v>
      </c>
      <c r="G19" s="17">
        <f t="shared" si="7"/>
        <v>15892045</v>
      </c>
      <c r="H19" s="18">
        <f t="shared" si="0"/>
        <v>50.566694105140378</v>
      </c>
      <c r="I19" s="17">
        <f t="shared" si="6"/>
        <v>13752873</v>
      </c>
      <c r="J19" s="45">
        <v>466890</v>
      </c>
      <c r="K19" s="17">
        <v>466890</v>
      </c>
      <c r="L19" s="17">
        <v>273250</v>
      </c>
      <c r="M19" s="18">
        <f t="shared" si="2"/>
        <v>58.525562766390372</v>
      </c>
      <c r="N19" s="17">
        <v>292162</v>
      </c>
      <c r="O19" s="17">
        <v>30274000</v>
      </c>
      <c r="P19" s="17">
        <v>30961000</v>
      </c>
      <c r="Q19" s="17">
        <v>15618795</v>
      </c>
      <c r="R19" s="18">
        <f t="shared" si="3"/>
        <v>50.446674849003578</v>
      </c>
      <c r="S19" s="17">
        <v>13460711</v>
      </c>
      <c r="T19" s="27">
        <v>32200</v>
      </c>
      <c r="U19" s="27">
        <v>32200</v>
      </c>
      <c r="V19" s="27">
        <v>22232</v>
      </c>
      <c r="W19" s="18">
        <f t="shared" si="4"/>
        <v>69.043478260869563</v>
      </c>
      <c r="X19" s="27">
        <v>22054</v>
      </c>
    </row>
    <row r="20" spans="1:24" s="7" customFormat="1" ht="9.75" x14ac:dyDescent="0.2">
      <c r="A20" s="15" t="s">
        <v>43</v>
      </c>
      <c r="B20" s="750" t="s">
        <v>44</v>
      </c>
      <c r="C20" s="750"/>
      <c r="D20" s="16" t="s">
        <v>16</v>
      </c>
      <c r="E20" s="17">
        <f t="shared" si="6"/>
        <v>10512500</v>
      </c>
      <c r="F20" s="17">
        <f t="shared" si="6"/>
        <v>10651160</v>
      </c>
      <c r="G20" s="17">
        <f t="shared" si="7"/>
        <v>5311729</v>
      </c>
      <c r="H20" s="18">
        <f t="shared" si="0"/>
        <v>49.869957826189825</v>
      </c>
      <c r="I20" s="17">
        <f t="shared" si="6"/>
        <v>4677249</v>
      </c>
      <c r="J20" s="44">
        <v>120600</v>
      </c>
      <c r="K20" s="17">
        <v>120600</v>
      </c>
      <c r="L20" s="17">
        <v>58688</v>
      </c>
      <c r="M20" s="18">
        <f t="shared" si="2"/>
        <v>48.663349917081263</v>
      </c>
      <c r="N20" s="17">
        <v>62698</v>
      </c>
      <c r="O20" s="17">
        <v>10391900</v>
      </c>
      <c r="P20" s="17">
        <v>10530560</v>
      </c>
      <c r="Q20" s="17">
        <v>5253041</v>
      </c>
      <c r="R20" s="18">
        <f t="shared" si="3"/>
        <v>49.883776361371098</v>
      </c>
      <c r="S20" s="17">
        <v>4614551</v>
      </c>
      <c r="T20" s="17">
        <v>11500</v>
      </c>
      <c r="U20" s="17">
        <v>11500</v>
      </c>
      <c r="V20" s="17">
        <v>7757</v>
      </c>
      <c r="W20" s="18">
        <f t="shared" si="4"/>
        <v>67.452173913043481</v>
      </c>
      <c r="X20" s="17">
        <v>7156</v>
      </c>
    </row>
    <row r="21" spans="1:24" s="7" customFormat="1" ht="9.75" x14ac:dyDescent="0.2">
      <c r="A21" s="15" t="s">
        <v>45</v>
      </c>
      <c r="B21" s="750" t="s">
        <v>46</v>
      </c>
      <c r="C21" s="750"/>
      <c r="D21" s="16" t="s">
        <v>16</v>
      </c>
      <c r="E21" s="17">
        <f t="shared" si="6"/>
        <v>656800</v>
      </c>
      <c r="F21" s="17">
        <f t="shared" si="6"/>
        <v>664940</v>
      </c>
      <c r="G21" s="17">
        <f t="shared" si="7"/>
        <v>312619</v>
      </c>
      <c r="H21" s="18">
        <f t="shared" si="0"/>
        <v>47.01461786025807</v>
      </c>
      <c r="I21" s="17">
        <f t="shared" si="6"/>
        <v>270639.38</v>
      </c>
      <c r="J21" s="44">
        <v>10100</v>
      </c>
      <c r="K21" s="17">
        <v>10100</v>
      </c>
      <c r="L21" s="17">
        <v>4163</v>
      </c>
      <c r="M21" s="18">
        <f t="shared" si="2"/>
        <v>41.217821782178213</v>
      </c>
      <c r="N21" s="17">
        <v>3964.38</v>
      </c>
      <c r="O21" s="17">
        <v>646700</v>
      </c>
      <c r="P21" s="17">
        <v>654840</v>
      </c>
      <c r="Q21" s="17">
        <v>308456</v>
      </c>
      <c r="R21" s="18">
        <f t="shared" si="3"/>
        <v>47.104025410787372</v>
      </c>
      <c r="S21" s="17">
        <v>266675</v>
      </c>
      <c r="T21" s="17">
        <v>500</v>
      </c>
      <c r="U21" s="17">
        <v>500</v>
      </c>
      <c r="V21" s="17">
        <v>499</v>
      </c>
      <c r="W21" s="18">
        <f t="shared" si="4"/>
        <v>99.8</v>
      </c>
      <c r="X21" s="17">
        <v>512</v>
      </c>
    </row>
    <row r="22" spans="1:24" s="7" customFormat="1" ht="9.75" x14ac:dyDescent="0.2">
      <c r="A22" s="15" t="s">
        <v>47</v>
      </c>
      <c r="B22" s="750" t="s">
        <v>48</v>
      </c>
      <c r="C22" s="750"/>
      <c r="D22" s="16" t="s">
        <v>16</v>
      </c>
      <c r="E22" s="17">
        <f t="shared" si="6"/>
        <v>0</v>
      </c>
      <c r="F22" s="17">
        <f t="shared" si="6"/>
        <v>0</v>
      </c>
      <c r="G22" s="17"/>
      <c r="H22" s="18" t="e">
        <f t="shared" si="0"/>
        <v>#DIV/0!</v>
      </c>
      <c r="I22" s="17">
        <f t="shared" si="6"/>
        <v>0</v>
      </c>
      <c r="J22" s="44"/>
      <c r="K22" s="17"/>
      <c r="L22" s="17"/>
      <c r="M22" s="18" t="e">
        <f t="shared" si="2"/>
        <v>#DIV/0!</v>
      </c>
      <c r="N22" s="17"/>
      <c r="O22" s="17"/>
      <c r="P22" s="17"/>
      <c r="Q22" s="17"/>
      <c r="R22" s="18" t="e">
        <f t="shared" si="3"/>
        <v>#DIV/0!</v>
      </c>
      <c r="S22" s="17"/>
      <c r="T22" s="17"/>
      <c r="U22" s="17"/>
      <c r="V22" s="17"/>
      <c r="W22" s="18" t="e">
        <f t="shared" si="4"/>
        <v>#DIV/0!</v>
      </c>
      <c r="X22" s="17"/>
    </row>
    <row r="23" spans="1:24" s="7" customFormat="1" ht="9.75" x14ac:dyDescent="0.2">
      <c r="A23" s="15" t="s">
        <v>49</v>
      </c>
      <c r="B23" s="21" t="s">
        <v>50</v>
      </c>
      <c r="C23" s="21"/>
      <c r="D23" s="16" t="s">
        <v>16</v>
      </c>
      <c r="E23" s="17">
        <f t="shared" si="6"/>
        <v>0</v>
      </c>
      <c r="F23" s="17">
        <f t="shared" si="6"/>
        <v>0</v>
      </c>
      <c r="G23" s="17"/>
      <c r="H23" s="18" t="e">
        <f t="shared" si="0"/>
        <v>#DIV/0!</v>
      </c>
      <c r="I23" s="17">
        <f t="shared" si="6"/>
        <v>0</v>
      </c>
      <c r="J23" s="44"/>
      <c r="K23" s="17"/>
      <c r="L23" s="17"/>
      <c r="M23" s="18" t="e">
        <f t="shared" si="2"/>
        <v>#DIV/0!</v>
      </c>
      <c r="N23" s="17"/>
      <c r="O23" s="17"/>
      <c r="P23" s="17"/>
      <c r="Q23" s="17"/>
      <c r="R23" s="18" t="e">
        <f t="shared" si="3"/>
        <v>#DIV/0!</v>
      </c>
      <c r="S23" s="17"/>
      <c r="T23" s="17"/>
      <c r="U23" s="17"/>
      <c r="V23" s="17"/>
      <c r="W23" s="18" t="e">
        <f t="shared" si="4"/>
        <v>#DIV/0!</v>
      </c>
      <c r="X23" s="17"/>
    </row>
    <row r="24" spans="1:24" s="7" customFormat="1" ht="9.75" x14ac:dyDescent="0.2">
      <c r="A24" s="15" t="s">
        <v>51</v>
      </c>
      <c r="B24" s="21" t="s">
        <v>52</v>
      </c>
      <c r="C24" s="21"/>
      <c r="D24" s="16" t="s">
        <v>16</v>
      </c>
      <c r="E24" s="17">
        <f t="shared" si="6"/>
        <v>0</v>
      </c>
      <c r="F24" s="17">
        <f t="shared" si="6"/>
        <v>0</v>
      </c>
      <c r="G24" s="17"/>
      <c r="H24" s="18" t="e">
        <f t="shared" si="0"/>
        <v>#DIV/0!</v>
      </c>
      <c r="I24" s="17">
        <f t="shared" si="6"/>
        <v>0</v>
      </c>
      <c r="J24" s="44"/>
      <c r="K24" s="17"/>
      <c r="L24" s="17"/>
      <c r="M24" s="18" t="e">
        <f t="shared" si="2"/>
        <v>#DIV/0!</v>
      </c>
      <c r="N24" s="17"/>
      <c r="O24" s="17"/>
      <c r="P24" s="17"/>
      <c r="Q24" s="17"/>
      <c r="R24" s="18" t="e">
        <f t="shared" si="3"/>
        <v>#DIV/0!</v>
      </c>
      <c r="S24" s="17"/>
      <c r="T24" s="17"/>
      <c r="U24" s="17"/>
      <c r="V24" s="17"/>
      <c r="W24" s="18" t="e">
        <f t="shared" si="4"/>
        <v>#DIV/0!</v>
      </c>
      <c r="X24" s="17"/>
    </row>
    <row r="25" spans="1:24" s="7" customFormat="1" ht="9.75" x14ac:dyDescent="0.2">
      <c r="A25" s="15" t="s">
        <v>53</v>
      </c>
      <c r="B25" s="21" t="s">
        <v>54</v>
      </c>
      <c r="C25" s="21"/>
      <c r="D25" s="16" t="s">
        <v>16</v>
      </c>
      <c r="E25" s="17">
        <f t="shared" si="6"/>
        <v>0</v>
      </c>
      <c r="F25" s="17">
        <f t="shared" si="6"/>
        <v>0</v>
      </c>
      <c r="G25" s="17"/>
      <c r="H25" s="18" t="e">
        <f t="shared" si="0"/>
        <v>#DIV/0!</v>
      </c>
      <c r="I25" s="17">
        <f t="shared" si="6"/>
        <v>0</v>
      </c>
      <c r="J25" s="44"/>
      <c r="K25" s="25"/>
      <c r="L25" s="25"/>
      <c r="M25" s="18" t="e">
        <f t="shared" si="2"/>
        <v>#DIV/0!</v>
      </c>
      <c r="N25" s="25"/>
      <c r="O25" s="25"/>
      <c r="P25" s="25"/>
      <c r="Q25" s="25"/>
      <c r="R25" s="18" t="e">
        <f t="shared" si="3"/>
        <v>#DIV/0!</v>
      </c>
      <c r="S25" s="25"/>
      <c r="T25" s="25"/>
      <c r="U25" s="25"/>
      <c r="V25" s="25"/>
      <c r="W25" s="18" t="e">
        <f t="shared" si="4"/>
        <v>#DIV/0!</v>
      </c>
      <c r="X25" s="25"/>
    </row>
    <row r="26" spans="1:24" s="30" customFormat="1" ht="9.75" x14ac:dyDescent="0.2">
      <c r="A26" s="15" t="s">
        <v>55</v>
      </c>
      <c r="B26" s="750" t="s">
        <v>56</v>
      </c>
      <c r="C26" s="750"/>
      <c r="D26" s="16" t="s">
        <v>16</v>
      </c>
      <c r="E26" s="17">
        <f t="shared" si="6"/>
        <v>1577500</v>
      </c>
      <c r="F26" s="17">
        <f t="shared" si="6"/>
        <v>1577500</v>
      </c>
      <c r="G26" s="17">
        <f>SUM(L26+Q26)</f>
        <v>777870</v>
      </c>
      <c r="H26" s="29">
        <f>G26/F26*100</f>
        <v>49.310301109350235</v>
      </c>
      <c r="I26" s="17">
        <f>SUM(N26,S26)</f>
        <v>705676.44</v>
      </c>
      <c r="J26" s="44">
        <v>1577500</v>
      </c>
      <c r="K26" s="26">
        <v>1577500</v>
      </c>
      <c r="L26" s="26">
        <v>777870</v>
      </c>
      <c r="M26" s="18">
        <f>L26/K26*100</f>
        <v>49.310301109350235</v>
      </c>
      <c r="N26" s="26">
        <v>705676.44</v>
      </c>
      <c r="O26" s="26"/>
      <c r="P26" s="26"/>
      <c r="Q26" s="26"/>
      <c r="R26" s="18" t="e">
        <f>Q26/P26*100</f>
        <v>#DIV/0!</v>
      </c>
      <c r="S26" s="26"/>
      <c r="T26" s="26">
        <v>2500</v>
      </c>
      <c r="U26" s="46">
        <v>2500</v>
      </c>
      <c r="V26" s="140">
        <v>2897</v>
      </c>
      <c r="W26" s="18">
        <f>V26/U26*100</f>
        <v>115.88000000000001</v>
      </c>
      <c r="X26" s="26">
        <v>11060</v>
      </c>
    </row>
    <row r="27" spans="1:24" s="30" customFormat="1" ht="9.75" x14ac:dyDescent="0.2">
      <c r="A27" s="15" t="s">
        <v>57</v>
      </c>
      <c r="B27" s="21" t="s">
        <v>58</v>
      </c>
      <c r="C27" s="21"/>
      <c r="D27" s="16" t="s">
        <v>16</v>
      </c>
      <c r="E27" s="17">
        <f t="shared" si="6"/>
        <v>0</v>
      </c>
      <c r="F27" s="17">
        <f t="shared" si="6"/>
        <v>0</v>
      </c>
      <c r="G27" s="17"/>
      <c r="H27" s="29" t="e">
        <f t="shared" si="0"/>
        <v>#DIV/0!</v>
      </c>
      <c r="I27" s="17">
        <f t="shared" si="6"/>
        <v>0</v>
      </c>
      <c r="J27" s="44"/>
      <c r="K27" s="26"/>
      <c r="L27" s="26"/>
      <c r="M27" s="18" t="e">
        <f t="shared" si="2"/>
        <v>#DIV/0!</v>
      </c>
      <c r="N27" s="26"/>
      <c r="O27" s="26"/>
      <c r="P27" s="26"/>
      <c r="Q27" s="26"/>
      <c r="R27" s="18" t="e">
        <f t="shared" si="3"/>
        <v>#DIV/0!</v>
      </c>
      <c r="S27" s="26"/>
      <c r="T27" s="46"/>
      <c r="U27" s="46"/>
      <c r="V27" s="46"/>
      <c r="W27" s="18" t="e">
        <f t="shared" si="4"/>
        <v>#DIV/0!</v>
      </c>
      <c r="X27" s="26"/>
    </row>
    <row r="28" spans="1:24" s="30" customFormat="1" ht="9.75" x14ac:dyDescent="0.2">
      <c r="A28" s="15" t="s">
        <v>59</v>
      </c>
      <c r="B28" s="21" t="s">
        <v>60</v>
      </c>
      <c r="C28" s="21"/>
      <c r="D28" s="16" t="s">
        <v>16</v>
      </c>
      <c r="E28" s="17">
        <f>SUM(J28,O28)</f>
        <v>376000</v>
      </c>
      <c r="F28" s="17">
        <f>SUM(K28,P28)</f>
        <v>1181590</v>
      </c>
      <c r="G28" s="17">
        <f>SUM(L28+Q28)</f>
        <v>116545</v>
      </c>
      <c r="H28" s="29">
        <f>G28/F28*100</f>
        <v>9.8634043957717985</v>
      </c>
      <c r="I28" s="17">
        <f>SUM(N28,S28)</f>
        <v>299168.02</v>
      </c>
      <c r="J28" s="44">
        <v>320000</v>
      </c>
      <c r="K28" s="26">
        <v>1100690</v>
      </c>
      <c r="L28" s="26">
        <v>95517</v>
      </c>
      <c r="M28" s="18">
        <f>L28/K28*100</f>
        <v>8.6779202136841445</v>
      </c>
      <c r="N28" s="26">
        <v>299168.02</v>
      </c>
      <c r="O28" s="26">
        <v>56000</v>
      </c>
      <c r="P28" s="26">
        <v>80900</v>
      </c>
      <c r="Q28" s="26">
        <v>21028</v>
      </c>
      <c r="R28" s="18">
        <f>Q28/P28*100</f>
        <v>25.99258343634116</v>
      </c>
      <c r="S28" s="26">
        <v>0</v>
      </c>
      <c r="T28" s="46"/>
      <c r="U28" s="46"/>
      <c r="V28" s="46">
        <v>228</v>
      </c>
      <c r="W28" s="18" t="e">
        <f>V28/U28*100</f>
        <v>#DIV/0!</v>
      </c>
      <c r="X28" s="26">
        <v>308</v>
      </c>
    </row>
    <row r="29" spans="1:24" s="31" customFormat="1" ht="9.75" x14ac:dyDescent="0.2">
      <c r="A29" s="15" t="s">
        <v>61</v>
      </c>
      <c r="B29" s="21" t="s">
        <v>62</v>
      </c>
      <c r="C29" s="21"/>
      <c r="D29" s="16" t="s">
        <v>16</v>
      </c>
      <c r="E29" s="17">
        <f t="shared" si="6"/>
        <v>16000</v>
      </c>
      <c r="F29" s="17">
        <f t="shared" si="6"/>
        <v>16000</v>
      </c>
      <c r="G29" s="17">
        <f>SUM(L29+Q29)</f>
        <v>13752</v>
      </c>
      <c r="H29" s="29">
        <f t="shared" si="0"/>
        <v>85.95</v>
      </c>
      <c r="I29" s="17">
        <f t="shared" si="6"/>
        <v>13359</v>
      </c>
      <c r="J29" s="44">
        <v>16000</v>
      </c>
      <c r="K29" s="26">
        <v>16000</v>
      </c>
      <c r="L29" s="26">
        <v>13752</v>
      </c>
      <c r="M29" s="18">
        <f t="shared" si="2"/>
        <v>85.95</v>
      </c>
      <c r="N29" s="26">
        <v>13359</v>
      </c>
      <c r="O29" s="26"/>
      <c r="P29" s="26"/>
      <c r="Q29" s="26"/>
      <c r="R29" s="18" t="e">
        <f t="shared" si="3"/>
        <v>#DIV/0!</v>
      </c>
      <c r="S29" s="26"/>
      <c r="T29" s="46"/>
      <c r="U29" s="46"/>
      <c r="V29" s="46"/>
      <c r="W29" s="18" t="e">
        <f t="shared" si="4"/>
        <v>#DIV/0!</v>
      </c>
      <c r="X29" s="46"/>
    </row>
    <row r="30" spans="1:24" s="7" customFormat="1" ht="9.75" x14ac:dyDescent="0.2">
      <c r="A30" s="15" t="s">
        <v>63</v>
      </c>
      <c r="B30" s="21" t="s">
        <v>64</v>
      </c>
      <c r="C30" s="21"/>
      <c r="D30" s="16" t="s">
        <v>16</v>
      </c>
      <c r="E30" s="17">
        <f t="shared" ref="E30:F31" si="8">SUM(J30,O30)</f>
        <v>0</v>
      </c>
      <c r="F30" s="17">
        <f t="shared" si="8"/>
        <v>0</v>
      </c>
      <c r="G30" s="17"/>
      <c r="H30" s="29" t="e">
        <f t="shared" si="0"/>
        <v>#DIV/0!</v>
      </c>
      <c r="I30" s="17">
        <f>SUM(N30,S30)</f>
        <v>0</v>
      </c>
      <c r="J30" s="44"/>
      <c r="K30" s="26"/>
      <c r="L30" s="26"/>
      <c r="M30" s="18" t="e">
        <f t="shared" si="2"/>
        <v>#DIV/0!</v>
      </c>
      <c r="N30" s="26"/>
      <c r="O30" s="26"/>
      <c r="P30" s="26"/>
      <c r="Q30" s="26"/>
      <c r="R30" s="18" t="e">
        <f t="shared" si="3"/>
        <v>#DIV/0!</v>
      </c>
      <c r="S30" s="26"/>
      <c r="T30" s="46"/>
      <c r="U30" s="46"/>
      <c r="V30" s="46"/>
      <c r="W30" s="18" t="e">
        <f t="shared" si="4"/>
        <v>#DIV/0!</v>
      </c>
      <c r="X30" s="46"/>
    </row>
    <row r="31" spans="1:24" s="34" customFormat="1" ht="9.75" x14ac:dyDescent="0.2">
      <c r="A31" s="15" t="s">
        <v>65</v>
      </c>
      <c r="B31" s="21" t="s">
        <v>66</v>
      </c>
      <c r="C31" s="21"/>
      <c r="D31" s="16" t="s">
        <v>16</v>
      </c>
      <c r="E31" s="17">
        <f t="shared" si="8"/>
        <v>0</v>
      </c>
      <c r="F31" s="17">
        <f t="shared" si="8"/>
        <v>0</v>
      </c>
      <c r="G31" s="17"/>
      <c r="H31" s="29" t="e">
        <f t="shared" si="0"/>
        <v>#DIV/0!</v>
      </c>
      <c r="I31" s="17">
        <f>SUM(N31,S31)</f>
        <v>0</v>
      </c>
      <c r="J31" s="44"/>
      <c r="K31" s="32"/>
      <c r="L31" s="32"/>
      <c r="M31" s="18" t="e">
        <f t="shared" si="2"/>
        <v>#DIV/0!</v>
      </c>
      <c r="N31" s="32"/>
      <c r="O31" s="32"/>
      <c r="P31" s="32"/>
      <c r="Q31" s="32"/>
      <c r="R31" s="18" t="e">
        <f t="shared" si="3"/>
        <v>#DIV/0!</v>
      </c>
      <c r="S31" s="32"/>
      <c r="T31" s="33"/>
      <c r="U31" s="33"/>
      <c r="V31" s="33"/>
      <c r="W31" s="18" t="e">
        <f t="shared" si="4"/>
        <v>#DIV/0!</v>
      </c>
      <c r="X31" s="33"/>
    </row>
    <row r="32" spans="1:24" s="34" customFormat="1" ht="9.75" x14ac:dyDescent="0.2">
      <c r="A32" s="15" t="s">
        <v>67</v>
      </c>
      <c r="B32" s="21" t="s">
        <v>68</v>
      </c>
      <c r="C32" s="21"/>
      <c r="D32" s="16" t="s">
        <v>16</v>
      </c>
      <c r="E32" s="17">
        <f>SUM(J32,O32)</f>
        <v>0</v>
      </c>
      <c r="F32" s="17">
        <f>SUM(K32,P32)</f>
        <v>0</v>
      </c>
      <c r="G32" s="17">
        <f>SUM(L32,Q32)</f>
        <v>0</v>
      </c>
      <c r="H32" s="29" t="e">
        <f t="shared" si="0"/>
        <v>#DIV/0!</v>
      </c>
      <c r="I32" s="17">
        <f>SUM(N32,S32)</f>
        <v>0</v>
      </c>
      <c r="J32" s="47"/>
      <c r="K32" s="33"/>
      <c r="L32" s="33"/>
      <c r="M32" s="18" t="e">
        <f t="shared" si="2"/>
        <v>#DIV/0!</v>
      </c>
      <c r="N32" s="33"/>
      <c r="O32" s="33"/>
      <c r="P32" s="33"/>
      <c r="Q32" s="33"/>
      <c r="R32" s="18" t="e">
        <f t="shared" si="3"/>
        <v>#DIV/0!</v>
      </c>
      <c r="S32" s="33"/>
      <c r="T32" s="33"/>
      <c r="U32" s="33"/>
      <c r="V32" s="33"/>
      <c r="W32" s="18" t="e">
        <f t="shared" si="4"/>
        <v>#DIV/0!</v>
      </c>
      <c r="X32" s="33"/>
    </row>
    <row r="33" spans="1:24" s="34" customFormat="1" ht="9.75" x14ac:dyDescent="0.2">
      <c r="A33" s="11" t="s">
        <v>69</v>
      </c>
      <c r="B33" s="35" t="s">
        <v>70</v>
      </c>
      <c r="C33" s="35"/>
      <c r="D33" s="12" t="s">
        <v>16</v>
      </c>
      <c r="E33" s="13">
        <f>E6-E11</f>
        <v>0</v>
      </c>
      <c r="F33" s="13">
        <f>F6-F11</f>
        <v>0</v>
      </c>
      <c r="G33" s="13">
        <f>G6-G11</f>
        <v>1928028</v>
      </c>
      <c r="H33" s="36" t="e">
        <f t="shared" si="0"/>
        <v>#DIV/0!</v>
      </c>
      <c r="I33" s="13">
        <f>I6-I11</f>
        <v>1321483.9100000001</v>
      </c>
      <c r="J33" s="13">
        <f>J6-J11</f>
        <v>0</v>
      </c>
      <c r="K33" s="13">
        <f>K6-K11</f>
        <v>0</v>
      </c>
      <c r="L33" s="13">
        <f>L6-L11</f>
        <v>1991723</v>
      </c>
      <c r="M33" s="14" t="e">
        <f t="shared" si="2"/>
        <v>#DIV/0!</v>
      </c>
      <c r="N33" s="13">
        <f>N6-N11</f>
        <v>1321483.9100000001</v>
      </c>
      <c r="O33" s="13">
        <f>O6-O11</f>
        <v>0</v>
      </c>
      <c r="P33" s="13">
        <f>P6-P11</f>
        <v>0</v>
      </c>
      <c r="Q33" s="13">
        <f>Q6-Q11</f>
        <v>-63695</v>
      </c>
      <c r="R33" s="14" t="e">
        <f t="shared" si="3"/>
        <v>#DIV/0!</v>
      </c>
      <c r="S33" s="13">
        <f>S6-S11</f>
        <v>0</v>
      </c>
      <c r="T33" s="13">
        <f>T6-T11</f>
        <v>88700</v>
      </c>
      <c r="U33" s="13">
        <f>U6-U11</f>
        <v>88700</v>
      </c>
      <c r="V33" s="13">
        <f>V6-V11</f>
        <v>85423</v>
      </c>
      <c r="W33" s="14">
        <f t="shared" si="4"/>
        <v>96.305524239007894</v>
      </c>
      <c r="X33" s="13">
        <f>X6-X11</f>
        <v>62617</v>
      </c>
    </row>
    <row r="34" spans="1:24" s="1" customFormat="1" ht="9.75" x14ac:dyDescent="0.2">
      <c r="A34" s="37" t="s">
        <v>71</v>
      </c>
      <c r="B34" s="749" t="s">
        <v>72</v>
      </c>
      <c r="C34" s="749"/>
      <c r="D34" s="38" t="s">
        <v>16</v>
      </c>
      <c r="E34" s="48">
        <v>27500</v>
      </c>
      <c r="F34" s="48">
        <v>27500</v>
      </c>
      <c r="G34" s="48">
        <v>27385</v>
      </c>
      <c r="H34" s="29">
        <f t="shared" si="0"/>
        <v>99.581818181818178</v>
      </c>
      <c r="I34" s="48">
        <v>22712</v>
      </c>
      <c r="J34" s="141">
        <v>15870</v>
      </c>
      <c r="K34" s="141">
        <v>15870</v>
      </c>
      <c r="L34" s="141">
        <v>16760</v>
      </c>
      <c r="M34" s="14">
        <f t="shared" si="2"/>
        <v>105.60806553245116</v>
      </c>
      <c r="N34" s="39">
        <v>16008</v>
      </c>
      <c r="O34" s="39">
        <v>28300</v>
      </c>
      <c r="P34" s="39">
        <v>28300</v>
      </c>
      <c r="Q34" s="39">
        <v>29250</v>
      </c>
      <c r="R34" s="14">
        <f t="shared" si="3"/>
        <v>103.35689045936395</v>
      </c>
      <c r="S34" s="39"/>
      <c r="T34" s="39"/>
      <c r="U34" s="39"/>
      <c r="V34" s="39"/>
      <c r="W34" s="14" t="e">
        <f t="shared" si="4"/>
        <v>#DIV/0!</v>
      </c>
      <c r="X34" s="39"/>
    </row>
    <row r="35" spans="1:24" s="1" customFormat="1" ht="9.75" x14ac:dyDescent="0.2">
      <c r="A35" s="40" t="s">
        <v>73</v>
      </c>
      <c r="B35" s="751" t="s">
        <v>74</v>
      </c>
      <c r="C35" s="751"/>
      <c r="D35" s="40" t="s">
        <v>75</v>
      </c>
      <c r="E35" s="48">
        <v>94</v>
      </c>
      <c r="F35" s="48">
        <v>94</v>
      </c>
      <c r="G35" s="48">
        <v>94</v>
      </c>
      <c r="H35" s="29">
        <f t="shared" si="0"/>
        <v>100</v>
      </c>
      <c r="I35" s="48">
        <v>92</v>
      </c>
      <c r="J35" s="141">
        <v>2</v>
      </c>
      <c r="K35" s="141">
        <v>2.1</v>
      </c>
      <c r="L35" s="141">
        <v>2.1</v>
      </c>
      <c r="M35" s="14">
        <f t="shared" si="2"/>
        <v>100</v>
      </c>
      <c r="N35" s="39">
        <v>2</v>
      </c>
      <c r="O35" s="39">
        <v>95</v>
      </c>
      <c r="P35" s="39">
        <v>96</v>
      </c>
      <c r="Q35" s="39">
        <v>93</v>
      </c>
      <c r="R35" s="14">
        <f t="shared" si="3"/>
        <v>96.875</v>
      </c>
      <c r="S35" s="39"/>
      <c r="T35" s="39"/>
      <c r="U35" s="39"/>
      <c r="V35" s="39"/>
      <c r="W35" s="14" t="e">
        <f t="shared" si="4"/>
        <v>#DIV/0!</v>
      </c>
      <c r="X35" s="39"/>
    </row>
    <row r="36" spans="1:24" s="1" customFormat="1" ht="9.75" x14ac:dyDescent="0.2">
      <c r="A36" s="37" t="s">
        <v>76</v>
      </c>
      <c r="B36" s="749" t="s">
        <v>77</v>
      </c>
      <c r="C36" s="749"/>
      <c r="D36" s="38" t="s">
        <v>75</v>
      </c>
      <c r="E36" s="48">
        <v>107</v>
      </c>
      <c r="F36" s="48">
        <v>107</v>
      </c>
      <c r="G36" s="48">
        <v>107</v>
      </c>
      <c r="H36" s="29">
        <f t="shared" si="0"/>
        <v>100</v>
      </c>
      <c r="I36" s="48">
        <v>108</v>
      </c>
      <c r="J36" s="141">
        <v>3</v>
      </c>
      <c r="K36" s="141">
        <v>3</v>
      </c>
      <c r="L36" s="141">
        <v>3</v>
      </c>
      <c r="M36" s="14">
        <f t="shared" si="2"/>
        <v>100</v>
      </c>
      <c r="N36" s="39">
        <v>4</v>
      </c>
      <c r="O36" s="39">
        <v>104</v>
      </c>
      <c r="P36" s="39">
        <v>104</v>
      </c>
      <c r="Q36" s="39">
        <v>104</v>
      </c>
      <c r="R36" s="14">
        <f t="shared" si="3"/>
        <v>100</v>
      </c>
      <c r="S36" s="39"/>
      <c r="T36" s="39"/>
      <c r="U36" s="39"/>
      <c r="V36" s="39"/>
      <c r="W36" s="14" t="e">
        <f t="shared" si="4"/>
        <v>#DIV/0!</v>
      </c>
      <c r="X36" s="39"/>
    </row>
  </sheetData>
  <mergeCells count="38">
    <mergeCell ref="A1:X1"/>
    <mergeCell ref="A3:A5"/>
    <mergeCell ref="B3:C5"/>
    <mergeCell ref="D3:D5"/>
    <mergeCell ref="E3:I3"/>
    <mergeCell ref="J3:N3"/>
    <mergeCell ref="O3:S3"/>
    <mergeCell ref="T3:X3"/>
    <mergeCell ref="E4:E5"/>
    <mergeCell ref="F4:H4"/>
    <mergeCell ref="I4:I5"/>
    <mergeCell ref="J4:J5"/>
    <mergeCell ref="X4:X5"/>
    <mergeCell ref="B6:C6"/>
    <mergeCell ref="O4:O5"/>
    <mergeCell ref="P4:R4"/>
    <mergeCell ref="B12:C12"/>
    <mergeCell ref="K4:M4"/>
    <mergeCell ref="N4:N5"/>
    <mergeCell ref="S4:S5"/>
    <mergeCell ref="T4:T5"/>
    <mergeCell ref="U4:W4"/>
    <mergeCell ref="B8:C8"/>
    <mergeCell ref="B10:C10"/>
    <mergeCell ref="B11:C11"/>
    <mergeCell ref="B7:C7"/>
    <mergeCell ref="B13:C13"/>
    <mergeCell ref="B26:C26"/>
    <mergeCell ref="B34:C34"/>
    <mergeCell ref="B35:C35"/>
    <mergeCell ref="B15:C15"/>
    <mergeCell ref="B36:C36"/>
    <mergeCell ref="B16:C16"/>
    <mergeCell ref="B18:C18"/>
    <mergeCell ref="B19:C19"/>
    <mergeCell ref="B20:C20"/>
    <mergeCell ref="B21:C21"/>
    <mergeCell ref="B22:C22"/>
  </mergeCells>
  <pageMargins left="0.70866141732283472" right="0.70866141732283472" top="0.78740157480314965" bottom="0.78740157480314965" header="0.31496062992125984" footer="0.31496062992125984"/>
  <pageSetup paperSize="9" scale="85" firstPageNumber="113" orientation="landscape" useFirstPageNumber="1"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0"/>
  <sheetViews>
    <sheetView topLeftCell="A25" workbookViewId="0">
      <selection activeCell="C51" sqref="C51"/>
    </sheetView>
  </sheetViews>
  <sheetFormatPr defaultColWidth="9.140625" defaultRowHeight="12.75" x14ac:dyDescent="0.2"/>
  <cols>
    <col min="1" max="1" width="33.140625" style="4" customWidth="1"/>
    <col min="2" max="2" width="19.140625" style="4" customWidth="1"/>
    <col min="3" max="5" width="14.7109375" style="4" customWidth="1"/>
    <col min="6" max="7" width="13" style="4" customWidth="1"/>
    <col min="8" max="8" width="18.42578125" style="4" customWidth="1"/>
    <col min="9" max="16384" width="9.140625" style="4"/>
  </cols>
  <sheetData>
    <row r="1" spans="1:9" s="168" customFormat="1" ht="18.75" x14ac:dyDescent="0.3">
      <c r="A1" s="818" t="s">
        <v>84</v>
      </c>
      <c r="B1" s="818"/>
      <c r="C1" s="818"/>
      <c r="D1" s="818"/>
      <c r="E1" s="818"/>
      <c r="F1" s="818"/>
      <c r="G1" s="818"/>
      <c r="H1" s="818"/>
      <c r="I1" s="818"/>
    </row>
    <row r="3" spans="1:9" s="169" customFormat="1" ht="10.5" x14ac:dyDescent="0.15">
      <c r="A3" s="781" t="s">
        <v>99</v>
      </c>
      <c r="B3" s="781"/>
      <c r="C3" s="781"/>
      <c r="D3" s="781"/>
      <c r="E3" s="781"/>
      <c r="F3" s="781"/>
      <c r="G3" s="781"/>
      <c r="H3" s="781"/>
      <c r="I3" s="781"/>
    </row>
    <row r="4" spans="1:9" s="170" customFormat="1" ht="11.25" x14ac:dyDescent="0.2"/>
    <row r="5" spans="1:9" s="172" customFormat="1" ht="9.75" x14ac:dyDescent="0.2">
      <c r="A5" s="819" t="s">
        <v>100</v>
      </c>
      <c r="B5" s="820"/>
      <c r="C5" s="171" t="s">
        <v>16</v>
      </c>
      <c r="D5" s="805" t="s">
        <v>101</v>
      </c>
      <c r="E5" s="805"/>
      <c r="F5" s="805"/>
      <c r="G5" s="805"/>
      <c r="H5" s="805"/>
      <c r="I5" s="805"/>
    </row>
    <row r="6" spans="1:9" s="170" customFormat="1" ht="51" customHeight="1" x14ac:dyDescent="0.2">
      <c r="A6" s="821" t="s">
        <v>102</v>
      </c>
      <c r="B6" s="822"/>
      <c r="C6" s="173">
        <v>400931.74</v>
      </c>
      <c r="D6" s="823" t="s">
        <v>344</v>
      </c>
      <c r="E6" s="824"/>
      <c r="F6" s="824"/>
      <c r="G6" s="824"/>
      <c r="H6" s="824"/>
      <c r="I6" s="825"/>
    </row>
    <row r="7" spans="1:9" s="174" customFormat="1" ht="24.75" customHeight="1" x14ac:dyDescent="0.15">
      <c r="A7" s="821" t="s">
        <v>103</v>
      </c>
      <c r="B7" s="822"/>
      <c r="C7" s="173">
        <v>20248</v>
      </c>
      <c r="D7" s="826" t="s">
        <v>345</v>
      </c>
      <c r="E7" s="827"/>
      <c r="F7" s="827"/>
      <c r="G7" s="827"/>
      <c r="H7" s="827"/>
      <c r="I7" s="828"/>
    </row>
    <row r="8" spans="1:9" s="174" customFormat="1" ht="15" customHeight="1" x14ac:dyDescent="0.15">
      <c r="A8" s="829" t="s">
        <v>105</v>
      </c>
      <c r="B8" s="830"/>
      <c r="C8" s="175">
        <v>0</v>
      </c>
      <c r="D8" s="831"/>
      <c r="E8" s="832"/>
      <c r="F8" s="832"/>
      <c r="G8" s="832"/>
      <c r="H8" s="832"/>
      <c r="I8" s="833"/>
    </row>
    <row r="9" spans="1:9" s="170" customFormat="1" ht="11.25" x14ac:dyDescent="0.2">
      <c r="C9" s="176"/>
    </row>
    <row r="10" spans="1:9" s="177" customFormat="1" ht="11.25" x14ac:dyDescent="0.2">
      <c r="A10" s="781" t="s">
        <v>106</v>
      </c>
      <c r="B10" s="781"/>
      <c r="C10" s="781"/>
      <c r="D10" s="781"/>
      <c r="E10" s="781"/>
      <c r="F10" s="781"/>
      <c r="G10" s="781"/>
      <c r="H10" s="781"/>
      <c r="I10" s="781"/>
    </row>
    <row r="11" spans="1:9" s="170" customFormat="1" ht="12" thickBot="1" x14ac:dyDescent="0.25">
      <c r="C11" s="176"/>
    </row>
    <row r="12" spans="1:9" s="181" customFormat="1" ht="21" x14ac:dyDescent="0.15">
      <c r="A12" s="178" t="s">
        <v>107</v>
      </c>
      <c r="B12" s="178" t="s">
        <v>108</v>
      </c>
      <c r="C12" s="179" t="s">
        <v>109</v>
      </c>
      <c r="D12" s="180" t="s">
        <v>110</v>
      </c>
      <c r="E12" s="179" t="s">
        <v>111</v>
      </c>
      <c r="F12" s="814" t="s">
        <v>112</v>
      </c>
      <c r="G12" s="815"/>
      <c r="H12" s="816" t="s">
        <v>113</v>
      </c>
      <c r="I12" s="817"/>
    </row>
    <row r="13" spans="1:9" s="181" customFormat="1" ht="43.5" customHeight="1" x14ac:dyDescent="0.15">
      <c r="A13" s="182" t="s">
        <v>114</v>
      </c>
      <c r="B13" s="183">
        <v>50155.199999999997</v>
      </c>
      <c r="C13" s="184">
        <v>181402.09</v>
      </c>
      <c r="D13" s="185"/>
      <c r="E13" s="184">
        <f>B13+C13-D13</f>
        <v>231557.28999999998</v>
      </c>
      <c r="F13" s="809">
        <v>231557.29</v>
      </c>
      <c r="G13" s="809"/>
      <c r="H13" s="801" t="s">
        <v>346</v>
      </c>
      <c r="I13" s="802"/>
    </row>
    <row r="14" spans="1:9" s="181" customFormat="1" ht="43.5" customHeight="1" x14ac:dyDescent="0.15">
      <c r="A14" s="182" t="s">
        <v>115</v>
      </c>
      <c r="B14" s="183">
        <v>173742.3</v>
      </c>
      <c r="C14" s="184"/>
      <c r="D14" s="185">
        <v>29711.99</v>
      </c>
      <c r="E14" s="184">
        <f t="shared" ref="E14:E17" si="0">B14+C14-D14</f>
        <v>144030.31</v>
      </c>
      <c r="F14" s="810">
        <v>144030.31</v>
      </c>
      <c r="G14" s="811"/>
      <c r="H14" s="801" t="s">
        <v>347</v>
      </c>
      <c r="I14" s="812"/>
    </row>
    <row r="15" spans="1:9" s="181" customFormat="1" ht="48" customHeight="1" x14ac:dyDescent="0.15">
      <c r="A15" s="186" t="s">
        <v>116</v>
      </c>
      <c r="B15" s="187">
        <v>406096.33</v>
      </c>
      <c r="C15" s="188">
        <v>325238</v>
      </c>
      <c r="D15" s="189">
        <v>298103</v>
      </c>
      <c r="E15" s="184">
        <f t="shared" si="0"/>
        <v>433231.33000000007</v>
      </c>
      <c r="F15" s="813">
        <v>433231.33</v>
      </c>
      <c r="G15" s="813"/>
      <c r="H15" s="801" t="s">
        <v>348</v>
      </c>
      <c r="I15" s="802"/>
    </row>
    <row r="16" spans="1:9" s="181" customFormat="1" ht="35.25" customHeight="1" x14ac:dyDescent="0.15">
      <c r="A16" s="190" t="s">
        <v>117</v>
      </c>
      <c r="B16" s="191">
        <v>51197</v>
      </c>
      <c r="C16" s="192">
        <v>7000</v>
      </c>
      <c r="D16" s="193"/>
      <c r="E16" s="184">
        <f t="shared" si="0"/>
        <v>58197</v>
      </c>
      <c r="F16" s="800">
        <v>58197</v>
      </c>
      <c r="G16" s="800"/>
      <c r="H16" s="801" t="s">
        <v>346</v>
      </c>
      <c r="I16" s="802"/>
    </row>
    <row r="17" spans="1:9" s="181" customFormat="1" ht="51" customHeight="1" x14ac:dyDescent="0.15">
      <c r="A17" s="194" t="s">
        <v>118</v>
      </c>
      <c r="B17" s="195">
        <v>68392.899999999994</v>
      </c>
      <c r="C17" s="196">
        <v>63422.8</v>
      </c>
      <c r="D17" s="197">
        <v>27603</v>
      </c>
      <c r="E17" s="184">
        <f t="shared" si="0"/>
        <v>104212.70000000001</v>
      </c>
      <c r="F17" s="803">
        <v>98555.98</v>
      </c>
      <c r="G17" s="803"/>
      <c r="H17" s="801" t="s">
        <v>349</v>
      </c>
      <c r="I17" s="802"/>
    </row>
    <row r="18" spans="1:9" s="181" customFormat="1" thickBot="1" x14ac:dyDescent="0.2">
      <c r="A18" s="198" t="s">
        <v>120</v>
      </c>
      <c r="B18" s="199">
        <f>SUM(B13:B17)</f>
        <v>749583.7300000001</v>
      </c>
      <c r="C18" s="200">
        <f>SUM(C13:C17)</f>
        <v>577062.89</v>
      </c>
      <c r="D18" s="201">
        <f>SUM(D13:D17)</f>
        <v>355417.99</v>
      </c>
      <c r="E18" s="200">
        <f>SUM(E13:E17)</f>
        <v>971228.63000000012</v>
      </c>
      <c r="F18" s="804">
        <f>SUM(F13:G17)</f>
        <v>965571.90999999992</v>
      </c>
      <c r="G18" s="804"/>
      <c r="H18" s="202"/>
      <c r="I18" s="203"/>
    </row>
    <row r="19" spans="1:9" s="204" customFormat="1" ht="11.25" x14ac:dyDescent="0.2">
      <c r="C19" s="205"/>
    </row>
    <row r="20" spans="1:9" s="177" customFormat="1" ht="11.25" x14ac:dyDescent="0.2">
      <c r="A20" s="781" t="s">
        <v>121</v>
      </c>
      <c r="B20" s="781"/>
      <c r="C20" s="781"/>
      <c r="D20" s="781"/>
      <c r="E20" s="781"/>
      <c r="F20" s="781"/>
      <c r="G20" s="781"/>
      <c r="H20" s="781"/>
      <c r="I20" s="781"/>
    </row>
    <row r="21" spans="1:9" s="170" customFormat="1" ht="11.25" x14ac:dyDescent="0.2">
      <c r="C21" s="176"/>
    </row>
    <row r="22" spans="1:9" s="170" customFormat="1" ht="11.25" x14ac:dyDescent="0.2">
      <c r="A22" s="171" t="s">
        <v>122</v>
      </c>
      <c r="B22" s="171" t="s">
        <v>16</v>
      </c>
      <c r="C22" s="206" t="s">
        <v>123</v>
      </c>
      <c r="D22" s="805" t="s">
        <v>124</v>
      </c>
      <c r="E22" s="805"/>
      <c r="F22" s="805"/>
      <c r="G22" s="805"/>
      <c r="H22" s="805"/>
      <c r="I22" s="805"/>
    </row>
    <row r="23" spans="1:9" s="170" customFormat="1" ht="11.25" customHeight="1" x14ac:dyDescent="0.2">
      <c r="A23" s="207"/>
      <c r="B23" s="208"/>
      <c r="C23" s="209"/>
      <c r="D23" s="797"/>
      <c r="E23" s="798"/>
      <c r="F23" s="798"/>
      <c r="G23" s="798"/>
      <c r="H23" s="798"/>
      <c r="I23" s="799"/>
    </row>
    <row r="24" spans="1:9" s="174" customFormat="1" ht="11.25" x14ac:dyDescent="0.2">
      <c r="A24" s="210" t="s">
        <v>120</v>
      </c>
      <c r="B24" s="211">
        <f>SUM(B23:B23)</f>
        <v>0</v>
      </c>
      <c r="C24" s="806"/>
      <c r="D24" s="806"/>
      <c r="E24" s="806"/>
      <c r="F24" s="806"/>
      <c r="G24" s="806"/>
      <c r="H24" s="806"/>
      <c r="I24" s="807"/>
    </row>
    <row r="25" spans="1:9" s="204" customFormat="1" ht="11.25" x14ac:dyDescent="0.2">
      <c r="C25" s="205"/>
    </row>
    <row r="26" spans="1:9" s="204" customFormat="1" ht="11.25" x14ac:dyDescent="0.2">
      <c r="C26" s="205"/>
    </row>
    <row r="27" spans="1:9" s="177" customFormat="1" ht="11.25" x14ac:dyDescent="0.2">
      <c r="A27" s="781" t="s">
        <v>126</v>
      </c>
      <c r="B27" s="781"/>
      <c r="C27" s="781"/>
      <c r="D27" s="781"/>
      <c r="E27" s="781"/>
      <c r="F27" s="781"/>
      <c r="G27" s="781"/>
      <c r="H27" s="781"/>
      <c r="I27" s="781"/>
    </row>
    <row r="28" spans="1:9" s="170" customFormat="1" ht="11.25" x14ac:dyDescent="0.2">
      <c r="C28" s="176"/>
    </row>
    <row r="29" spans="1:9" s="170" customFormat="1" ht="11.25" x14ac:dyDescent="0.2">
      <c r="A29" s="171" t="s">
        <v>122</v>
      </c>
      <c r="B29" s="171" t="s">
        <v>16</v>
      </c>
      <c r="C29" s="206" t="s">
        <v>123</v>
      </c>
      <c r="D29" s="805" t="s">
        <v>127</v>
      </c>
      <c r="E29" s="805"/>
      <c r="F29" s="805"/>
      <c r="G29" s="805"/>
      <c r="H29" s="805"/>
      <c r="I29" s="808"/>
    </row>
    <row r="30" spans="1:9" s="170" customFormat="1" ht="11.25" customHeight="1" x14ac:dyDescent="0.2">
      <c r="A30" s="207"/>
      <c r="B30" s="208"/>
      <c r="C30" s="209"/>
      <c r="D30" s="797"/>
      <c r="E30" s="798"/>
      <c r="F30" s="798"/>
      <c r="G30" s="798"/>
      <c r="H30" s="798"/>
      <c r="I30" s="799"/>
    </row>
    <row r="31" spans="1:9" s="174" customFormat="1" ht="10.5" x14ac:dyDescent="0.15">
      <c r="A31" s="210" t="s">
        <v>120</v>
      </c>
      <c r="B31" s="211">
        <f>SUM(B30:B30)</f>
        <v>0</v>
      </c>
      <c r="C31" s="784"/>
      <c r="D31" s="784"/>
      <c r="E31" s="784"/>
      <c r="F31" s="784"/>
      <c r="G31" s="784"/>
      <c r="H31" s="784"/>
      <c r="I31" s="784"/>
    </row>
    <row r="32" spans="1:9" s="170" customFormat="1" ht="11.25" x14ac:dyDescent="0.2">
      <c r="C32" s="176"/>
    </row>
    <row r="33" spans="1:9" s="170" customFormat="1" ht="11.25" x14ac:dyDescent="0.2">
      <c r="C33" s="176"/>
    </row>
    <row r="34" spans="1:9" s="177" customFormat="1" ht="11.25" x14ac:dyDescent="0.2">
      <c r="A34" s="781" t="s">
        <v>129</v>
      </c>
      <c r="B34" s="781"/>
      <c r="C34" s="781"/>
      <c r="D34" s="781"/>
      <c r="E34" s="781"/>
      <c r="F34" s="781"/>
      <c r="G34" s="781"/>
      <c r="H34" s="781"/>
      <c r="I34" s="781"/>
    </row>
    <row r="35" spans="1:9" s="170" customFormat="1" ht="11.25" x14ac:dyDescent="0.2">
      <c r="C35" s="212"/>
      <c r="D35" s="170" t="s">
        <v>350</v>
      </c>
    </row>
    <row r="36" spans="1:9" s="170" customFormat="1" ht="11.25" x14ac:dyDescent="0.2">
      <c r="A36" s="171" t="s">
        <v>130</v>
      </c>
      <c r="B36" s="206" t="s">
        <v>131</v>
      </c>
      <c r="C36" s="785" t="s">
        <v>132</v>
      </c>
      <c r="D36" s="785"/>
      <c r="E36" s="785"/>
      <c r="F36" s="785"/>
      <c r="G36" s="785"/>
      <c r="H36" s="785"/>
      <c r="I36" s="786"/>
    </row>
    <row r="37" spans="1:9" s="170" customFormat="1" ht="11.25" x14ac:dyDescent="0.2">
      <c r="A37" s="213"/>
      <c r="B37" s="213"/>
      <c r="C37" s="787"/>
      <c r="D37" s="787"/>
      <c r="E37" s="787"/>
      <c r="F37" s="787"/>
      <c r="G37" s="787"/>
      <c r="H37" s="787"/>
      <c r="I37" s="787"/>
    </row>
    <row r="38" spans="1:9" s="174" customFormat="1" ht="10.5" x14ac:dyDescent="0.15">
      <c r="A38" s="214">
        <f>SUM(A37:A37)</f>
        <v>0</v>
      </c>
      <c r="B38" s="214">
        <f>SUM(B37:B37)</f>
        <v>0</v>
      </c>
      <c r="C38" s="788" t="s">
        <v>120</v>
      </c>
      <c r="D38" s="789"/>
      <c r="E38" s="789"/>
      <c r="F38" s="789"/>
      <c r="G38" s="789"/>
      <c r="H38" s="789"/>
      <c r="I38" s="790"/>
    </row>
    <row r="39" spans="1:9" s="170" customFormat="1" ht="11.25" x14ac:dyDescent="0.2">
      <c r="C39" s="212"/>
    </row>
    <row r="40" spans="1:9" s="170" customFormat="1" ht="11.25" x14ac:dyDescent="0.2">
      <c r="C40" s="212"/>
    </row>
    <row r="41" spans="1:9" s="170" customFormat="1" ht="11.25" x14ac:dyDescent="0.2">
      <c r="A41" s="781" t="s">
        <v>177</v>
      </c>
      <c r="B41" s="766"/>
      <c r="C41" s="766"/>
      <c r="D41" s="766"/>
      <c r="E41" s="766"/>
      <c r="F41" s="766"/>
      <c r="G41" s="766"/>
      <c r="H41" s="766"/>
      <c r="I41" s="766"/>
    </row>
    <row r="42" spans="1:9" s="170" customFormat="1" ht="11.25" x14ac:dyDescent="0.2">
      <c r="C42" s="212"/>
    </row>
    <row r="43" spans="1:9" s="216" customFormat="1" ht="31.5" x14ac:dyDescent="0.25">
      <c r="A43" s="767" t="s">
        <v>135</v>
      </c>
      <c r="B43" s="768"/>
      <c r="C43" s="215" t="s">
        <v>136</v>
      </c>
      <c r="D43" s="215" t="s">
        <v>137</v>
      </c>
      <c r="E43" s="215" t="s">
        <v>138</v>
      </c>
      <c r="F43" s="215" t="s">
        <v>139</v>
      </c>
      <c r="G43" s="215" t="s">
        <v>140</v>
      </c>
    </row>
    <row r="44" spans="1:9" s="170" customFormat="1" ht="12" x14ac:dyDescent="0.2">
      <c r="A44" s="791" t="s">
        <v>351</v>
      </c>
      <c r="B44" s="792"/>
      <c r="C44" s="217" t="s">
        <v>352</v>
      </c>
      <c r="D44" s="330">
        <v>400000</v>
      </c>
      <c r="E44" s="219"/>
      <c r="F44" s="220"/>
      <c r="G44" s="221">
        <v>43281</v>
      </c>
    </row>
    <row r="45" spans="1:9" s="170" customFormat="1" ht="12" x14ac:dyDescent="0.2">
      <c r="A45" s="274" t="s">
        <v>353</v>
      </c>
      <c r="B45" s="331"/>
      <c r="C45" s="222" t="s">
        <v>354</v>
      </c>
      <c r="D45" s="332"/>
      <c r="E45" s="224">
        <v>400000</v>
      </c>
      <c r="F45" s="225"/>
      <c r="G45" s="226">
        <v>43281</v>
      </c>
    </row>
    <row r="46" spans="1:9" s="170" customFormat="1" ht="12" x14ac:dyDescent="0.2">
      <c r="A46" s="274" t="s">
        <v>355</v>
      </c>
      <c r="B46" s="331"/>
      <c r="C46" s="222" t="s">
        <v>356</v>
      </c>
      <c r="D46" s="332">
        <v>1117</v>
      </c>
      <c r="E46" s="224"/>
      <c r="F46" s="225"/>
      <c r="G46" s="226">
        <v>43281</v>
      </c>
    </row>
    <row r="47" spans="1:9" s="170" customFormat="1" ht="12" x14ac:dyDescent="0.2">
      <c r="A47" s="793" t="s">
        <v>357</v>
      </c>
      <c r="B47" s="794"/>
      <c r="C47" s="227" t="s">
        <v>358</v>
      </c>
      <c r="D47" s="232"/>
      <c r="E47" s="229">
        <v>1117</v>
      </c>
      <c r="F47" s="230"/>
      <c r="G47" s="231">
        <v>43281</v>
      </c>
    </row>
    <row r="48" spans="1:9" s="170" customFormat="1" ht="11.25" x14ac:dyDescent="0.2">
      <c r="A48" s="773" t="s">
        <v>178</v>
      </c>
      <c r="B48" s="774"/>
      <c r="C48" s="233"/>
      <c r="D48" s="234">
        <f>SUM(D44:D47)</f>
        <v>401117</v>
      </c>
      <c r="E48" s="234">
        <f>SUM(E44:E47)</f>
        <v>401117</v>
      </c>
      <c r="F48" s="795"/>
      <c r="G48" s="796"/>
    </row>
    <row r="49" spans="1:9" s="170" customFormat="1" ht="15" x14ac:dyDescent="0.25">
      <c r="A49" s="782"/>
      <c r="B49" s="783"/>
      <c r="C49" s="212"/>
    </row>
    <row r="50" spans="1:9" s="170" customFormat="1" ht="11.25" x14ac:dyDescent="0.2">
      <c r="A50" s="235"/>
      <c r="C50" s="212"/>
    </row>
    <row r="51" spans="1:9" s="170" customFormat="1" ht="11.25" x14ac:dyDescent="0.2">
      <c r="A51" s="766" t="s">
        <v>180</v>
      </c>
      <c r="B51" s="766"/>
      <c r="C51" s="766"/>
      <c r="D51" s="766"/>
      <c r="E51" s="766"/>
      <c r="F51" s="766"/>
      <c r="G51" s="766"/>
      <c r="H51" s="766"/>
      <c r="I51" s="766"/>
    </row>
    <row r="52" spans="1:9" s="170" customFormat="1" ht="11.25" x14ac:dyDescent="0.2">
      <c r="A52" s="170" t="s">
        <v>359</v>
      </c>
      <c r="C52" s="212"/>
    </row>
    <row r="53" spans="1:9" s="216" customFormat="1" ht="31.5" x14ac:dyDescent="0.25">
      <c r="A53" s="767" t="s">
        <v>135</v>
      </c>
      <c r="B53" s="768"/>
      <c r="C53" s="215" t="s">
        <v>136</v>
      </c>
      <c r="D53" s="215" t="s">
        <v>137</v>
      </c>
      <c r="E53" s="215" t="s">
        <v>138</v>
      </c>
      <c r="F53" s="215" t="s">
        <v>139</v>
      </c>
      <c r="G53" s="215" t="s">
        <v>140</v>
      </c>
    </row>
    <row r="54" spans="1:9" s="170" customFormat="1" ht="11.25" customHeight="1" x14ac:dyDescent="0.2">
      <c r="A54" s="769"/>
      <c r="B54" s="770"/>
      <c r="C54" s="236"/>
      <c r="D54" s="237"/>
      <c r="E54" s="237"/>
      <c r="F54" s="247"/>
      <c r="G54" s="247"/>
    </row>
    <row r="55" spans="1:9" s="170" customFormat="1" ht="11.25" customHeight="1" x14ac:dyDescent="0.2">
      <c r="A55" s="771"/>
      <c r="B55" s="772"/>
      <c r="C55" s="243"/>
      <c r="D55" s="244"/>
      <c r="E55" s="244"/>
      <c r="F55" s="245"/>
      <c r="G55" s="245"/>
    </row>
    <row r="56" spans="1:9" s="170" customFormat="1" ht="11.25" x14ac:dyDescent="0.2">
      <c r="A56" s="773" t="s">
        <v>178</v>
      </c>
      <c r="B56" s="774"/>
      <c r="C56" s="233"/>
      <c r="D56" s="234">
        <f>SUM(D54:D55)</f>
        <v>0</v>
      </c>
      <c r="E56" s="234">
        <f>SUM(E54:E55)</f>
        <v>0</v>
      </c>
      <c r="F56" s="775"/>
      <c r="G56" s="776"/>
    </row>
    <row r="57" spans="1:9" s="170" customFormat="1" ht="11.25" x14ac:dyDescent="0.2">
      <c r="C57" s="212"/>
    </row>
    <row r="58" spans="1:9" s="170" customFormat="1" ht="11.25" x14ac:dyDescent="0.2">
      <c r="C58" s="212"/>
    </row>
    <row r="59" spans="1:9" s="177" customFormat="1" ht="11.25" x14ac:dyDescent="0.2">
      <c r="A59" s="777" t="s">
        <v>238</v>
      </c>
      <c r="B59" s="777"/>
      <c r="C59" s="777"/>
      <c r="D59" s="777"/>
      <c r="E59" s="777"/>
      <c r="F59" s="777"/>
      <c r="G59" s="777"/>
      <c r="H59" s="777"/>
      <c r="I59" s="777"/>
    </row>
    <row r="60" spans="1:9" s="170" customFormat="1" ht="11.25" x14ac:dyDescent="0.2">
      <c r="A60" s="170" t="s">
        <v>792</v>
      </c>
    </row>
    <row r="61" spans="1:9" s="170" customFormat="1" ht="11.25" x14ac:dyDescent="0.2">
      <c r="A61" s="778"/>
      <c r="B61" s="779"/>
      <c r="C61" s="779"/>
      <c r="D61" s="779"/>
      <c r="E61" s="779"/>
      <c r="F61" s="779"/>
      <c r="G61" s="779"/>
      <c r="H61" s="779"/>
      <c r="I61" s="780"/>
    </row>
    <row r="62" spans="1:9" s="170" customFormat="1" ht="11.25" x14ac:dyDescent="0.2"/>
    <row r="63" spans="1:9" s="169" customFormat="1" ht="10.5" x14ac:dyDescent="0.15">
      <c r="A63" s="781" t="s">
        <v>165</v>
      </c>
      <c r="B63" s="781"/>
      <c r="C63" s="781"/>
      <c r="D63" s="781"/>
      <c r="E63" s="781"/>
      <c r="F63" s="781"/>
      <c r="G63" s="781"/>
      <c r="H63" s="781"/>
      <c r="I63" s="781"/>
    </row>
    <row r="64" spans="1:9" s="170" customFormat="1" ht="11.25" x14ac:dyDescent="0.2">
      <c r="A64" s="170" t="s">
        <v>361</v>
      </c>
    </row>
    <row r="65" spans="1:9" s="170" customFormat="1" ht="28.5" customHeight="1" x14ac:dyDescent="0.2">
      <c r="A65" s="763"/>
      <c r="B65" s="764"/>
      <c r="C65" s="764"/>
      <c r="D65" s="764"/>
      <c r="E65" s="764"/>
      <c r="F65" s="764"/>
      <c r="G65" s="764"/>
      <c r="H65" s="764"/>
      <c r="I65" s="765"/>
    </row>
    <row r="66" spans="1:9" s="170" customFormat="1" ht="39" customHeight="1" x14ac:dyDescent="0.2">
      <c r="A66" s="763"/>
      <c r="B66" s="764"/>
      <c r="C66" s="764"/>
      <c r="D66" s="764"/>
      <c r="E66" s="764"/>
      <c r="F66" s="764"/>
      <c r="G66" s="764"/>
      <c r="H66" s="764"/>
      <c r="I66" s="765"/>
    </row>
    <row r="67" spans="1:9" s="170" customFormat="1" ht="18.75" customHeight="1" x14ac:dyDescent="0.2">
      <c r="A67" s="763"/>
      <c r="B67" s="764"/>
      <c r="C67" s="764"/>
      <c r="D67" s="764"/>
      <c r="E67" s="764"/>
      <c r="F67" s="764"/>
      <c r="G67" s="764"/>
      <c r="H67" s="764"/>
      <c r="I67" s="765"/>
    </row>
    <row r="68" spans="1:9" x14ac:dyDescent="0.2">
      <c r="A68" s="4" t="s">
        <v>362</v>
      </c>
      <c r="B68" s="4" t="s">
        <v>363</v>
      </c>
    </row>
    <row r="69" spans="1:9" ht="14.25" customHeight="1" x14ac:dyDescent="0.2">
      <c r="A69" s="246" t="s">
        <v>364</v>
      </c>
      <c r="B69" s="333">
        <v>43313</v>
      </c>
    </row>
    <row r="70" spans="1:9" ht="13.5" customHeight="1" x14ac:dyDescent="0.2">
      <c r="A70" s="246"/>
    </row>
  </sheetData>
  <mergeCells count="55">
    <mergeCell ref="F12:G12"/>
    <mergeCell ref="H12:I12"/>
    <mergeCell ref="A1:I1"/>
    <mergeCell ref="A3:I3"/>
    <mergeCell ref="A5:B5"/>
    <mergeCell ref="D5:I5"/>
    <mergeCell ref="A6:B6"/>
    <mergeCell ref="D6:I6"/>
    <mergeCell ref="A7:B7"/>
    <mergeCell ref="D7:I7"/>
    <mergeCell ref="A8:B8"/>
    <mergeCell ref="D8:I8"/>
    <mergeCell ref="A10:I10"/>
    <mergeCell ref="F13:G13"/>
    <mergeCell ref="H13:I13"/>
    <mergeCell ref="F14:G14"/>
    <mergeCell ref="H14:I14"/>
    <mergeCell ref="F15:G15"/>
    <mergeCell ref="H15:I15"/>
    <mergeCell ref="D30:I30"/>
    <mergeCell ref="F16:G16"/>
    <mergeCell ref="H16:I16"/>
    <mergeCell ref="F17:G17"/>
    <mergeCell ref="H17:I17"/>
    <mergeCell ref="F18:G18"/>
    <mergeCell ref="A20:I20"/>
    <mergeCell ref="D22:I22"/>
    <mergeCell ref="D23:I23"/>
    <mergeCell ref="C24:I24"/>
    <mergeCell ref="A27:I27"/>
    <mergeCell ref="D29:I29"/>
    <mergeCell ref="A49:B49"/>
    <mergeCell ref="C31:I31"/>
    <mergeCell ref="A34:I34"/>
    <mergeCell ref="C36:I36"/>
    <mergeCell ref="C37:I37"/>
    <mergeCell ref="C38:I38"/>
    <mergeCell ref="A41:I41"/>
    <mergeCell ref="A43:B43"/>
    <mergeCell ref="A44:B44"/>
    <mergeCell ref="A47:B47"/>
    <mergeCell ref="A48:B48"/>
    <mergeCell ref="F48:G48"/>
    <mergeCell ref="A67:I67"/>
    <mergeCell ref="A51:I51"/>
    <mergeCell ref="A53:B53"/>
    <mergeCell ref="A54:B54"/>
    <mergeCell ref="A55:B55"/>
    <mergeCell ref="A56:B56"/>
    <mergeCell ref="F56:G56"/>
    <mergeCell ref="A59:I59"/>
    <mergeCell ref="A61:I61"/>
    <mergeCell ref="A63:I63"/>
    <mergeCell ref="A65:I65"/>
    <mergeCell ref="A66:I66"/>
  </mergeCells>
  <pageMargins left="0.70866141732283472" right="0.70866141732283472" top="0.78740157480314965" bottom="0.78740157480314965" header="0.31496062992125984" footer="0.31496062992125984"/>
  <pageSetup paperSize="9" scale="58" firstPageNumber="96" orientation="portrait" useFirstPageNumber="1" r:id="rId1"/>
  <headerFooter>
    <oddFooter>&amp;C&amp;P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5"/>
  <sheetViews>
    <sheetView topLeftCell="A61" workbookViewId="0">
      <selection activeCell="C51" sqref="C51"/>
    </sheetView>
  </sheetViews>
  <sheetFormatPr defaultColWidth="9.140625" defaultRowHeight="12.75" x14ac:dyDescent="0.2"/>
  <cols>
    <col min="1" max="1" width="33.140625" style="4" customWidth="1"/>
    <col min="2" max="2" width="19.140625" style="4" customWidth="1"/>
    <col min="3" max="5" width="14.7109375" style="4" customWidth="1"/>
    <col min="6" max="7" width="13" style="4" customWidth="1"/>
    <col min="8" max="16384" width="9.140625" style="4"/>
  </cols>
  <sheetData>
    <row r="1" spans="1:14" s="168" customFormat="1" ht="18.75" x14ac:dyDescent="0.3">
      <c r="A1" s="1063" t="s">
        <v>462</v>
      </c>
      <c r="B1" s="1064"/>
      <c r="C1" s="1064"/>
      <c r="D1" s="1064"/>
      <c r="E1" s="1064"/>
      <c r="F1" s="1064"/>
      <c r="G1" s="1064"/>
      <c r="H1" s="1064"/>
      <c r="I1" s="1064"/>
    </row>
    <row r="3" spans="1:14" s="169" customFormat="1" ht="23.25" customHeight="1" x14ac:dyDescent="0.15">
      <c r="A3" s="781" t="s">
        <v>99</v>
      </c>
      <c r="B3" s="781"/>
      <c r="C3" s="781"/>
      <c r="D3" s="781"/>
      <c r="E3" s="781"/>
      <c r="F3" s="781"/>
      <c r="G3" s="781"/>
      <c r="H3" s="781"/>
      <c r="I3" s="781"/>
    </row>
    <row r="4" spans="1:14" s="170" customFormat="1" ht="11.25" x14ac:dyDescent="0.2"/>
    <row r="5" spans="1:14" s="172" customFormat="1" ht="21.75" customHeight="1" x14ac:dyDescent="0.2">
      <c r="A5" s="819" t="s">
        <v>100</v>
      </c>
      <c r="B5" s="820"/>
      <c r="C5" s="171" t="s">
        <v>16</v>
      </c>
      <c r="D5" s="805" t="s">
        <v>463</v>
      </c>
      <c r="E5" s="805"/>
      <c r="F5" s="805"/>
      <c r="G5" s="805"/>
      <c r="H5" s="805"/>
      <c r="I5" s="805"/>
    </row>
    <row r="6" spans="1:14" s="170" customFormat="1" ht="19.5" customHeight="1" x14ac:dyDescent="0.2">
      <c r="A6" s="1052" t="s">
        <v>102</v>
      </c>
      <c r="B6" s="1053"/>
      <c r="C6" s="380">
        <v>1928027.93</v>
      </c>
      <c r="D6" s="1054" t="s">
        <v>464</v>
      </c>
      <c r="E6" s="1054"/>
      <c r="F6" s="1054"/>
      <c r="G6" s="1054"/>
      <c r="H6" s="1054"/>
      <c r="I6" s="1054"/>
    </row>
    <row r="7" spans="1:14" s="174" customFormat="1" ht="18.75" customHeight="1" x14ac:dyDescent="0.15">
      <c r="A7" s="1052" t="s">
        <v>103</v>
      </c>
      <c r="B7" s="1053"/>
      <c r="C7" s="380">
        <v>85423.05</v>
      </c>
      <c r="D7" s="1054" t="s">
        <v>465</v>
      </c>
      <c r="E7" s="1054"/>
      <c r="F7" s="1054"/>
      <c r="G7" s="1054"/>
      <c r="H7" s="1054"/>
      <c r="I7" s="1054"/>
    </row>
    <row r="8" spans="1:14" s="174" customFormat="1" ht="19.5" customHeight="1" x14ac:dyDescent="0.15">
      <c r="A8" s="1052" t="s">
        <v>105</v>
      </c>
      <c r="B8" s="1053"/>
      <c r="C8" s="380">
        <v>-63695.02</v>
      </c>
      <c r="D8" s="1055" t="s">
        <v>466</v>
      </c>
      <c r="E8" s="1056"/>
      <c r="F8" s="1056"/>
      <c r="G8" s="1056"/>
      <c r="H8" s="1056"/>
      <c r="I8" s="1057"/>
    </row>
    <row r="9" spans="1:14" s="174" customFormat="1" ht="13.9" customHeight="1" x14ac:dyDescent="0.15">
      <c r="A9" s="1058" t="s">
        <v>467</v>
      </c>
      <c r="B9" s="1058"/>
      <c r="C9" s="1058"/>
      <c r="D9" s="1058"/>
      <c r="E9" s="1058"/>
      <c r="F9" s="1058"/>
      <c r="G9" s="1058"/>
      <c r="H9" s="1058"/>
      <c r="I9" s="1058"/>
    </row>
    <row r="10" spans="1:14" s="174" customFormat="1" ht="13.9" customHeight="1" x14ac:dyDescent="0.15">
      <c r="A10" s="1059" t="s">
        <v>468</v>
      </c>
      <c r="B10" s="1059"/>
      <c r="C10" s="1059"/>
      <c r="D10" s="1059"/>
      <c r="E10" s="1059"/>
      <c r="F10" s="1059"/>
      <c r="G10" s="1059"/>
      <c r="H10" s="1059"/>
      <c r="I10" s="1059"/>
    </row>
    <row r="11" spans="1:14" s="170" customFormat="1" ht="11.25" x14ac:dyDescent="0.2">
      <c r="C11" s="176"/>
    </row>
    <row r="12" spans="1:14" s="177" customFormat="1" ht="31.5" customHeight="1" x14ac:dyDescent="0.2">
      <c r="A12" s="781" t="s">
        <v>106</v>
      </c>
      <c r="B12" s="781"/>
      <c r="C12" s="781"/>
      <c r="D12" s="781"/>
      <c r="E12" s="781"/>
      <c r="F12" s="781"/>
      <c r="G12" s="781"/>
      <c r="H12" s="781"/>
      <c r="I12" s="781"/>
    </row>
    <row r="13" spans="1:14" s="181" customFormat="1" ht="19.5" x14ac:dyDescent="0.15">
      <c r="A13" s="381" t="s">
        <v>107</v>
      </c>
      <c r="B13" s="381" t="s">
        <v>108</v>
      </c>
      <c r="C13" s="381" t="s">
        <v>109</v>
      </c>
      <c r="D13" s="381" t="s">
        <v>110</v>
      </c>
      <c r="E13" s="381" t="s">
        <v>111</v>
      </c>
      <c r="F13" s="381" t="s">
        <v>112</v>
      </c>
      <c r="G13" s="1060" t="s">
        <v>113</v>
      </c>
      <c r="H13" s="1060"/>
      <c r="I13" s="1060"/>
    </row>
    <row r="14" spans="1:14" s="170" customFormat="1" ht="23.45" customHeight="1" x14ac:dyDescent="0.2">
      <c r="A14" s="382" t="s">
        <v>469</v>
      </c>
      <c r="B14" s="383">
        <v>126532.12</v>
      </c>
      <c r="C14" s="383">
        <v>163425.01</v>
      </c>
      <c r="D14" s="383">
        <v>49931.71</v>
      </c>
      <c r="E14" s="383">
        <v>240025.42</v>
      </c>
      <c r="F14" s="384">
        <v>240025.42</v>
      </c>
      <c r="G14" s="1045" t="s">
        <v>470</v>
      </c>
      <c r="H14" s="1046"/>
      <c r="I14" s="1061"/>
    </row>
    <row r="15" spans="1:14" s="170" customFormat="1" ht="23.45" customHeight="1" x14ac:dyDescent="0.2">
      <c r="A15" s="382" t="s">
        <v>471</v>
      </c>
      <c r="B15" s="383">
        <v>1080950.2</v>
      </c>
      <c r="C15" s="383"/>
      <c r="D15" s="383">
        <v>1080950.2</v>
      </c>
      <c r="E15" s="383">
        <v>0</v>
      </c>
      <c r="F15" s="384">
        <v>0</v>
      </c>
      <c r="G15" s="1062" t="s">
        <v>472</v>
      </c>
      <c r="H15" s="779"/>
      <c r="I15" s="1051"/>
    </row>
    <row r="16" spans="1:14" s="170" customFormat="1" ht="33" customHeight="1" x14ac:dyDescent="0.2">
      <c r="A16" s="385" t="s">
        <v>473</v>
      </c>
      <c r="B16" s="386">
        <v>360620.52</v>
      </c>
      <c r="C16" s="386">
        <v>1080767</v>
      </c>
      <c r="D16" s="386">
        <v>865070</v>
      </c>
      <c r="E16" s="386">
        <v>576317.52</v>
      </c>
      <c r="F16" s="387">
        <v>576317.52</v>
      </c>
      <c r="G16" s="778" t="s">
        <v>474</v>
      </c>
      <c r="H16" s="779"/>
      <c r="I16" s="1051"/>
      <c r="N16" s="388"/>
    </row>
    <row r="17" spans="1:9" s="170" customFormat="1" ht="27" customHeight="1" x14ac:dyDescent="0.2">
      <c r="A17" s="385" t="s">
        <v>475</v>
      </c>
      <c r="B17" s="386">
        <v>62987</v>
      </c>
      <c r="C17" s="386">
        <v>10000</v>
      </c>
      <c r="D17" s="386">
        <v>0</v>
      </c>
      <c r="E17" s="386">
        <v>72987</v>
      </c>
      <c r="F17" s="387">
        <v>72987</v>
      </c>
      <c r="G17" s="778" t="s">
        <v>476</v>
      </c>
      <c r="H17" s="779"/>
      <c r="I17" s="1051"/>
    </row>
    <row r="18" spans="1:9" s="170" customFormat="1" ht="43.5" customHeight="1" x14ac:dyDescent="0.2">
      <c r="A18" s="389" t="s">
        <v>477</v>
      </c>
      <c r="B18" s="390">
        <v>625589.93999999994</v>
      </c>
      <c r="C18" s="390">
        <v>310316</v>
      </c>
      <c r="D18" s="390">
        <v>250111</v>
      </c>
      <c r="E18" s="390">
        <v>685794.94</v>
      </c>
      <c r="F18" s="391">
        <v>632424.93999999994</v>
      </c>
      <c r="G18" s="1040" t="s">
        <v>478</v>
      </c>
      <c r="H18" s="1041"/>
      <c r="I18" s="1042"/>
    </row>
    <row r="19" spans="1:9" s="170" customFormat="1" ht="18" customHeight="1" x14ac:dyDescent="0.2">
      <c r="A19" s="392" t="s">
        <v>120</v>
      </c>
      <c r="B19" s="393">
        <f>SUM(B14:B18)</f>
        <v>2256679.7799999998</v>
      </c>
      <c r="C19" s="393">
        <f>SUM(C14:C18)</f>
        <v>1564508.01</v>
      </c>
      <c r="D19" s="393">
        <f>SUM(D14:D18)</f>
        <v>2246062.91</v>
      </c>
      <c r="E19" s="393">
        <f>SUM(E14:E18)</f>
        <v>1575124.88</v>
      </c>
      <c r="F19" s="393">
        <f>SUM(F14:F18)</f>
        <v>1521754.88</v>
      </c>
      <c r="G19" s="1043"/>
      <c r="H19" s="1043"/>
      <c r="I19" s="1043"/>
    </row>
    <row r="20" spans="1:9" s="170" customFormat="1" ht="11.25" x14ac:dyDescent="0.2">
      <c r="A20" s="394"/>
      <c r="B20" s="395"/>
      <c r="C20" s="395"/>
      <c r="D20" s="395"/>
      <c r="E20" s="395"/>
      <c r="F20" s="395"/>
      <c r="G20" s="396"/>
      <c r="H20" s="396"/>
      <c r="I20" s="396"/>
    </row>
    <row r="21" spans="1:9" s="170" customFormat="1" ht="11.25" x14ac:dyDescent="0.2">
      <c r="A21" s="1044" t="s">
        <v>479</v>
      </c>
      <c r="B21" s="1044"/>
      <c r="C21" s="1044"/>
      <c r="D21" s="1044"/>
      <c r="E21" s="1044"/>
      <c r="F21" s="1044"/>
      <c r="G21" s="1044"/>
      <c r="H21" s="1044"/>
      <c r="I21" s="1044"/>
    </row>
    <row r="22" spans="1:9" s="170" customFormat="1" ht="21" customHeight="1" x14ac:dyDescent="0.2">
      <c r="A22" s="1044" t="s">
        <v>480</v>
      </c>
      <c r="B22" s="1044"/>
      <c r="C22" s="1044"/>
      <c r="D22" s="1044"/>
      <c r="E22" s="1044"/>
      <c r="F22" s="1044"/>
      <c r="G22" s="1044"/>
      <c r="H22" s="1044"/>
      <c r="I22" s="1044"/>
    </row>
    <row r="23" spans="1:9" s="170" customFormat="1" ht="11.25" x14ac:dyDescent="0.2">
      <c r="A23" s="397"/>
      <c r="B23" s="398"/>
      <c r="C23" s="399"/>
      <c r="D23" s="399"/>
      <c r="E23" s="399"/>
      <c r="F23" s="399"/>
      <c r="G23" s="400"/>
      <c r="H23" s="400"/>
      <c r="I23" s="400"/>
    </row>
    <row r="24" spans="1:9" s="170" customFormat="1" ht="11.25" x14ac:dyDescent="0.2">
      <c r="A24" s="397"/>
      <c r="B24" s="398"/>
      <c r="C24" s="399"/>
      <c r="D24" s="399"/>
      <c r="E24" s="399"/>
      <c r="F24" s="399"/>
      <c r="G24" s="400"/>
      <c r="H24" s="400"/>
      <c r="I24" s="400"/>
    </row>
    <row r="25" spans="1:9" s="170" customFormat="1" ht="11.25" x14ac:dyDescent="0.2">
      <c r="A25" s="397"/>
      <c r="B25" s="398"/>
      <c r="C25" s="399"/>
      <c r="D25" s="399"/>
      <c r="E25" s="399"/>
      <c r="F25" s="399"/>
      <c r="G25" s="400"/>
      <c r="H25" s="400"/>
      <c r="I25" s="400"/>
    </row>
    <row r="26" spans="1:9" s="170" customFormat="1" ht="11.25" x14ac:dyDescent="0.2">
      <c r="A26" s="397"/>
      <c r="B26" s="398"/>
      <c r="C26" s="399"/>
      <c r="D26" s="399"/>
      <c r="E26" s="399"/>
      <c r="F26" s="399"/>
      <c r="G26" s="400"/>
      <c r="H26" s="400"/>
      <c r="I26" s="400"/>
    </row>
    <row r="27" spans="1:9" s="170" customFormat="1" ht="11.25" x14ac:dyDescent="0.2">
      <c r="A27" s="397"/>
      <c r="B27" s="398"/>
      <c r="C27" s="399"/>
      <c r="D27" s="399"/>
      <c r="E27" s="399"/>
      <c r="F27" s="399"/>
      <c r="G27" s="400"/>
      <c r="H27" s="400"/>
      <c r="I27" s="400"/>
    </row>
    <row r="28" spans="1:9" s="204" customFormat="1" ht="11.25" x14ac:dyDescent="0.2">
      <c r="C28" s="205"/>
    </row>
    <row r="29" spans="1:9" s="177" customFormat="1" ht="11.25" x14ac:dyDescent="0.2">
      <c r="A29" s="781" t="s">
        <v>121</v>
      </c>
      <c r="B29" s="781"/>
      <c r="C29" s="781"/>
      <c r="D29" s="781"/>
      <c r="E29" s="781"/>
      <c r="F29" s="781"/>
      <c r="G29" s="781"/>
      <c r="H29" s="781"/>
      <c r="I29" s="781"/>
    </row>
    <row r="30" spans="1:9" s="170" customFormat="1" ht="11.25" x14ac:dyDescent="0.2">
      <c r="C30" s="176"/>
    </row>
    <row r="31" spans="1:9" s="170" customFormat="1" ht="11.25" x14ac:dyDescent="0.2">
      <c r="A31" s="401" t="s">
        <v>122</v>
      </c>
      <c r="B31" s="171" t="s">
        <v>16</v>
      </c>
      <c r="C31" s="206" t="s">
        <v>123</v>
      </c>
      <c r="D31" s="805" t="s">
        <v>124</v>
      </c>
      <c r="E31" s="805"/>
      <c r="F31" s="805"/>
      <c r="G31" s="805"/>
      <c r="H31" s="805"/>
      <c r="I31" s="805"/>
    </row>
    <row r="32" spans="1:9" s="170" customFormat="1" ht="11.25" customHeight="1" x14ac:dyDescent="0.2">
      <c r="A32" s="251" t="s">
        <v>481</v>
      </c>
      <c r="B32" s="208">
        <v>962</v>
      </c>
      <c r="C32" s="402" t="s">
        <v>482</v>
      </c>
      <c r="D32" s="1045" t="s">
        <v>483</v>
      </c>
      <c r="E32" s="1046"/>
      <c r="F32" s="1046"/>
      <c r="G32" s="1046"/>
      <c r="H32" s="1046"/>
      <c r="I32" s="1047"/>
    </row>
    <row r="33" spans="1:11" s="170" customFormat="1" ht="11.25" customHeight="1" x14ac:dyDescent="0.2">
      <c r="A33" s="403" t="s">
        <v>484</v>
      </c>
      <c r="B33" s="404">
        <v>1440</v>
      </c>
      <c r="C33" s="405" t="s">
        <v>482</v>
      </c>
      <c r="D33" s="778"/>
      <c r="E33" s="779"/>
      <c r="F33" s="779"/>
      <c r="G33" s="779"/>
      <c r="H33" s="779"/>
      <c r="I33" s="780"/>
      <c r="J33" s="287"/>
      <c r="K33" s="287"/>
    </row>
    <row r="34" spans="1:11" s="170" customFormat="1" ht="11.25" customHeight="1" x14ac:dyDescent="0.2">
      <c r="A34" s="403" t="s">
        <v>485</v>
      </c>
      <c r="B34" s="404">
        <v>1372</v>
      </c>
      <c r="C34" s="406" t="s">
        <v>486</v>
      </c>
      <c r="D34" s="778" t="s">
        <v>487</v>
      </c>
      <c r="E34" s="779"/>
      <c r="F34" s="779"/>
      <c r="G34" s="779"/>
      <c r="H34" s="779"/>
      <c r="I34" s="780"/>
      <c r="J34" s="287"/>
      <c r="K34" s="287"/>
    </row>
    <row r="35" spans="1:11" s="170" customFormat="1" ht="11.25" customHeight="1" x14ac:dyDescent="0.2">
      <c r="A35" s="407" t="s">
        <v>488</v>
      </c>
      <c r="B35" s="404">
        <v>1514</v>
      </c>
      <c r="C35" s="408" t="s">
        <v>489</v>
      </c>
      <c r="D35" s="1048"/>
      <c r="E35" s="1049"/>
      <c r="F35" s="1049"/>
      <c r="G35" s="1049"/>
      <c r="H35" s="1049"/>
      <c r="I35" s="1049"/>
      <c r="J35" s="409"/>
      <c r="K35" s="287"/>
    </row>
    <row r="36" spans="1:11" s="170" customFormat="1" ht="11.25" customHeight="1" x14ac:dyDescent="0.2">
      <c r="A36" s="410" t="s">
        <v>120</v>
      </c>
      <c r="B36" s="411">
        <f>SUM(B32:B35)</f>
        <v>5288</v>
      </c>
      <c r="C36" s="1050"/>
      <c r="D36" s="1050"/>
      <c r="E36" s="1050"/>
      <c r="F36" s="1050"/>
      <c r="G36" s="1050"/>
      <c r="H36" s="1050"/>
      <c r="I36" s="1050"/>
      <c r="J36" s="287"/>
      <c r="K36" s="287"/>
    </row>
    <row r="37" spans="1:11" s="170" customFormat="1" ht="11.25" customHeight="1" x14ac:dyDescent="0.2">
      <c r="A37" s="412"/>
      <c r="B37" s="413"/>
      <c r="C37" s="414"/>
      <c r="D37" s="414"/>
      <c r="E37" s="414"/>
      <c r="F37" s="414"/>
      <c r="G37" s="414"/>
      <c r="H37" s="414"/>
      <c r="I37" s="414"/>
    </row>
    <row r="38" spans="1:11" s="170" customFormat="1" ht="11.25" customHeight="1" x14ac:dyDescent="0.2">
      <c r="A38" s="1039"/>
      <c r="B38" s="1039"/>
      <c r="C38" s="1039"/>
      <c r="D38" s="1039"/>
      <c r="E38" s="1039"/>
      <c r="F38" s="1039"/>
      <c r="G38" s="1039"/>
      <c r="H38" s="415"/>
      <c r="I38" s="415"/>
    </row>
    <row r="39" spans="1:11" s="170" customFormat="1" ht="11.25" customHeight="1" x14ac:dyDescent="0.2">
      <c r="A39" s="416"/>
      <c r="B39" s="417"/>
      <c r="C39" s="415"/>
      <c r="D39" s="415"/>
      <c r="E39" s="415"/>
      <c r="F39" s="415"/>
      <c r="G39" s="415"/>
      <c r="H39" s="415"/>
      <c r="I39" s="415"/>
    </row>
    <row r="40" spans="1:11" s="170" customFormat="1" ht="11.25" customHeight="1" x14ac:dyDescent="0.2">
      <c r="A40" s="204"/>
      <c r="B40" s="204"/>
      <c r="C40" s="205"/>
      <c r="D40" s="204"/>
      <c r="E40" s="204"/>
      <c r="F40" s="204"/>
      <c r="G40" s="204"/>
      <c r="H40" s="204"/>
      <c r="I40" s="204"/>
    </row>
    <row r="41" spans="1:11" s="170" customFormat="1" ht="11.25" customHeight="1" x14ac:dyDescent="0.2">
      <c r="A41" s="781" t="s">
        <v>126</v>
      </c>
      <c r="B41" s="781"/>
      <c r="C41" s="781"/>
      <c r="D41" s="781"/>
      <c r="E41" s="781"/>
      <c r="F41" s="781"/>
      <c r="G41" s="781"/>
      <c r="H41" s="781"/>
      <c r="I41" s="781"/>
    </row>
    <row r="42" spans="1:11" s="170" customFormat="1" ht="11.25" customHeight="1" x14ac:dyDescent="0.2">
      <c r="C42" s="176"/>
    </row>
    <row r="43" spans="1:11" s="170" customFormat="1" ht="11.25" customHeight="1" x14ac:dyDescent="0.2">
      <c r="A43" s="171" t="s">
        <v>122</v>
      </c>
      <c r="B43" s="171" t="s">
        <v>16</v>
      </c>
      <c r="C43" s="206" t="s">
        <v>123</v>
      </c>
      <c r="D43" s="805" t="s">
        <v>127</v>
      </c>
      <c r="E43" s="805"/>
      <c r="F43" s="805"/>
      <c r="G43" s="805"/>
      <c r="H43" s="805"/>
      <c r="I43" s="808"/>
    </row>
    <row r="44" spans="1:11" s="170" customFormat="1" ht="11.25" customHeight="1" x14ac:dyDescent="0.2">
      <c r="A44" s="418"/>
      <c r="B44" s="208"/>
      <c r="C44" s="209"/>
      <c r="D44" s="797"/>
      <c r="E44" s="798"/>
      <c r="F44" s="798"/>
      <c r="G44" s="798"/>
      <c r="H44" s="798"/>
      <c r="I44" s="1027"/>
    </row>
    <row r="45" spans="1:11" s="170" customFormat="1" ht="11.25" customHeight="1" x14ac:dyDescent="0.2">
      <c r="A45" s="1028" t="s">
        <v>490</v>
      </c>
      <c r="B45" s="1029"/>
      <c r="C45" s="1029"/>
      <c r="D45" s="1029"/>
      <c r="E45" s="1029"/>
      <c r="F45" s="1029"/>
      <c r="G45" s="1029"/>
      <c r="H45" s="1029"/>
      <c r="I45" s="1030"/>
    </row>
    <row r="46" spans="1:11" s="170" customFormat="1" ht="11.25" customHeight="1" x14ac:dyDescent="0.2">
      <c r="A46" s="419"/>
      <c r="B46" s="420"/>
      <c r="C46" s="420"/>
      <c r="D46" s="1031"/>
      <c r="E46" s="1032"/>
      <c r="F46" s="1032"/>
      <c r="G46" s="1032"/>
      <c r="H46" s="1032"/>
      <c r="I46" s="1033"/>
    </row>
    <row r="47" spans="1:11" s="170" customFormat="1" ht="11.25" customHeight="1" x14ac:dyDescent="0.2">
      <c r="A47" s="210" t="s">
        <v>120</v>
      </c>
      <c r="B47" s="211">
        <f>SUM(B44:B46)</f>
        <v>0</v>
      </c>
      <c r="C47" s="784"/>
      <c r="D47" s="784"/>
      <c r="E47" s="784"/>
      <c r="F47" s="784"/>
      <c r="G47" s="784"/>
      <c r="H47" s="784"/>
      <c r="I47" s="784"/>
    </row>
    <row r="48" spans="1:11" s="170" customFormat="1" ht="11.25" customHeight="1" x14ac:dyDescent="0.2">
      <c r="C48" s="176"/>
    </row>
    <row r="49" spans="1:9" s="170" customFormat="1" ht="11.25" customHeight="1" x14ac:dyDescent="0.2">
      <c r="A49" s="781" t="s">
        <v>129</v>
      </c>
      <c r="B49" s="781"/>
      <c r="C49" s="781"/>
      <c r="D49" s="781"/>
      <c r="E49" s="781"/>
      <c r="F49" s="781"/>
      <c r="G49" s="781"/>
      <c r="H49" s="781"/>
      <c r="I49" s="781"/>
    </row>
    <row r="50" spans="1:9" s="174" customFormat="1" ht="11.25" x14ac:dyDescent="0.2">
      <c r="A50" s="170"/>
      <c r="B50" s="170"/>
      <c r="C50" s="212"/>
      <c r="D50" s="170"/>
      <c r="E50" s="170"/>
      <c r="F50" s="170"/>
      <c r="G50" s="170"/>
      <c r="H50" s="170"/>
      <c r="I50" s="170"/>
    </row>
    <row r="51" spans="1:9" s="170" customFormat="1" ht="11.25" customHeight="1" x14ac:dyDescent="0.2">
      <c r="A51" s="171" t="s">
        <v>130</v>
      </c>
      <c r="B51" s="206" t="s">
        <v>131</v>
      </c>
      <c r="C51" s="785" t="s">
        <v>132</v>
      </c>
      <c r="D51" s="785"/>
      <c r="E51" s="785"/>
      <c r="F51" s="785"/>
      <c r="G51" s="785"/>
      <c r="H51" s="785"/>
      <c r="I51" s="785"/>
    </row>
    <row r="52" spans="1:9" s="170" customFormat="1" ht="11.25" customHeight="1" x14ac:dyDescent="0.2">
      <c r="A52" s="421">
        <v>17000</v>
      </c>
      <c r="B52" s="213">
        <v>17000</v>
      </c>
      <c r="C52" s="854" t="s">
        <v>491</v>
      </c>
      <c r="D52" s="854"/>
      <c r="E52" s="854"/>
      <c r="F52" s="854"/>
      <c r="G52" s="854"/>
      <c r="H52" s="854"/>
      <c r="I52" s="1034"/>
    </row>
    <row r="53" spans="1:9" s="170" customFormat="1" ht="11.25" customHeight="1" x14ac:dyDescent="0.2">
      <c r="A53" s="422"/>
      <c r="B53" s="423"/>
      <c r="C53" s="1035"/>
      <c r="D53" s="1036"/>
      <c r="E53" s="1036"/>
      <c r="F53" s="1036"/>
      <c r="G53" s="1036"/>
      <c r="H53" s="1036"/>
      <c r="I53" s="1037"/>
    </row>
    <row r="54" spans="1:9" s="170" customFormat="1" ht="11.25" customHeight="1" x14ac:dyDescent="0.2">
      <c r="A54" s="214">
        <f>SUM(A52:A53)</f>
        <v>17000</v>
      </c>
      <c r="B54" s="214">
        <f>SUM(B52:B53)</f>
        <v>17000</v>
      </c>
      <c r="C54" s="788" t="s">
        <v>120</v>
      </c>
      <c r="D54" s="789"/>
      <c r="E54" s="789"/>
      <c r="F54" s="789"/>
      <c r="G54" s="789"/>
      <c r="H54" s="789"/>
      <c r="I54" s="1038"/>
    </row>
    <row r="55" spans="1:9" s="170" customFormat="1" ht="11.25" customHeight="1" x14ac:dyDescent="0.2">
      <c r="C55" s="212"/>
    </row>
    <row r="56" spans="1:9" s="170" customFormat="1" ht="18.75" customHeight="1" x14ac:dyDescent="0.2">
      <c r="A56" s="781" t="s">
        <v>177</v>
      </c>
      <c r="B56" s="766"/>
      <c r="C56" s="766"/>
      <c r="D56" s="766"/>
      <c r="E56" s="766"/>
      <c r="F56" s="766"/>
      <c r="G56" s="766"/>
      <c r="H56" s="766"/>
      <c r="I56" s="766"/>
    </row>
    <row r="57" spans="1:9" s="170" customFormat="1" ht="39" customHeight="1" x14ac:dyDescent="0.25">
      <c r="A57" s="767" t="s">
        <v>135</v>
      </c>
      <c r="B57" s="768"/>
      <c r="C57" s="215" t="s">
        <v>136</v>
      </c>
      <c r="D57" s="215" t="s">
        <v>137</v>
      </c>
      <c r="E57" s="215" t="s">
        <v>138</v>
      </c>
      <c r="F57" s="215" t="s">
        <v>139</v>
      </c>
      <c r="G57" s="215" t="s">
        <v>140</v>
      </c>
      <c r="H57" s="216"/>
      <c r="I57" s="216"/>
    </row>
    <row r="58" spans="1:9" s="170" customFormat="1" ht="11.25" customHeight="1" x14ac:dyDescent="0.2">
      <c r="A58" s="1021" t="s">
        <v>492</v>
      </c>
      <c r="B58" s="1022"/>
      <c r="C58" s="424" t="s">
        <v>493</v>
      </c>
      <c r="D58" s="425">
        <v>10000</v>
      </c>
      <c r="E58" s="425"/>
      <c r="F58" s="426"/>
      <c r="G58" s="427"/>
    </row>
    <row r="59" spans="1:9" s="170" customFormat="1" ht="11.25" customHeight="1" x14ac:dyDescent="0.2">
      <c r="A59" s="1023"/>
      <c r="B59" s="1024"/>
      <c r="C59" s="424" t="s">
        <v>494</v>
      </c>
      <c r="D59" s="425"/>
      <c r="E59" s="425">
        <v>10000</v>
      </c>
      <c r="F59" s="428">
        <v>43146</v>
      </c>
      <c r="G59" s="429">
        <v>43150</v>
      </c>
    </row>
    <row r="60" spans="1:9" s="174" customFormat="1" ht="11.25" x14ac:dyDescent="0.2">
      <c r="A60" s="1021" t="s">
        <v>495</v>
      </c>
      <c r="B60" s="1022"/>
      <c r="C60" s="430" t="s">
        <v>496</v>
      </c>
      <c r="D60" s="431">
        <v>7000</v>
      </c>
      <c r="E60" s="431"/>
      <c r="F60" s="432"/>
      <c r="G60" s="433"/>
      <c r="H60" s="170"/>
      <c r="I60" s="170"/>
    </row>
    <row r="61" spans="1:9" s="170" customFormat="1" ht="11.25" x14ac:dyDescent="0.2">
      <c r="A61" s="434"/>
      <c r="B61" s="435"/>
      <c r="C61" s="436" t="s">
        <v>237</v>
      </c>
      <c r="D61" s="437"/>
      <c r="E61" s="437">
        <v>7000</v>
      </c>
      <c r="F61" s="438">
        <v>43185</v>
      </c>
      <c r="G61" s="439">
        <v>43185</v>
      </c>
    </row>
    <row r="62" spans="1:9" s="177" customFormat="1" ht="12" customHeight="1" x14ac:dyDescent="0.2">
      <c r="A62" s="1008" t="s">
        <v>497</v>
      </c>
      <c r="B62" s="1025"/>
      <c r="C62" s="440" t="s">
        <v>498</v>
      </c>
      <c r="D62" s="441"/>
      <c r="E62" s="442">
        <v>1380000</v>
      </c>
      <c r="F62" s="443"/>
      <c r="G62" s="444"/>
      <c r="H62" s="170"/>
      <c r="I62" s="170"/>
    </row>
    <row r="63" spans="1:9" s="170" customFormat="1" ht="11.25" x14ac:dyDescent="0.2">
      <c r="A63" s="1008" t="s">
        <v>499</v>
      </c>
      <c r="B63" s="1009"/>
      <c r="C63" s="445" t="s">
        <v>226</v>
      </c>
      <c r="D63" s="446">
        <v>1380000</v>
      </c>
      <c r="E63" s="446"/>
      <c r="F63" s="447">
        <v>43165</v>
      </c>
      <c r="G63" s="448">
        <v>43179</v>
      </c>
    </row>
    <row r="64" spans="1:9" s="170" customFormat="1" ht="11.25" x14ac:dyDescent="0.2">
      <c r="A64" s="1010" t="s">
        <v>500</v>
      </c>
      <c r="B64" s="1026"/>
      <c r="C64" s="449"/>
      <c r="D64" s="450"/>
      <c r="E64" s="450"/>
      <c r="F64" s="451"/>
      <c r="G64" s="452"/>
    </row>
    <row r="65" spans="1:9" s="170" customFormat="1" ht="11.25" x14ac:dyDescent="0.2">
      <c r="A65" s="1012" t="s">
        <v>501</v>
      </c>
      <c r="B65" s="1017"/>
      <c r="C65" s="453" t="s">
        <v>502</v>
      </c>
      <c r="D65" s="441"/>
      <c r="E65" s="441">
        <v>-330000</v>
      </c>
      <c r="F65" s="454"/>
      <c r="G65" s="444"/>
    </row>
    <row r="66" spans="1:9" s="170" customFormat="1" ht="12" customHeight="1" x14ac:dyDescent="0.2">
      <c r="A66" s="1008" t="s">
        <v>503</v>
      </c>
      <c r="B66" s="1009"/>
      <c r="C66" s="455" t="s">
        <v>233</v>
      </c>
      <c r="D66" s="446"/>
      <c r="E66" s="446">
        <v>120000</v>
      </c>
      <c r="F66" s="447">
        <v>43187</v>
      </c>
      <c r="G66" s="448">
        <v>43193</v>
      </c>
    </row>
    <row r="67" spans="1:9" s="174" customFormat="1" ht="11.25" x14ac:dyDescent="0.2">
      <c r="A67" s="1010" t="s">
        <v>504</v>
      </c>
      <c r="B67" s="1011"/>
      <c r="C67" s="456" t="s">
        <v>498</v>
      </c>
      <c r="D67" s="450"/>
      <c r="E67" s="450">
        <v>210000</v>
      </c>
      <c r="F67" s="451"/>
      <c r="G67" s="452"/>
      <c r="H67" s="170"/>
      <c r="I67" s="170"/>
    </row>
    <row r="68" spans="1:9" s="170" customFormat="1" ht="11.25" x14ac:dyDescent="0.2">
      <c r="A68" s="1012" t="s">
        <v>505</v>
      </c>
      <c r="B68" s="1017"/>
      <c r="C68" s="457" t="s">
        <v>506</v>
      </c>
      <c r="D68" s="458"/>
      <c r="E68" s="458">
        <v>5348</v>
      </c>
      <c r="F68" s="459"/>
      <c r="G68" s="460"/>
    </row>
    <row r="69" spans="1:9" s="170" customFormat="1" ht="11.25" x14ac:dyDescent="0.2">
      <c r="A69" s="1008" t="s">
        <v>507</v>
      </c>
      <c r="B69" s="1009"/>
      <c r="C69" s="457" t="s">
        <v>508</v>
      </c>
      <c r="D69" s="458"/>
      <c r="E69" s="458">
        <v>962</v>
      </c>
      <c r="F69" s="459"/>
      <c r="G69" s="460"/>
    </row>
    <row r="70" spans="1:9" s="170" customFormat="1" ht="11.25" x14ac:dyDescent="0.2">
      <c r="A70" s="1008"/>
      <c r="B70" s="1009"/>
      <c r="C70" s="457" t="s">
        <v>509</v>
      </c>
      <c r="D70" s="458"/>
      <c r="E70" s="458">
        <v>3690</v>
      </c>
      <c r="F70" s="459">
        <v>43215</v>
      </c>
      <c r="G70" s="460">
        <v>43216</v>
      </c>
    </row>
    <row r="71" spans="1:9" s="216" customFormat="1" ht="15" customHeight="1" x14ac:dyDescent="0.25">
      <c r="A71" s="1010"/>
      <c r="B71" s="1011"/>
      <c r="C71" s="457" t="s">
        <v>226</v>
      </c>
      <c r="D71" s="458">
        <v>10000</v>
      </c>
      <c r="E71" s="458"/>
      <c r="F71" s="459"/>
      <c r="G71" s="460"/>
      <c r="H71" s="170"/>
      <c r="I71" s="170"/>
    </row>
    <row r="72" spans="1:9" s="170" customFormat="1" ht="11.25" x14ac:dyDescent="0.2">
      <c r="A72" s="1012" t="s">
        <v>510</v>
      </c>
      <c r="B72" s="1013"/>
      <c r="C72" s="461" t="s">
        <v>511</v>
      </c>
      <c r="D72" s="462"/>
      <c r="E72" s="463">
        <v>74000</v>
      </c>
      <c r="F72" s="464"/>
      <c r="G72" s="465"/>
    </row>
    <row r="73" spans="1:9" s="170" customFormat="1" ht="11.25" x14ac:dyDescent="0.2">
      <c r="A73" s="1008" t="s">
        <v>512</v>
      </c>
      <c r="B73" s="1014"/>
      <c r="C73" s="466" t="s">
        <v>513</v>
      </c>
      <c r="D73" s="467">
        <v>74000</v>
      </c>
      <c r="E73" s="468"/>
      <c r="F73" s="469" t="s">
        <v>514</v>
      </c>
      <c r="G73" s="470">
        <v>43258</v>
      </c>
    </row>
    <row r="74" spans="1:9" s="170" customFormat="1" ht="12" customHeight="1" x14ac:dyDescent="0.2">
      <c r="A74" s="1015"/>
      <c r="B74" s="1016"/>
      <c r="C74" s="471"/>
      <c r="D74" s="472"/>
      <c r="E74" s="473"/>
      <c r="F74" s="474"/>
      <c r="G74" s="475"/>
    </row>
    <row r="75" spans="1:9" s="170" customFormat="1" ht="11.25" x14ac:dyDescent="0.2">
      <c r="A75" s="1012" t="s">
        <v>515</v>
      </c>
      <c r="B75" s="1017"/>
      <c r="C75" s="476" t="s">
        <v>233</v>
      </c>
      <c r="D75" s="477"/>
      <c r="E75" s="478">
        <v>390000</v>
      </c>
      <c r="F75" s="479"/>
      <c r="G75" s="480"/>
    </row>
    <row r="76" spans="1:9" s="170" customFormat="1" ht="12" customHeight="1" x14ac:dyDescent="0.2">
      <c r="A76" s="1008" t="s">
        <v>516</v>
      </c>
      <c r="B76" s="1009"/>
      <c r="C76" s="481" t="s">
        <v>237</v>
      </c>
      <c r="D76" s="482"/>
      <c r="E76" s="483">
        <v>280000</v>
      </c>
      <c r="F76" s="469"/>
      <c r="G76" s="470"/>
    </row>
    <row r="77" spans="1:9" s="170" customFormat="1" ht="12" customHeight="1" x14ac:dyDescent="0.2">
      <c r="A77" s="1008" t="s">
        <v>517</v>
      </c>
      <c r="B77" s="1018"/>
      <c r="C77" s="484" t="s">
        <v>509</v>
      </c>
      <c r="D77" s="458"/>
      <c r="E77" s="485">
        <v>490000</v>
      </c>
      <c r="F77" s="459">
        <v>43264</v>
      </c>
      <c r="G77" s="486">
        <v>43266</v>
      </c>
    </row>
    <row r="78" spans="1:9" s="170" customFormat="1" ht="12" customHeight="1" x14ac:dyDescent="0.2">
      <c r="A78" s="1010"/>
      <c r="B78" s="1011"/>
      <c r="C78" s="487" t="s">
        <v>226</v>
      </c>
      <c r="D78" s="488">
        <v>1160000</v>
      </c>
      <c r="E78" s="489"/>
      <c r="F78" s="490"/>
      <c r="G78" s="491"/>
    </row>
    <row r="79" spans="1:9" s="170" customFormat="1" ht="12" customHeight="1" x14ac:dyDescent="0.2">
      <c r="A79" s="1012" t="s">
        <v>518</v>
      </c>
      <c r="B79" s="1017"/>
      <c r="C79" s="440" t="s">
        <v>498</v>
      </c>
      <c r="D79" s="441"/>
      <c r="E79" s="492">
        <v>65000</v>
      </c>
      <c r="F79" s="454"/>
      <c r="G79" s="444"/>
    </row>
    <row r="80" spans="1:9" s="170" customFormat="1" ht="12" customHeight="1" x14ac:dyDescent="0.2">
      <c r="A80" s="1019" t="s">
        <v>519</v>
      </c>
      <c r="B80" s="1020"/>
      <c r="C80" s="471" t="s">
        <v>226</v>
      </c>
      <c r="D80" s="458">
        <v>65000</v>
      </c>
      <c r="E80" s="493"/>
      <c r="F80" s="474">
        <v>43278</v>
      </c>
      <c r="G80" s="475">
        <v>43280</v>
      </c>
    </row>
    <row r="81" spans="1:9" s="170" customFormat="1" ht="12" customHeight="1" x14ac:dyDescent="0.2">
      <c r="A81" s="1006" t="s">
        <v>178</v>
      </c>
      <c r="B81" s="1007"/>
      <c r="C81" s="494"/>
      <c r="D81" s="393">
        <f>SUM(D58:D80)</f>
        <v>2706000</v>
      </c>
      <c r="E81" s="393">
        <f>SUM(E58:E80)</f>
        <v>2706000</v>
      </c>
      <c r="F81" s="495"/>
      <c r="G81" s="496"/>
    </row>
    <row r="82" spans="1:9" s="170" customFormat="1" ht="12" customHeight="1" x14ac:dyDescent="0.2">
      <c r="A82" s="497"/>
      <c r="B82" s="497"/>
      <c r="C82" s="498"/>
      <c r="D82" s="499"/>
      <c r="E82" s="499"/>
      <c r="F82" s="500"/>
      <c r="G82" s="501"/>
    </row>
    <row r="83" spans="1:9" s="170" customFormat="1" ht="12" customHeight="1" x14ac:dyDescent="0.2">
      <c r="A83" s="497"/>
      <c r="B83" s="497"/>
      <c r="C83" s="498"/>
      <c r="D83" s="499"/>
      <c r="E83" s="499"/>
      <c r="F83" s="500"/>
      <c r="G83" s="501"/>
    </row>
    <row r="84" spans="1:9" s="170" customFormat="1" ht="12" customHeight="1" x14ac:dyDescent="0.2">
      <c r="A84" s="497"/>
      <c r="B84" s="497"/>
      <c r="C84" s="498"/>
      <c r="D84" s="499"/>
      <c r="E84" s="499"/>
      <c r="F84" s="500"/>
      <c r="G84" s="501"/>
    </row>
    <row r="85" spans="1:9" s="170" customFormat="1" ht="12" customHeight="1" x14ac:dyDescent="0.2">
      <c r="A85" s="766" t="s">
        <v>180</v>
      </c>
      <c r="B85" s="766"/>
      <c r="C85" s="766"/>
      <c r="D85" s="766"/>
      <c r="E85" s="766"/>
      <c r="F85" s="766"/>
      <c r="G85" s="766"/>
      <c r="H85" s="766"/>
      <c r="I85" s="766"/>
    </row>
    <row r="86" spans="1:9" s="170" customFormat="1" ht="19.5" customHeight="1" x14ac:dyDescent="0.25">
      <c r="A86" s="767" t="s">
        <v>135</v>
      </c>
      <c r="B86" s="768"/>
      <c r="C86" s="215" t="s">
        <v>136</v>
      </c>
      <c r="D86" s="215" t="s">
        <v>137</v>
      </c>
      <c r="E86" s="215" t="s">
        <v>138</v>
      </c>
      <c r="F86" s="215" t="s">
        <v>139</v>
      </c>
      <c r="G86" s="215" t="s">
        <v>140</v>
      </c>
      <c r="H86" s="216"/>
      <c r="I86" s="216"/>
    </row>
    <row r="87" spans="1:9" s="170" customFormat="1" ht="12" customHeight="1" x14ac:dyDescent="0.2">
      <c r="A87" s="769"/>
      <c r="B87" s="770"/>
      <c r="C87" s="236"/>
      <c r="D87" s="237">
        <v>0</v>
      </c>
      <c r="E87" s="237">
        <v>0</v>
      </c>
      <c r="F87" s="247"/>
      <c r="G87" s="247"/>
    </row>
    <row r="88" spans="1:9" s="170" customFormat="1" ht="12" customHeight="1" x14ac:dyDescent="0.2">
      <c r="A88" s="771"/>
      <c r="B88" s="772"/>
      <c r="C88" s="243"/>
      <c r="D88" s="244">
        <v>0</v>
      </c>
      <c r="E88" s="244">
        <v>0</v>
      </c>
      <c r="F88" s="245"/>
      <c r="G88" s="245"/>
    </row>
    <row r="89" spans="1:9" s="170" customFormat="1" ht="13.5" customHeight="1" x14ac:dyDescent="0.2">
      <c r="A89" s="773" t="s">
        <v>178</v>
      </c>
      <c r="B89" s="774"/>
      <c r="C89" s="233"/>
      <c r="D89" s="234">
        <f>SUM(D87:D88)</f>
        <v>0</v>
      </c>
      <c r="E89" s="234">
        <f>SUM(E87:E88)</f>
        <v>0</v>
      </c>
      <c r="F89" s="775"/>
      <c r="G89" s="776"/>
    </row>
    <row r="90" spans="1:9" s="170" customFormat="1" ht="12" customHeight="1" x14ac:dyDescent="0.2">
      <c r="C90" s="212"/>
    </row>
    <row r="91" spans="1:9" s="170" customFormat="1" ht="12" customHeight="1" x14ac:dyDescent="0.2">
      <c r="A91" s="777" t="s">
        <v>238</v>
      </c>
      <c r="B91" s="777"/>
      <c r="C91" s="777"/>
      <c r="D91" s="777"/>
      <c r="E91" s="777"/>
      <c r="F91" s="777"/>
      <c r="G91" s="777"/>
      <c r="H91" s="777"/>
      <c r="I91" s="777"/>
    </row>
    <row r="92" spans="1:9" s="170" customFormat="1" ht="12" customHeight="1" x14ac:dyDescent="0.2"/>
    <row r="93" spans="1:9" s="170" customFormat="1" ht="11.25" x14ac:dyDescent="0.2">
      <c r="A93" s="1004" t="s">
        <v>520</v>
      </c>
      <c r="B93" s="1005"/>
      <c r="C93" s="1005"/>
      <c r="D93" s="1005"/>
      <c r="E93" s="1005"/>
      <c r="F93" s="1005"/>
      <c r="G93" s="1005"/>
      <c r="H93" s="1005"/>
      <c r="I93" s="1005"/>
    </row>
    <row r="94" spans="1:9" s="170" customFormat="1" ht="11.25" x14ac:dyDescent="0.2">
      <c r="A94" s="1004" t="s">
        <v>521</v>
      </c>
      <c r="B94" s="1005"/>
      <c r="C94" s="1005"/>
      <c r="D94" s="1005"/>
      <c r="E94" s="1005"/>
      <c r="F94" s="1005"/>
      <c r="G94" s="1005"/>
      <c r="H94" s="1005"/>
      <c r="I94" s="1005"/>
    </row>
    <row r="95" spans="1:9" s="170" customFormat="1" ht="11.25" x14ac:dyDescent="0.2">
      <c r="A95" s="502"/>
      <c r="B95" s="325"/>
      <c r="C95" s="325"/>
      <c r="D95" s="325"/>
      <c r="E95" s="325"/>
      <c r="F95" s="325"/>
      <c r="G95" s="325"/>
      <c r="H95" s="325"/>
      <c r="I95" s="325"/>
    </row>
    <row r="96" spans="1:9" s="170" customFormat="1" ht="11.25" x14ac:dyDescent="0.2"/>
    <row r="97" spans="1:9" s="170" customFormat="1" ht="11.25" x14ac:dyDescent="0.2">
      <c r="A97" s="781" t="s">
        <v>165</v>
      </c>
      <c r="B97" s="781"/>
      <c r="C97" s="781"/>
      <c r="D97" s="781"/>
      <c r="E97" s="781"/>
      <c r="F97" s="781"/>
      <c r="G97" s="781"/>
      <c r="H97" s="781"/>
      <c r="I97" s="781"/>
    </row>
    <row r="98" spans="1:9" s="170" customFormat="1" ht="11.25" customHeight="1" x14ac:dyDescent="0.2"/>
    <row r="99" spans="1:9" s="170" customFormat="1" ht="11.25" customHeight="1" x14ac:dyDescent="0.2">
      <c r="A99" s="1004" t="s">
        <v>522</v>
      </c>
      <c r="B99" s="1004"/>
      <c r="C99" s="1004"/>
      <c r="D99" s="1004"/>
      <c r="E99" s="1004"/>
      <c r="F99" s="1004"/>
      <c r="G99" s="1004"/>
      <c r="H99" s="1004"/>
      <c r="I99" s="1004"/>
    </row>
    <row r="100" spans="1:9" s="170" customFormat="1" ht="11.25" x14ac:dyDescent="0.2">
      <c r="A100" s="1004" t="s">
        <v>523</v>
      </c>
      <c r="B100" s="1004"/>
      <c r="C100" s="1004"/>
      <c r="D100" s="1004"/>
      <c r="E100" s="1004"/>
      <c r="F100" s="1004"/>
      <c r="G100" s="1004"/>
      <c r="H100" s="1004"/>
      <c r="I100" s="1004"/>
    </row>
    <row r="101" spans="1:9" s="170" customFormat="1" ht="11.25" x14ac:dyDescent="0.2">
      <c r="A101" s="1004" t="s">
        <v>524</v>
      </c>
      <c r="B101" s="1004"/>
      <c r="C101" s="1004"/>
      <c r="D101" s="1004"/>
      <c r="E101" s="1004"/>
      <c r="F101" s="1004"/>
      <c r="G101" s="1004"/>
      <c r="H101" s="1004"/>
      <c r="I101" s="1004"/>
    </row>
    <row r="102" spans="1:9" s="170" customFormat="1" ht="11.25" x14ac:dyDescent="0.2">
      <c r="A102" s="1004" t="s">
        <v>525</v>
      </c>
      <c r="B102" s="1004"/>
      <c r="C102" s="1004"/>
      <c r="D102" s="1004"/>
      <c r="E102" s="1004"/>
      <c r="F102" s="1004"/>
      <c r="G102" s="1004"/>
      <c r="H102" s="1004"/>
      <c r="I102" s="1004"/>
    </row>
    <row r="103" spans="1:9" s="170" customFormat="1" x14ac:dyDescent="0.2">
      <c r="A103" s="4"/>
      <c r="B103" s="4"/>
      <c r="C103" s="4"/>
      <c r="D103" s="4"/>
      <c r="E103" s="4"/>
      <c r="F103" s="4"/>
      <c r="G103" s="4"/>
      <c r="H103" s="4"/>
      <c r="I103" s="4"/>
    </row>
    <row r="104" spans="1:9" s="216" customFormat="1" ht="13.9" customHeight="1" x14ac:dyDescent="0.25">
      <c r="A104" s="170" t="s">
        <v>526</v>
      </c>
      <c r="B104" s="4"/>
      <c r="C104" s="4"/>
      <c r="D104" s="4"/>
      <c r="E104" s="4" t="s">
        <v>527</v>
      </c>
      <c r="F104" s="4"/>
      <c r="G104" s="4"/>
      <c r="H104" s="4"/>
      <c r="I104" s="4"/>
    </row>
    <row r="105" spans="1:9" s="170" customFormat="1" ht="13.9" customHeight="1" x14ac:dyDescent="0.2">
      <c r="A105" s="4" t="s">
        <v>528</v>
      </c>
      <c r="B105" s="4"/>
      <c r="C105" s="4"/>
      <c r="D105" s="4"/>
      <c r="E105" s="4" t="s">
        <v>529</v>
      </c>
      <c r="F105" s="4"/>
      <c r="G105" s="4"/>
      <c r="H105" s="4"/>
      <c r="I105" s="4"/>
    </row>
    <row r="106" spans="1:9" s="170" customFormat="1" ht="13.9" customHeight="1" x14ac:dyDescent="0.2">
      <c r="A106" s="4"/>
      <c r="B106" s="4"/>
      <c r="C106" s="4"/>
      <c r="D106" s="4"/>
      <c r="E106" s="4"/>
      <c r="F106" s="4"/>
      <c r="G106" s="4"/>
      <c r="H106" s="4"/>
      <c r="I106" s="4"/>
    </row>
    <row r="107" spans="1:9" s="170" customFormat="1" ht="13.9" customHeight="1" x14ac:dyDescent="0.2">
      <c r="A107" s="4"/>
      <c r="B107" s="4"/>
      <c r="C107" s="4"/>
      <c r="D107" s="4"/>
      <c r="E107" s="4"/>
      <c r="F107" s="4"/>
      <c r="G107" s="4"/>
      <c r="H107" s="4"/>
      <c r="I107" s="4"/>
    </row>
    <row r="108" spans="1:9" s="170" customFormat="1" x14ac:dyDescent="0.2">
      <c r="A108" s="4"/>
      <c r="B108" s="4"/>
      <c r="C108" s="4"/>
      <c r="D108" s="4"/>
      <c r="E108" s="4"/>
      <c r="F108" s="4"/>
      <c r="G108" s="4"/>
      <c r="H108" s="4"/>
      <c r="I108" s="4"/>
    </row>
    <row r="109" spans="1:9" s="170" customFormat="1" ht="15" customHeight="1" x14ac:dyDescent="0.2">
      <c r="A109" s="4"/>
      <c r="B109" s="4"/>
      <c r="C109" s="4"/>
      <c r="D109" s="4"/>
      <c r="E109" s="4"/>
      <c r="F109" s="4"/>
      <c r="G109" s="4"/>
      <c r="H109" s="4"/>
      <c r="I109" s="4"/>
    </row>
    <row r="110" spans="1:9" s="170" customFormat="1" ht="15" customHeight="1" x14ac:dyDescent="0.2">
      <c r="A110" s="4"/>
      <c r="B110" s="4"/>
      <c r="C110" s="4"/>
      <c r="D110" s="4"/>
      <c r="E110" s="4"/>
      <c r="F110" s="4"/>
      <c r="G110" s="4"/>
      <c r="H110" s="4"/>
      <c r="I110" s="4"/>
    </row>
    <row r="111" spans="1:9" s="170" customFormat="1" ht="15" customHeight="1" x14ac:dyDescent="0.2">
      <c r="A111" s="4"/>
      <c r="B111" s="4"/>
      <c r="C111" s="4"/>
      <c r="D111" s="4"/>
      <c r="E111" s="4"/>
      <c r="F111" s="4"/>
      <c r="G111" s="4"/>
      <c r="H111" s="4"/>
      <c r="I111" s="4"/>
    </row>
    <row r="112" spans="1:9" s="170" customFormat="1" ht="15" customHeight="1" x14ac:dyDescent="0.2">
      <c r="A112" s="4"/>
      <c r="B112" s="4"/>
      <c r="C112" s="4"/>
      <c r="D112" s="4"/>
      <c r="E112" s="4"/>
      <c r="F112" s="4"/>
      <c r="G112" s="4"/>
      <c r="H112" s="4"/>
      <c r="I112" s="4"/>
    </row>
    <row r="113" spans="1:9" s="170" customFormat="1" x14ac:dyDescent="0.2">
      <c r="A113" s="4"/>
      <c r="B113" s="4"/>
      <c r="C113" s="4"/>
      <c r="D113" s="4"/>
      <c r="E113" s="4"/>
      <c r="F113" s="4"/>
      <c r="G113" s="4"/>
      <c r="H113" s="4"/>
      <c r="I113" s="4"/>
    </row>
    <row r="114" spans="1:9" s="177" customFormat="1" x14ac:dyDescent="0.2">
      <c r="A114" s="4"/>
      <c r="B114" s="4"/>
      <c r="C114" s="4"/>
      <c r="D114" s="4"/>
      <c r="E114" s="4"/>
      <c r="F114" s="4"/>
      <c r="G114" s="4"/>
      <c r="H114" s="4"/>
      <c r="I114" s="4"/>
    </row>
    <row r="115" spans="1:9" s="170" customFormat="1" ht="15.6" customHeight="1" x14ac:dyDescent="0.2">
      <c r="A115" s="4"/>
      <c r="B115" s="4"/>
      <c r="C115" s="4"/>
      <c r="D115" s="4"/>
      <c r="E115" s="4"/>
      <c r="F115" s="4"/>
      <c r="G115" s="4"/>
      <c r="H115" s="4"/>
      <c r="I115" s="4"/>
    </row>
    <row r="116" spans="1:9" s="170" customFormat="1" ht="15.6" customHeight="1" x14ac:dyDescent="0.2">
      <c r="A116" s="4"/>
      <c r="B116" s="4"/>
      <c r="C116" s="4"/>
      <c r="D116" s="4"/>
      <c r="E116" s="4"/>
      <c r="F116" s="4"/>
      <c r="G116" s="4"/>
      <c r="H116" s="4"/>
      <c r="I116" s="4"/>
    </row>
    <row r="117" spans="1:9" s="170" customFormat="1" ht="13.9" customHeight="1" x14ac:dyDescent="0.2">
      <c r="A117" s="4"/>
      <c r="B117" s="4"/>
      <c r="C117" s="4"/>
      <c r="D117" s="4"/>
      <c r="E117" s="4"/>
      <c r="F117" s="4"/>
      <c r="G117" s="4"/>
      <c r="H117" s="4"/>
      <c r="I117" s="4"/>
    </row>
    <row r="118" spans="1:9" s="170" customFormat="1" ht="13.9" customHeight="1" x14ac:dyDescent="0.2">
      <c r="A118" s="4"/>
      <c r="B118" s="4"/>
      <c r="C118" s="4"/>
      <c r="D118" s="4"/>
      <c r="E118" s="4"/>
      <c r="F118" s="4"/>
      <c r="G118" s="4"/>
      <c r="H118" s="4"/>
      <c r="I118" s="4"/>
    </row>
    <row r="119" spans="1:9" s="170" customFormat="1" ht="13.9" customHeight="1" x14ac:dyDescent="0.2">
      <c r="A119" s="4"/>
      <c r="B119" s="4"/>
      <c r="C119" s="4"/>
      <c r="D119" s="4"/>
      <c r="E119" s="4"/>
      <c r="F119" s="4"/>
      <c r="G119" s="4"/>
      <c r="H119" s="4"/>
      <c r="I119" s="4"/>
    </row>
    <row r="120" spans="1:9" s="170" customFormat="1" ht="13.9" customHeight="1" x14ac:dyDescent="0.2">
      <c r="A120" s="4"/>
      <c r="B120" s="4"/>
      <c r="C120" s="4"/>
      <c r="D120" s="4"/>
      <c r="E120" s="4"/>
      <c r="F120" s="4"/>
      <c r="G120" s="4"/>
      <c r="H120" s="4"/>
      <c r="I120" s="4"/>
    </row>
    <row r="121" spans="1:9" s="169" customFormat="1" x14ac:dyDescent="0.2">
      <c r="A121" s="4"/>
      <c r="B121" s="4"/>
      <c r="C121" s="4"/>
      <c r="D121" s="4"/>
      <c r="E121" s="4"/>
      <c r="F121" s="4"/>
      <c r="G121" s="4"/>
      <c r="H121" s="4"/>
      <c r="I121" s="4"/>
    </row>
    <row r="122" spans="1:9" s="170" customFormat="1" x14ac:dyDescent="0.2">
      <c r="A122" s="4"/>
      <c r="B122" s="4"/>
      <c r="C122" s="4"/>
      <c r="D122" s="4"/>
      <c r="E122" s="4"/>
      <c r="F122" s="4"/>
      <c r="G122" s="4"/>
      <c r="H122" s="4"/>
      <c r="I122" s="4"/>
    </row>
    <row r="123" spans="1:9" s="170" customFormat="1" ht="16.149999999999999" customHeight="1" x14ac:dyDescent="0.2">
      <c r="A123" s="4"/>
      <c r="B123" s="4"/>
      <c r="C123" s="4"/>
      <c r="D123" s="4"/>
      <c r="E123" s="4"/>
      <c r="F123" s="4"/>
      <c r="G123" s="4"/>
      <c r="H123" s="4"/>
      <c r="I123" s="4"/>
    </row>
    <row r="124" spans="1:9" s="170" customFormat="1" x14ac:dyDescent="0.2">
      <c r="A124" s="4"/>
      <c r="B124" s="4"/>
      <c r="C124" s="4"/>
      <c r="D124" s="4"/>
      <c r="E124" s="4"/>
      <c r="F124" s="4"/>
      <c r="G124" s="4"/>
      <c r="H124" s="4"/>
      <c r="I124" s="4"/>
    </row>
    <row r="125" spans="1:9" s="170" customFormat="1" x14ac:dyDescent="0.2">
      <c r="A125" s="4"/>
      <c r="B125" s="4"/>
      <c r="C125" s="4"/>
      <c r="D125" s="4"/>
      <c r="E125" s="4"/>
      <c r="F125" s="4"/>
      <c r="G125" s="4"/>
      <c r="H125" s="4"/>
      <c r="I125" s="4"/>
    </row>
  </sheetData>
  <mergeCells count="80">
    <mergeCell ref="A1:I1"/>
    <mergeCell ref="A3:I3"/>
    <mergeCell ref="A5:B5"/>
    <mergeCell ref="D5:I5"/>
    <mergeCell ref="A6:B6"/>
    <mergeCell ref="D6:I6"/>
    <mergeCell ref="G17:I17"/>
    <mergeCell ref="A7:B7"/>
    <mergeCell ref="D7:I7"/>
    <mergeCell ref="A8:B8"/>
    <mergeCell ref="D8:I8"/>
    <mergeCell ref="A9:I9"/>
    <mergeCell ref="A10:I10"/>
    <mergeCell ref="A12:I12"/>
    <mergeCell ref="G13:I13"/>
    <mergeCell ref="G14:I14"/>
    <mergeCell ref="G15:I15"/>
    <mergeCell ref="G16:I16"/>
    <mergeCell ref="A38:G38"/>
    <mergeCell ref="G18:I18"/>
    <mergeCell ref="G19:I19"/>
    <mergeCell ref="A21:I21"/>
    <mergeCell ref="A22:I22"/>
    <mergeCell ref="A29:I29"/>
    <mergeCell ref="D31:I31"/>
    <mergeCell ref="D32:I32"/>
    <mergeCell ref="D33:I33"/>
    <mergeCell ref="D34:I34"/>
    <mergeCell ref="D35:I35"/>
    <mergeCell ref="C36:I36"/>
    <mergeCell ref="A56:I56"/>
    <mergeCell ref="A41:I41"/>
    <mergeCell ref="D43:I43"/>
    <mergeCell ref="D44:I44"/>
    <mergeCell ref="A45:I45"/>
    <mergeCell ref="D46:I46"/>
    <mergeCell ref="C47:I47"/>
    <mergeCell ref="A49:I49"/>
    <mergeCell ref="C51:I51"/>
    <mergeCell ref="C52:I52"/>
    <mergeCell ref="C53:I53"/>
    <mergeCell ref="C54:I54"/>
    <mergeCell ref="A69:B69"/>
    <mergeCell ref="A57:B57"/>
    <mergeCell ref="A58:B58"/>
    <mergeCell ref="A59:B59"/>
    <mergeCell ref="A60:B60"/>
    <mergeCell ref="A62:B62"/>
    <mergeCell ref="A63:B63"/>
    <mergeCell ref="A64:B64"/>
    <mergeCell ref="A65:B65"/>
    <mergeCell ref="A66:B66"/>
    <mergeCell ref="A67:B67"/>
    <mergeCell ref="A68:B68"/>
    <mergeCell ref="A81:B81"/>
    <mergeCell ref="A70:B70"/>
    <mergeCell ref="A71:B71"/>
    <mergeCell ref="A72:B72"/>
    <mergeCell ref="A73:B73"/>
    <mergeCell ref="A74:B74"/>
    <mergeCell ref="A75:B75"/>
    <mergeCell ref="A76:B76"/>
    <mergeCell ref="A77:B77"/>
    <mergeCell ref="A78:B78"/>
    <mergeCell ref="A79:B79"/>
    <mergeCell ref="A80:B80"/>
    <mergeCell ref="A85:I85"/>
    <mergeCell ref="A86:B86"/>
    <mergeCell ref="A87:B87"/>
    <mergeCell ref="A88:B88"/>
    <mergeCell ref="A89:B89"/>
    <mergeCell ref="F89:G89"/>
    <mergeCell ref="A101:I101"/>
    <mergeCell ref="A102:I102"/>
    <mergeCell ref="A91:I91"/>
    <mergeCell ref="A93:I93"/>
    <mergeCell ref="A94:I94"/>
    <mergeCell ref="A97:I97"/>
    <mergeCell ref="A99:I99"/>
    <mergeCell ref="A100:I100"/>
  </mergeCells>
  <pageMargins left="0.70866141732283472" right="0.70866141732283472" top="0.78740157480314965" bottom="0.78740157480314965" header="0.31496062992125984" footer="0.31496062992125984"/>
  <pageSetup paperSize="9" scale="51" firstPageNumber="114" orientation="portrait" useFirstPageNumber="1" r:id="rId1"/>
  <headerFoot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6"/>
  <sheetViews>
    <sheetView workbookViewId="0">
      <selection activeCell="C51" sqref="C51"/>
    </sheetView>
  </sheetViews>
  <sheetFormatPr defaultColWidth="3.7109375" defaultRowHeight="15" x14ac:dyDescent="0.25"/>
  <cols>
    <col min="1" max="1" width="3.140625" style="2" customWidth="1"/>
    <col min="2" max="2" width="3.7109375" style="3" customWidth="1"/>
    <col min="3" max="3" width="21" style="3" customWidth="1"/>
    <col min="4" max="4" width="4.85546875" style="3" customWidth="1"/>
    <col min="5" max="7" width="6.28515625" style="3" customWidth="1"/>
    <col min="8" max="8" width="5" style="3" customWidth="1"/>
    <col min="9" max="12" width="6.28515625" style="3" customWidth="1"/>
    <col min="13" max="13" width="5" style="3" customWidth="1"/>
    <col min="14" max="17" width="6.28515625" style="3" customWidth="1"/>
    <col min="18" max="18" width="5" style="3" customWidth="1"/>
    <col min="19" max="22" width="6.28515625" style="3" customWidth="1"/>
    <col min="23" max="23" width="5" style="3" customWidth="1"/>
    <col min="24" max="24" width="6.28515625" style="3" customWidth="1"/>
    <col min="25" max="16384" width="3.7109375" style="3"/>
  </cols>
  <sheetData>
    <row r="1" spans="1:24" s="6" customFormat="1" ht="15.75" x14ac:dyDescent="0.25">
      <c r="A1" s="759" t="s">
        <v>95</v>
      </c>
      <c r="B1" s="759"/>
      <c r="C1" s="759"/>
      <c r="D1" s="759"/>
      <c r="E1" s="759"/>
      <c r="F1" s="759"/>
      <c r="G1" s="759"/>
      <c r="H1" s="759"/>
      <c r="I1" s="759"/>
      <c r="J1" s="759"/>
      <c r="K1" s="759"/>
      <c r="L1" s="759"/>
      <c r="M1" s="759"/>
      <c r="N1" s="759"/>
      <c r="O1" s="759"/>
      <c r="P1" s="759"/>
      <c r="Q1" s="759"/>
      <c r="R1" s="759"/>
      <c r="S1" s="759"/>
      <c r="T1" s="759"/>
      <c r="U1" s="759"/>
      <c r="V1" s="759"/>
      <c r="W1" s="759"/>
      <c r="X1" s="759"/>
    </row>
    <row r="3" spans="1:24" s="7" customFormat="1" ht="9.75" customHeight="1" x14ac:dyDescent="0.2">
      <c r="A3" s="752" t="s">
        <v>1</v>
      </c>
      <c r="B3" s="761" t="s">
        <v>2</v>
      </c>
      <c r="C3" s="760"/>
      <c r="D3" s="761" t="s">
        <v>3</v>
      </c>
      <c r="E3" s="762" t="s">
        <v>4</v>
      </c>
      <c r="F3" s="762"/>
      <c r="G3" s="762"/>
      <c r="H3" s="762"/>
      <c r="I3" s="762"/>
      <c r="J3" s="762" t="s">
        <v>5</v>
      </c>
      <c r="K3" s="762"/>
      <c r="L3" s="762"/>
      <c r="M3" s="762"/>
      <c r="N3" s="762"/>
      <c r="O3" s="762" t="s">
        <v>6</v>
      </c>
      <c r="P3" s="762"/>
      <c r="Q3" s="762"/>
      <c r="R3" s="762"/>
      <c r="S3" s="762"/>
      <c r="T3" s="762" t="s">
        <v>7</v>
      </c>
      <c r="U3" s="762"/>
      <c r="V3" s="762"/>
      <c r="W3" s="762"/>
      <c r="X3" s="762"/>
    </row>
    <row r="4" spans="1:24" s="8" customFormat="1" ht="9.75" customHeight="1" x14ac:dyDescent="0.2">
      <c r="A4" s="760"/>
      <c r="B4" s="760"/>
      <c r="C4" s="760"/>
      <c r="D4" s="761"/>
      <c r="E4" s="754" t="s">
        <v>8</v>
      </c>
      <c r="F4" s="755" t="s">
        <v>9</v>
      </c>
      <c r="G4" s="755"/>
      <c r="H4" s="755"/>
      <c r="I4" s="752" t="s">
        <v>10</v>
      </c>
      <c r="J4" s="754" t="s">
        <v>8</v>
      </c>
      <c r="K4" s="755" t="s">
        <v>9</v>
      </c>
      <c r="L4" s="755"/>
      <c r="M4" s="755"/>
      <c r="N4" s="752" t="s">
        <v>10</v>
      </c>
      <c r="O4" s="754" t="s">
        <v>8</v>
      </c>
      <c r="P4" s="755" t="s">
        <v>9</v>
      </c>
      <c r="Q4" s="755"/>
      <c r="R4" s="755"/>
      <c r="S4" s="752" t="s">
        <v>10</v>
      </c>
      <c r="T4" s="754" t="s">
        <v>8</v>
      </c>
      <c r="U4" s="755" t="s">
        <v>9</v>
      </c>
      <c r="V4" s="755"/>
      <c r="W4" s="755"/>
      <c r="X4" s="752" t="s">
        <v>10</v>
      </c>
    </row>
    <row r="5" spans="1:24" s="10" customFormat="1" ht="9.75" customHeight="1" x14ac:dyDescent="0.2">
      <c r="A5" s="760"/>
      <c r="B5" s="760"/>
      <c r="C5" s="760"/>
      <c r="D5" s="761"/>
      <c r="E5" s="754"/>
      <c r="F5" s="9" t="s">
        <v>11</v>
      </c>
      <c r="G5" s="9" t="s">
        <v>12</v>
      </c>
      <c r="H5" s="9" t="s">
        <v>13</v>
      </c>
      <c r="I5" s="752"/>
      <c r="J5" s="754"/>
      <c r="K5" s="9" t="s">
        <v>11</v>
      </c>
      <c r="L5" s="9" t="s">
        <v>12</v>
      </c>
      <c r="M5" s="9" t="s">
        <v>13</v>
      </c>
      <c r="N5" s="752"/>
      <c r="O5" s="754"/>
      <c r="P5" s="9" t="s">
        <v>11</v>
      </c>
      <c r="Q5" s="9" t="s">
        <v>12</v>
      </c>
      <c r="R5" s="9" t="s">
        <v>13</v>
      </c>
      <c r="S5" s="752"/>
      <c r="T5" s="754"/>
      <c r="U5" s="9" t="s">
        <v>11</v>
      </c>
      <c r="V5" s="9" t="s">
        <v>12</v>
      </c>
      <c r="W5" s="9" t="s">
        <v>13</v>
      </c>
      <c r="X5" s="752"/>
    </row>
    <row r="6" spans="1:24" s="7" customFormat="1" ht="9.75" customHeight="1" x14ac:dyDescent="0.2">
      <c r="A6" s="11" t="s">
        <v>14</v>
      </c>
      <c r="B6" s="753" t="s">
        <v>15</v>
      </c>
      <c r="C6" s="753"/>
      <c r="D6" s="12" t="s">
        <v>16</v>
      </c>
      <c r="E6" s="13">
        <f>SUM(E7:E9)</f>
        <v>19038940</v>
      </c>
      <c r="F6" s="13">
        <f>SUM(F7:F9)</f>
        <v>20350058.09</v>
      </c>
      <c r="G6" s="13">
        <f>SUM(G7:G9)</f>
        <v>10960983.879999999</v>
      </c>
      <c r="H6" s="14">
        <f t="shared" ref="H6:H36" si="0">G6/F6*100</f>
        <v>53.862174896622115</v>
      </c>
      <c r="I6" s="13">
        <f>SUM(I7:I9)</f>
        <v>8866162</v>
      </c>
      <c r="J6" s="13">
        <f>SUM(J7:J9)</f>
        <v>2743500</v>
      </c>
      <c r="K6" s="13">
        <f t="shared" ref="K6:X6" si="1">SUM(K7:K9)</f>
        <v>2777500</v>
      </c>
      <c r="L6" s="13">
        <f t="shared" si="1"/>
        <v>1414508.79</v>
      </c>
      <c r="M6" s="14">
        <f t="shared" ref="M6:M29" si="2">L6/K6*100</f>
        <v>50.92740918091809</v>
      </c>
      <c r="N6" s="13">
        <f t="shared" si="1"/>
        <v>1428033</v>
      </c>
      <c r="O6" s="13">
        <f t="shared" si="1"/>
        <v>16295440</v>
      </c>
      <c r="P6" s="13">
        <f t="shared" si="1"/>
        <v>17572558.09</v>
      </c>
      <c r="Q6" s="13">
        <f t="shared" si="1"/>
        <v>9546475.0899999999</v>
      </c>
      <c r="R6" s="14">
        <f t="shared" ref="R6:R21" si="3">Q6/P6*100</f>
        <v>54.326040870694882</v>
      </c>
      <c r="S6" s="13">
        <f t="shared" si="1"/>
        <v>7438129</v>
      </c>
      <c r="T6" s="13">
        <f t="shared" si="1"/>
        <v>100000</v>
      </c>
      <c r="U6" s="13">
        <f t="shared" si="1"/>
        <v>100000</v>
      </c>
      <c r="V6" s="13">
        <f t="shared" si="1"/>
        <v>84835</v>
      </c>
      <c r="W6" s="14">
        <f t="shared" ref="W6:W33" si="4">V6/U6*100</f>
        <v>84.835000000000008</v>
      </c>
      <c r="X6" s="13">
        <f t="shared" si="1"/>
        <v>66215</v>
      </c>
    </row>
    <row r="7" spans="1:24" s="7" customFormat="1" ht="9.75" x14ac:dyDescent="0.2">
      <c r="A7" s="15" t="s">
        <v>17</v>
      </c>
      <c r="B7" s="750" t="s">
        <v>18</v>
      </c>
      <c r="C7" s="750"/>
      <c r="D7" s="16" t="s">
        <v>16</v>
      </c>
      <c r="E7" s="17">
        <f t="shared" ref="E7:G10" si="5">SUM(J7,O7)</f>
        <v>73500</v>
      </c>
      <c r="F7" s="17">
        <f t="shared" si="5"/>
        <v>73500</v>
      </c>
      <c r="G7" s="17">
        <f t="shared" si="5"/>
        <v>45442</v>
      </c>
      <c r="H7" s="18">
        <f t="shared" si="0"/>
        <v>61.825850340136057</v>
      </c>
      <c r="I7" s="17">
        <f>SUM(N7,S7)</f>
        <v>65998</v>
      </c>
      <c r="J7" s="42">
        <v>73500</v>
      </c>
      <c r="K7" s="19">
        <v>73500</v>
      </c>
      <c r="L7" s="19">
        <v>45442</v>
      </c>
      <c r="M7" s="18">
        <f t="shared" si="2"/>
        <v>61.825850340136057</v>
      </c>
      <c r="N7" s="19">
        <v>65998</v>
      </c>
      <c r="O7" s="19">
        <v>0</v>
      </c>
      <c r="P7" s="19">
        <v>0</v>
      </c>
      <c r="Q7" s="19">
        <v>0</v>
      </c>
      <c r="R7" s="18">
        <v>0</v>
      </c>
      <c r="S7" s="19">
        <v>0</v>
      </c>
      <c r="T7" s="19">
        <v>100000</v>
      </c>
      <c r="U7" s="19">
        <v>100000</v>
      </c>
      <c r="V7" s="19">
        <v>84835</v>
      </c>
      <c r="W7" s="18">
        <f t="shared" si="4"/>
        <v>84.835000000000008</v>
      </c>
      <c r="X7" s="19">
        <v>66215</v>
      </c>
    </row>
    <row r="8" spans="1:24" s="7" customFormat="1" ht="9.75" x14ac:dyDescent="0.2">
      <c r="A8" s="20" t="s">
        <v>19</v>
      </c>
      <c r="B8" s="758" t="s">
        <v>20</v>
      </c>
      <c r="C8" s="758"/>
      <c r="D8" s="16" t="s">
        <v>16</v>
      </c>
      <c r="E8" s="17">
        <f t="shared" si="5"/>
        <v>0</v>
      </c>
      <c r="F8" s="17">
        <f t="shared" si="5"/>
        <v>0</v>
      </c>
      <c r="G8" s="17">
        <f t="shared" si="5"/>
        <v>66.790000000000006</v>
      </c>
      <c r="H8" s="18">
        <v>0</v>
      </c>
      <c r="I8" s="17">
        <f>SUM(N8,S8)</f>
        <v>35</v>
      </c>
      <c r="J8" s="43">
        <v>0</v>
      </c>
      <c r="K8" s="17">
        <v>0</v>
      </c>
      <c r="L8" s="17">
        <v>66.790000000000006</v>
      </c>
      <c r="M8" s="18"/>
      <c r="N8" s="17">
        <v>35</v>
      </c>
      <c r="O8" s="17">
        <v>0</v>
      </c>
      <c r="P8" s="17">
        <v>0</v>
      </c>
      <c r="Q8" s="17">
        <v>0</v>
      </c>
      <c r="R8" s="18">
        <v>0</v>
      </c>
      <c r="S8" s="17">
        <v>0</v>
      </c>
      <c r="T8" s="17">
        <v>0</v>
      </c>
      <c r="U8" s="17">
        <v>0</v>
      </c>
      <c r="V8" s="17">
        <v>0</v>
      </c>
      <c r="W8" s="18">
        <v>0</v>
      </c>
      <c r="X8" s="17">
        <v>0</v>
      </c>
    </row>
    <row r="9" spans="1:24" s="7" customFormat="1" ht="9.75" x14ac:dyDescent="0.2">
      <c r="A9" s="20" t="s">
        <v>21</v>
      </c>
      <c r="B9" s="21" t="s">
        <v>22</v>
      </c>
      <c r="C9" s="22"/>
      <c r="D9" s="16" t="s">
        <v>16</v>
      </c>
      <c r="E9" s="17">
        <f t="shared" si="5"/>
        <v>18965440</v>
      </c>
      <c r="F9" s="17">
        <f t="shared" si="5"/>
        <v>20276558.09</v>
      </c>
      <c r="G9" s="17">
        <f t="shared" si="5"/>
        <v>10915475.09</v>
      </c>
      <c r="H9" s="18">
        <f t="shared" si="0"/>
        <v>53.832978168929458</v>
      </c>
      <c r="I9" s="17">
        <f>SUM(N9,S9)</f>
        <v>8800129</v>
      </c>
      <c r="J9" s="43">
        <v>2670000</v>
      </c>
      <c r="K9" s="17">
        <v>2704000</v>
      </c>
      <c r="L9" s="17">
        <v>1369000</v>
      </c>
      <c r="M9" s="18">
        <f t="shared" si="2"/>
        <v>50.628698224852073</v>
      </c>
      <c r="N9" s="17">
        <v>1362000</v>
      </c>
      <c r="O9" s="17">
        <v>16295440</v>
      </c>
      <c r="P9" s="17">
        <v>17572558.09</v>
      </c>
      <c r="Q9" s="17">
        <v>9546475.0899999999</v>
      </c>
      <c r="R9" s="18">
        <f t="shared" si="3"/>
        <v>54.326040870694882</v>
      </c>
      <c r="S9" s="17">
        <v>7438129</v>
      </c>
      <c r="T9" s="17">
        <v>0</v>
      </c>
      <c r="U9" s="17">
        <v>0</v>
      </c>
      <c r="V9" s="17">
        <v>0</v>
      </c>
      <c r="W9" s="18">
        <v>0</v>
      </c>
      <c r="X9" s="17">
        <v>0</v>
      </c>
    </row>
    <row r="10" spans="1:24" s="7" customFormat="1" ht="9.75" x14ac:dyDescent="0.2">
      <c r="A10" s="11" t="s">
        <v>23</v>
      </c>
      <c r="B10" s="753" t="s">
        <v>24</v>
      </c>
      <c r="C10" s="753"/>
      <c r="D10" s="12" t="s">
        <v>16</v>
      </c>
      <c r="E10" s="23">
        <f t="shared" si="5"/>
        <v>0</v>
      </c>
      <c r="F10" s="23">
        <f t="shared" si="5"/>
        <v>0</v>
      </c>
      <c r="G10" s="23">
        <f t="shared" si="5"/>
        <v>0</v>
      </c>
      <c r="H10" s="14">
        <v>0</v>
      </c>
      <c r="I10" s="23">
        <f>SUM(N10,S10)</f>
        <v>0</v>
      </c>
      <c r="J10" s="24"/>
      <c r="K10" s="23"/>
      <c r="L10" s="23">
        <v>0</v>
      </c>
      <c r="M10" s="14">
        <v>0</v>
      </c>
      <c r="N10" s="23"/>
      <c r="O10" s="23"/>
      <c r="P10" s="23"/>
      <c r="Q10" s="23">
        <v>0</v>
      </c>
      <c r="R10" s="14">
        <v>0</v>
      </c>
      <c r="S10" s="23">
        <v>0</v>
      </c>
      <c r="T10" s="23">
        <v>0</v>
      </c>
      <c r="U10" s="23">
        <v>0</v>
      </c>
      <c r="V10" s="23">
        <v>0</v>
      </c>
      <c r="W10" s="14">
        <v>0</v>
      </c>
      <c r="X10" s="23">
        <v>0</v>
      </c>
    </row>
    <row r="11" spans="1:24" s="7" customFormat="1" ht="9.75" x14ac:dyDescent="0.2">
      <c r="A11" s="11" t="s">
        <v>25</v>
      </c>
      <c r="B11" s="753" t="s">
        <v>26</v>
      </c>
      <c r="C11" s="753"/>
      <c r="D11" s="12" t="s">
        <v>16</v>
      </c>
      <c r="E11" s="13">
        <f>SUM(E12:E31)</f>
        <v>19038940</v>
      </c>
      <c r="F11" s="13">
        <f>SUM(F12:F31)</f>
        <v>20350058</v>
      </c>
      <c r="G11" s="13">
        <f>SUM(G12:G31)</f>
        <v>9994100.0700000003</v>
      </c>
      <c r="H11" s="14">
        <f t="shared" si="0"/>
        <v>49.110916882890457</v>
      </c>
      <c r="I11" s="13">
        <v>8262510</v>
      </c>
      <c r="J11" s="13">
        <f>SUM(J12:J31)</f>
        <v>2743500</v>
      </c>
      <c r="K11" s="13">
        <f>SUM(K12:K31)</f>
        <v>2777500</v>
      </c>
      <c r="L11" s="13">
        <f>SUM(L12:L31)</f>
        <v>1239965.94</v>
      </c>
      <c r="M11" s="14">
        <f t="shared" si="2"/>
        <v>44.643238163816378</v>
      </c>
      <c r="N11" s="13">
        <v>1225595</v>
      </c>
      <c r="O11" s="13">
        <f>SUM(O12:O31)</f>
        <v>16295440</v>
      </c>
      <c r="P11" s="13">
        <f>SUM(P12:P31)</f>
        <v>17572558</v>
      </c>
      <c r="Q11" s="13">
        <f>SUM(Q12:Q31)</f>
        <v>8754134.129999999</v>
      </c>
      <c r="R11" s="14">
        <f t="shared" si="3"/>
        <v>49.817073473309911</v>
      </c>
      <c r="S11" s="13">
        <f>SUM(S12:S31)</f>
        <v>7036915</v>
      </c>
      <c r="T11" s="13">
        <f>SUM(T12:T31)</f>
        <v>71050</v>
      </c>
      <c r="U11" s="13">
        <f>SUM(U12:U31)</f>
        <v>71050</v>
      </c>
      <c r="V11" s="13">
        <f>SUM(V12:V31)</f>
        <v>60275</v>
      </c>
      <c r="W11" s="14">
        <f t="shared" si="4"/>
        <v>84.834623504574253</v>
      </c>
      <c r="X11" s="13">
        <f>SUM(X12:X31)</f>
        <v>52270</v>
      </c>
    </row>
    <row r="12" spans="1:24" s="7" customFormat="1" ht="9.75" x14ac:dyDescent="0.2">
      <c r="A12" s="15" t="s">
        <v>27</v>
      </c>
      <c r="B12" s="750" t="s">
        <v>28</v>
      </c>
      <c r="C12" s="750"/>
      <c r="D12" s="16" t="s">
        <v>16</v>
      </c>
      <c r="E12" s="17">
        <f t="shared" ref="E12:I29" si="6">SUM(J12,O12)</f>
        <v>303688</v>
      </c>
      <c r="F12" s="17">
        <f t="shared" si="6"/>
        <v>413779</v>
      </c>
      <c r="G12" s="17">
        <f t="shared" si="6"/>
        <v>171643.8</v>
      </c>
      <c r="H12" s="18">
        <f t="shared" si="0"/>
        <v>41.481998844793956</v>
      </c>
      <c r="I12" s="17">
        <f t="shared" si="6"/>
        <v>176525</v>
      </c>
      <c r="J12" s="44">
        <v>180348</v>
      </c>
      <c r="K12" s="25">
        <v>214348</v>
      </c>
      <c r="L12" s="25">
        <v>75626.8</v>
      </c>
      <c r="M12" s="18">
        <f t="shared" si="2"/>
        <v>35.282251292291043</v>
      </c>
      <c r="N12" s="26">
        <v>113281</v>
      </c>
      <c r="O12" s="25">
        <v>123340</v>
      </c>
      <c r="P12" s="25">
        <v>199431</v>
      </c>
      <c r="Q12" s="25">
        <v>96017</v>
      </c>
      <c r="R12" s="18">
        <f t="shared" si="3"/>
        <v>48.145473873169166</v>
      </c>
      <c r="S12" s="25">
        <v>63244</v>
      </c>
      <c r="T12" s="25">
        <v>5260</v>
      </c>
      <c r="U12" s="25">
        <v>5260</v>
      </c>
      <c r="V12" s="25">
        <v>4462</v>
      </c>
      <c r="W12" s="18">
        <f t="shared" si="4"/>
        <v>84.828897338403038</v>
      </c>
      <c r="X12" s="26">
        <v>3483</v>
      </c>
    </row>
    <row r="13" spans="1:24" s="7" customFormat="1" ht="9.75" x14ac:dyDescent="0.2">
      <c r="A13" s="15" t="s">
        <v>29</v>
      </c>
      <c r="B13" s="750" t="s">
        <v>30</v>
      </c>
      <c r="C13" s="750"/>
      <c r="D13" s="16" t="s">
        <v>16</v>
      </c>
      <c r="E13" s="17">
        <f t="shared" si="6"/>
        <v>544210</v>
      </c>
      <c r="F13" s="17">
        <f t="shared" si="6"/>
        <v>544210</v>
      </c>
      <c r="G13" s="17">
        <f t="shared" si="6"/>
        <v>245422</v>
      </c>
      <c r="H13" s="18">
        <f t="shared" si="0"/>
        <v>45.096929494129107</v>
      </c>
      <c r="I13" s="17">
        <f t="shared" si="6"/>
        <v>230959</v>
      </c>
      <c r="J13" s="44">
        <v>544210</v>
      </c>
      <c r="K13" s="17">
        <v>544210</v>
      </c>
      <c r="L13" s="17">
        <v>245422</v>
      </c>
      <c r="M13" s="18">
        <f t="shared" si="2"/>
        <v>45.096929494129107</v>
      </c>
      <c r="N13" s="17">
        <v>230959</v>
      </c>
      <c r="O13" s="17">
        <v>0</v>
      </c>
      <c r="P13" s="17">
        <v>0</v>
      </c>
      <c r="Q13" s="17">
        <v>0</v>
      </c>
      <c r="R13" s="18">
        <v>0</v>
      </c>
      <c r="S13" s="17">
        <v>0</v>
      </c>
      <c r="T13" s="17">
        <v>65790</v>
      </c>
      <c r="U13" s="17">
        <v>65790</v>
      </c>
      <c r="V13" s="17">
        <v>55813</v>
      </c>
      <c r="W13" s="18">
        <f t="shared" si="4"/>
        <v>84.835081319349442</v>
      </c>
      <c r="X13" s="17">
        <v>48787</v>
      </c>
    </row>
    <row r="14" spans="1:24" s="7" customFormat="1" ht="9.75" x14ac:dyDescent="0.2">
      <c r="A14" s="15" t="s">
        <v>31</v>
      </c>
      <c r="B14" s="21" t="s">
        <v>32</v>
      </c>
      <c r="C14" s="21"/>
      <c r="D14" s="16" t="s">
        <v>16</v>
      </c>
      <c r="E14" s="17">
        <f t="shared" si="6"/>
        <v>0</v>
      </c>
      <c r="F14" s="17">
        <f t="shared" si="6"/>
        <v>0</v>
      </c>
      <c r="G14" s="17">
        <f t="shared" si="6"/>
        <v>0</v>
      </c>
      <c r="H14" s="18">
        <v>0</v>
      </c>
      <c r="I14" s="17">
        <f t="shared" si="6"/>
        <v>0</v>
      </c>
      <c r="J14" s="44">
        <v>0</v>
      </c>
      <c r="K14" s="17">
        <v>0</v>
      </c>
      <c r="L14" s="17"/>
      <c r="M14" s="18"/>
      <c r="N14" s="17">
        <v>0</v>
      </c>
      <c r="O14" s="17">
        <v>0</v>
      </c>
      <c r="P14" s="17"/>
      <c r="Q14" s="17">
        <v>0</v>
      </c>
      <c r="R14" s="18">
        <v>0</v>
      </c>
      <c r="S14" s="17">
        <v>0</v>
      </c>
      <c r="T14" s="17">
        <v>0</v>
      </c>
      <c r="U14" s="17">
        <v>0</v>
      </c>
      <c r="V14" s="17">
        <v>0</v>
      </c>
      <c r="W14" s="18">
        <v>0</v>
      </c>
      <c r="X14" s="17">
        <v>0</v>
      </c>
    </row>
    <row r="15" spans="1:24" s="7" customFormat="1" ht="9.75" x14ac:dyDescent="0.2">
      <c r="A15" s="15" t="s">
        <v>33</v>
      </c>
      <c r="B15" s="750" t="s">
        <v>34</v>
      </c>
      <c r="C15" s="750"/>
      <c r="D15" s="16" t="s">
        <v>16</v>
      </c>
      <c r="E15" s="17">
        <f t="shared" si="6"/>
        <v>290000</v>
      </c>
      <c r="F15" s="17">
        <f t="shared" si="6"/>
        <v>290000</v>
      </c>
      <c r="G15" s="17">
        <f t="shared" si="6"/>
        <v>14211.74</v>
      </c>
      <c r="H15" s="18">
        <f t="shared" si="0"/>
        <v>4.9005999999999998</v>
      </c>
      <c r="I15" s="17">
        <f t="shared" si="6"/>
        <v>26604</v>
      </c>
      <c r="J15" s="44">
        <v>290000</v>
      </c>
      <c r="K15" s="17">
        <v>290000</v>
      </c>
      <c r="L15" s="17">
        <v>14211.74</v>
      </c>
      <c r="M15" s="18">
        <f t="shared" si="2"/>
        <v>4.9005999999999998</v>
      </c>
      <c r="N15" s="17">
        <v>26604</v>
      </c>
      <c r="O15" s="17">
        <v>0</v>
      </c>
      <c r="P15" s="17">
        <v>0</v>
      </c>
      <c r="Q15" s="17">
        <v>0</v>
      </c>
      <c r="R15" s="18">
        <v>0</v>
      </c>
      <c r="S15" s="17">
        <v>0</v>
      </c>
      <c r="T15" s="17">
        <v>0</v>
      </c>
      <c r="U15" s="17">
        <v>0</v>
      </c>
      <c r="V15" s="17">
        <v>0</v>
      </c>
      <c r="W15" s="18">
        <v>0</v>
      </c>
      <c r="X15" s="17">
        <v>0</v>
      </c>
    </row>
    <row r="16" spans="1:24" s="7" customFormat="1" ht="9.75" x14ac:dyDescent="0.2">
      <c r="A16" s="15" t="s">
        <v>35</v>
      </c>
      <c r="B16" s="750" t="s">
        <v>36</v>
      </c>
      <c r="C16" s="750"/>
      <c r="D16" s="16" t="s">
        <v>16</v>
      </c>
      <c r="E16" s="17">
        <f t="shared" si="6"/>
        <v>32000</v>
      </c>
      <c r="F16" s="17">
        <f t="shared" si="6"/>
        <v>34280</v>
      </c>
      <c r="G16" s="17">
        <f t="shared" si="6"/>
        <v>21200</v>
      </c>
      <c r="H16" s="18">
        <f t="shared" si="0"/>
        <v>61.843640606767792</v>
      </c>
      <c r="I16" s="17">
        <f t="shared" si="6"/>
        <v>12042</v>
      </c>
      <c r="J16" s="44">
        <v>2000</v>
      </c>
      <c r="K16" s="17">
        <v>2000</v>
      </c>
      <c r="L16" s="17">
        <v>0</v>
      </c>
      <c r="M16" s="18">
        <f t="shared" si="2"/>
        <v>0</v>
      </c>
      <c r="N16" s="17">
        <v>0</v>
      </c>
      <c r="O16" s="17">
        <v>30000</v>
      </c>
      <c r="P16" s="17">
        <v>32280</v>
      </c>
      <c r="Q16" s="17">
        <v>21200</v>
      </c>
      <c r="R16" s="18">
        <f t="shared" si="3"/>
        <v>65.675340768277565</v>
      </c>
      <c r="S16" s="17">
        <v>12042</v>
      </c>
      <c r="T16" s="17">
        <v>0</v>
      </c>
      <c r="U16" s="17">
        <v>0</v>
      </c>
      <c r="V16" s="17">
        <v>0</v>
      </c>
      <c r="W16" s="18">
        <v>0</v>
      </c>
      <c r="X16" s="17">
        <v>0</v>
      </c>
    </row>
    <row r="17" spans="1:24" s="7" customFormat="1" ht="9.75" x14ac:dyDescent="0.2">
      <c r="A17" s="15" t="s">
        <v>37</v>
      </c>
      <c r="B17" s="21" t="s">
        <v>38</v>
      </c>
      <c r="C17" s="21"/>
      <c r="D17" s="16" t="s">
        <v>16</v>
      </c>
      <c r="E17" s="17">
        <f t="shared" si="6"/>
        <v>2000</v>
      </c>
      <c r="F17" s="17">
        <f t="shared" si="6"/>
        <v>4168</v>
      </c>
      <c r="G17" s="17">
        <f t="shared" si="6"/>
        <v>3604</v>
      </c>
      <c r="H17" s="18">
        <f t="shared" si="0"/>
        <v>86.468330134357004</v>
      </c>
      <c r="I17" s="17">
        <f t="shared" si="6"/>
        <v>986</v>
      </c>
      <c r="J17" s="44">
        <v>2000</v>
      </c>
      <c r="K17" s="17">
        <v>2000</v>
      </c>
      <c r="L17" s="17">
        <v>1436</v>
      </c>
      <c r="M17" s="18">
        <f t="shared" si="2"/>
        <v>71.8</v>
      </c>
      <c r="N17" s="17">
        <v>986</v>
      </c>
      <c r="O17" s="17">
        <v>0</v>
      </c>
      <c r="P17" s="17">
        <v>2168</v>
      </c>
      <c r="Q17" s="17">
        <v>2168</v>
      </c>
      <c r="R17" s="18">
        <f t="shared" si="3"/>
        <v>100</v>
      </c>
      <c r="S17" s="17">
        <v>0</v>
      </c>
      <c r="T17" s="17">
        <v>0</v>
      </c>
      <c r="U17" s="17">
        <v>0</v>
      </c>
      <c r="V17" s="17">
        <v>0</v>
      </c>
      <c r="W17" s="18">
        <v>0</v>
      </c>
      <c r="X17" s="17">
        <v>0</v>
      </c>
    </row>
    <row r="18" spans="1:24" s="7" customFormat="1" ht="9.75" x14ac:dyDescent="0.2">
      <c r="A18" s="15" t="s">
        <v>39</v>
      </c>
      <c r="B18" s="750" t="s">
        <v>40</v>
      </c>
      <c r="C18" s="750"/>
      <c r="D18" s="16" t="s">
        <v>16</v>
      </c>
      <c r="E18" s="17">
        <f t="shared" si="6"/>
        <v>350000</v>
      </c>
      <c r="F18" s="17">
        <f t="shared" si="6"/>
        <v>508551</v>
      </c>
      <c r="G18" s="17">
        <f t="shared" si="6"/>
        <v>360613.69999999995</v>
      </c>
      <c r="H18" s="18">
        <f t="shared" si="0"/>
        <v>70.910036554839124</v>
      </c>
      <c r="I18" s="17">
        <f t="shared" si="6"/>
        <v>194886</v>
      </c>
      <c r="J18" s="44">
        <v>280000</v>
      </c>
      <c r="K18" s="17">
        <v>280000</v>
      </c>
      <c r="L18" s="17">
        <v>189414.39999999999</v>
      </c>
      <c r="M18" s="18">
        <f t="shared" si="2"/>
        <v>67.647999999999996</v>
      </c>
      <c r="N18" s="17">
        <v>134395</v>
      </c>
      <c r="O18" s="17">
        <v>70000</v>
      </c>
      <c r="P18" s="17">
        <v>228551</v>
      </c>
      <c r="Q18" s="17">
        <v>171199.3</v>
      </c>
      <c r="R18" s="18">
        <f t="shared" si="3"/>
        <v>74.906388508472943</v>
      </c>
      <c r="S18" s="17">
        <v>60491</v>
      </c>
      <c r="T18" s="17">
        <v>0</v>
      </c>
      <c r="U18" s="17">
        <v>0</v>
      </c>
      <c r="V18" s="17">
        <v>0</v>
      </c>
      <c r="W18" s="18">
        <v>0</v>
      </c>
      <c r="X18" s="17">
        <v>0</v>
      </c>
    </row>
    <row r="19" spans="1:24" s="28" customFormat="1" ht="9.75" x14ac:dyDescent="0.2">
      <c r="A19" s="15" t="s">
        <v>41</v>
      </c>
      <c r="B19" s="750" t="s">
        <v>42</v>
      </c>
      <c r="C19" s="750"/>
      <c r="D19" s="16" t="s">
        <v>16</v>
      </c>
      <c r="E19" s="17">
        <f t="shared" si="6"/>
        <v>11905750</v>
      </c>
      <c r="F19" s="17">
        <f t="shared" si="6"/>
        <v>12753772</v>
      </c>
      <c r="G19" s="17">
        <f t="shared" si="6"/>
        <v>6335296</v>
      </c>
      <c r="H19" s="18">
        <f t="shared" si="0"/>
        <v>49.673900395898563</v>
      </c>
      <c r="I19" s="17">
        <f t="shared" si="6"/>
        <v>5198473</v>
      </c>
      <c r="J19" s="45">
        <v>111550</v>
      </c>
      <c r="K19" s="17">
        <v>111550</v>
      </c>
      <c r="L19" s="17">
        <v>56560</v>
      </c>
      <c r="M19" s="18">
        <f t="shared" si="2"/>
        <v>50.70372030479605</v>
      </c>
      <c r="N19" s="17">
        <v>58104</v>
      </c>
      <c r="O19" s="17">
        <v>11794200</v>
      </c>
      <c r="P19" s="17">
        <v>12642222</v>
      </c>
      <c r="Q19" s="17">
        <v>6278736</v>
      </c>
      <c r="R19" s="18">
        <f t="shared" si="3"/>
        <v>49.664813669622312</v>
      </c>
      <c r="S19" s="17">
        <v>5140369</v>
      </c>
      <c r="T19" s="27">
        <v>0</v>
      </c>
      <c r="U19" s="27">
        <v>0</v>
      </c>
      <c r="V19" s="27">
        <v>0</v>
      </c>
      <c r="W19" s="18">
        <v>0</v>
      </c>
      <c r="X19" s="27">
        <v>0</v>
      </c>
    </row>
    <row r="20" spans="1:24" s="7" customFormat="1" ht="9.75" x14ac:dyDescent="0.2">
      <c r="A20" s="15" t="s">
        <v>43</v>
      </c>
      <c r="B20" s="750" t="s">
        <v>44</v>
      </c>
      <c r="C20" s="750"/>
      <c r="D20" s="16" t="s">
        <v>16</v>
      </c>
      <c r="E20" s="17">
        <f t="shared" si="6"/>
        <v>4059630</v>
      </c>
      <c r="F20" s="17">
        <f t="shared" si="6"/>
        <v>4227050</v>
      </c>
      <c r="G20" s="17">
        <f t="shared" si="6"/>
        <v>2061189.83</v>
      </c>
      <c r="H20" s="18">
        <f t="shared" si="0"/>
        <v>48.761898487124597</v>
      </c>
      <c r="I20" s="17">
        <f t="shared" si="6"/>
        <v>1672716</v>
      </c>
      <c r="J20" s="44">
        <v>16580</v>
      </c>
      <c r="K20" s="17">
        <v>16580</v>
      </c>
      <c r="L20" s="17">
        <v>6543</v>
      </c>
      <c r="M20" s="18">
        <f t="shared" si="2"/>
        <v>39.463208685162847</v>
      </c>
      <c r="N20" s="17">
        <v>5476</v>
      </c>
      <c r="O20" s="17">
        <v>4043050</v>
      </c>
      <c r="P20" s="17">
        <v>4210470</v>
      </c>
      <c r="Q20" s="17">
        <v>2054646.83</v>
      </c>
      <c r="R20" s="18">
        <f t="shared" si="3"/>
        <v>48.798514892636689</v>
      </c>
      <c r="S20" s="17">
        <v>1667240</v>
      </c>
      <c r="T20" s="17">
        <v>0</v>
      </c>
      <c r="U20" s="17">
        <v>0</v>
      </c>
      <c r="V20" s="17">
        <v>0</v>
      </c>
      <c r="W20" s="18">
        <v>0</v>
      </c>
      <c r="X20" s="17">
        <v>0</v>
      </c>
    </row>
    <row r="21" spans="1:24" s="7" customFormat="1" ht="9.75" x14ac:dyDescent="0.2">
      <c r="A21" s="15" t="s">
        <v>45</v>
      </c>
      <c r="B21" s="750" t="s">
        <v>46</v>
      </c>
      <c r="C21" s="750"/>
      <c r="D21" s="16" t="s">
        <v>16</v>
      </c>
      <c r="E21" s="17">
        <f t="shared" si="6"/>
        <v>279850</v>
      </c>
      <c r="F21" s="17">
        <f t="shared" si="6"/>
        <v>288328</v>
      </c>
      <c r="G21" s="17">
        <f t="shared" si="6"/>
        <v>131704</v>
      </c>
      <c r="H21" s="18">
        <f t="shared" si="0"/>
        <v>45.678532782109265</v>
      </c>
      <c r="I21" s="17">
        <f t="shared" si="6"/>
        <v>115049</v>
      </c>
      <c r="J21" s="44">
        <v>45000</v>
      </c>
      <c r="K21" s="17">
        <v>45000</v>
      </c>
      <c r="L21" s="17">
        <v>15645</v>
      </c>
      <c r="M21" s="18">
        <f t="shared" si="2"/>
        <v>34.766666666666666</v>
      </c>
      <c r="N21" s="17">
        <v>21520</v>
      </c>
      <c r="O21" s="17">
        <v>234850</v>
      </c>
      <c r="P21" s="17">
        <v>243328</v>
      </c>
      <c r="Q21" s="17">
        <v>116059</v>
      </c>
      <c r="R21" s="18">
        <f t="shared" si="3"/>
        <v>47.696524855339298</v>
      </c>
      <c r="S21" s="17">
        <v>93529</v>
      </c>
      <c r="T21" s="17">
        <v>0</v>
      </c>
      <c r="U21" s="17">
        <v>0</v>
      </c>
      <c r="V21" s="17">
        <v>0</v>
      </c>
      <c r="W21" s="18">
        <v>0</v>
      </c>
      <c r="X21" s="17">
        <v>0</v>
      </c>
    </row>
    <row r="22" spans="1:24" s="7" customFormat="1" ht="9.75" x14ac:dyDescent="0.2">
      <c r="A22" s="15" t="s">
        <v>47</v>
      </c>
      <c r="B22" s="750" t="s">
        <v>48</v>
      </c>
      <c r="C22" s="750"/>
      <c r="D22" s="16" t="s">
        <v>16</v>
      </c>
      <c r="E22" s="17">
        <f t="shared" si="6"/>
        <v>0</v>
      </c>
      <c r="F22" s="17">
        <f t="shared" si="6"/>
        <v>0</v>
      </c>
      <c r="G22" s="17">
        <f t="shared" si="6"/>
        <v>0</v>
      </c>
      <c r="H22" s="18">
        <v>0</v>
      </c>
      <c r="I22" s="17">
        <f t="shared" si="6"/>
        <v>0</v>
      </c>
      <c r="J22" s="44">
        <v>0</v>
      </c>
      <c r="K22" s="17">
        <v>0</v>
      </c>
      <c r="L22" s="17">
        <v>0</v>
      </c>
      <c r="M22" s="18">
        <v>0</v>
      </c>
      <c r="N22" s="17">
        <v>0</v>
      </c>
      <c r="O22" s="17">
        <v>0</v>
      </c>
      <c r="P22" s="17">
        <v>0</v>
      </c>
      <c r="Q22" s="17">
        <v>0</v>
      </c>
      <c r="R22" s="18">
        <v>0</v>
      </c>
      <c r="S22" s="17">
        <v>0</v>
      </c>
      <c r="T22" s="17">
        <v>0</v>
      </c>
      <c r="U22" s="17">
        <v>0</v>
      </c>
      <c r="V22" s="17">
        <v>0</v>
      </c>
      <c r="W22" s="18">
        <v>0</v>
      </c>
      <c r="X22" s="17">
        <v>0</v>
      </c>
    </row>
    <row r="23" spans="1:24" s="7" customFormat="1" ht="9.75" x14ac:dyDescent="0.2">
      <c r="A23" s="15" t="s">
        <v>49</v>
      </c>
      <c r="B23" s="21" t="s">
        <v>50</v>
      </c>
      <c r="C23" s="21"/>
      <c r="D23" s="16" t="s">
        <v>16</v>
      </c>
      <c r="E23" s="17">
        <f t="shared" si="6"/>
        <v>0</v>
      </c>
      <c r="F23" s="17">
        <f t="shared" si="6"/>
        <v>0</v>
      </c>
      <c r="G23" s="17">
        <f t="shared" si="6"/>
        <v>0</v>
      </c>
      <c r="H23" s="18">
        <v>0</v>
      </c>
      <c r="I23" s="17">
        <f t="shared" si="6"/>
        <v>0</v>
      </c>
      <c r="J23" s="44">
        <v>0</v>
      </c>
      <c r="K23" s="17">
        <v>0</v>
      </c>
      <c r="L23" s="17">
        <v>0</v>
      </c>
      <c r="M23" s="18">
        <v>0</v>
      </c>
      <c r="N23" s="17">
        <v>0</v>
      </c>
      <c r="O23" s="17">
        <v>0</v>
      </c>
      <c r="P23" s="17">
        <v>0</v>
      </c>
      <c r="Q23" s="17">
        <v>0</v>
      </c>
      <c r="R23" s="18">
        <v>0</v>
      </c>
      <c r="S23" s="17">
        <v>0</v>
      </c>
      <c r="T23" s="17">
        <v>0</v>
      </c>
      <c r="U23" s="17">
        <v>0</v>
      </c>
      <c r="V23" s="17">
        <v>0</v>
      </c>
      <c r="W23" s="18">
        <v>0</v>
      </c>
      <c r="X23" s="17">
        <v>0</v>
      </c>
    </row>
    <row r="24" spans="1:24" s="7" customFormat="1" ht="9.75" x14ac:dyDescent="0.2">
      <c r="A24" s="15" t="s">
        <v>51</v>
      </c>
      <c r="B24" s="21" t="s">
        <v>52</v>
      </c>
      <c r="C24" s="21"/>
      <c r="D24" s="16" t="s">
        <v>16</v>
      </c>
      <c r="E24" s="17">
        <f t="shared" si="6"/>
        <v>0</v>
      </c>
      <c r="F24" s="17">
        <f t="shared" si="6"/>
        <v>0</v>
      </c>
      <c r="G24" s="17">
        <f t="shared" si="6"/>
        <v>0</v>
      </c>
      <c r="H24" s="18">
        <v>0</v>
      </c>
      <c r="I24" s="17">
        <f t="shared" si="6"/>
        <v>0</v>
      </c>
      <c r="J24" s="44">
        <v>0</v>
      </c>
      <c r="K24" s="17">
        <v>0</v>
      </c>
      <c r="L24" s="17">
        <v>0</v>
      </c>
      <c r="M24" s="18">
        <v>0</v>
      </c>
      <c r="N24" s="17">
        <v>0</v>
      </c>
      <c r="O24" s="17">
        <v>0</v>
      </c>
      <c r="P24" s="17">
        <v>0</v>
      </c>
      <c r="Q24" s="17">
        <v>0</v>
      </c>
      <c r="R24" s="18">
        <v>0</v>
      </c>
      <c r="S24" s="17">
        <v>0</v>
      </c>
      <c r="T24" s="17">
        <v>0</v>
      </c>
      <c r="U24" s="17">
        <v>0</v>
      </c>
      <c r="V24" s="17">
        <v>0</v>
      </c>
      <c r="W24" s="18">
        <v>0</v>
      </c>
      <c r="X24" s="17">
        <v>0</v>
      </c>
    </row>
    <row r="25" spans="1:24" s="7" customFormat="1" ht="9.75" x14ac:dyDescent="0.2">
      <c r="A25" s="15" t="s">
        <v>53</v>
      </c>
      <c r="B25" s="21" t="s">
        <v>54</v>
      </c>
      <c r="C25" s="21"/>
      <c r="D25" s="16" t="s">
        <v>16</v>
      </c>
      <c r="E25" s="17">
        <f t="shared" si="6"/>
        <v>0</v>
      </c>
      <c r="F25" s="17">
        <f t="shared" si="6"/>
        <v>0</v>
      </c>
      <c r="G25" s="17">
        <f t="shared" si="6"/>
        <v>0</v>
      </c>
      <c r="H25" s="18">
        <v>0</v>
      </c>
      <c r="I25" s="17">
        <f t="shared" si="6"/>
        <v>0</v>
      </c>
      <c r="J25" s="44">
        <v>0</v>
      </c>
      <c r="K25" s="25">
        <v>0</v>
      </c>
      <c r="L25" s="25">
        <v>0</v>
      </c>
      <c r="M25" s="18">
        <v>0</v>
      </c>
      <c r="N25" s="26">
        <v>0</v>
      </c>
      <c r="O25" s="25">
        <v>0</v>
      </c>
      <c r="P25" s="25">
        <v>0</v>
      </c>
      <c r="Q25" s="25">
        <v>0</v>
      </c>
      <c r="R25" s="18">
        <v>0</v>
      </c>
      <c r="S25" s="25">
        <v>0</v>
      </c>
      <c r="T25" s="25">
        <v>0</v>
      </c>
      <c r="U25" s="25">
        <v>0</v>
      </c>
      <c r="V25" s="25">
        <v>0</v>
      </c>
      <c r="W25" s="18">
        <v>0</v>
      </c>
      <c r="X25" s="25">
        <v>0</v>
      </c>
    </row>
    <row r="26" spans="1:24" s="30" customFormat="1" ht="9.75" x14ac:dyDescent="0.2">
      <c r="A26" s="15" t="s">
        <v>55</v>
      </c>
      <c r="B26" s="750" t="s">
        <v>56</v>
      </c>
      <c r="C26" s="750"/>
      <c r="D26" s="16" t="s">
        <v>16</v>
      </c>
      <c r="E26" s="17">
        <f t="shared" si="6"/>
        <v>1248312</v>
      </c>
      <c r="F26" s="17">
        <f t="shared" si="6"/>
        <v>1248312</v>
      </c>
      <c r="G26" s="17">
        <f t="shared" si="6"/>
        <v>624156</v>
      </c>
      <c r="H26" s="18">
        <f>G26/F26*100</f>
        <v>50</v>
      </c>
      <c r="I26" s="17">
        <f>SUM(N26,S26)</f>
        <v>624156</v>
      </c>
      <c r="J26" s="44">
        <v>1248312</v>
      </c>
      <c r="K26" s="26">
        <v>1248312</v>
      </c>
      <c r="L26" s="26">
        <v>624156</v>
      </c>
      <c r="M26" s="18">
        <f>L26/K26*100</f>
        <v>50</v>
      </c>
      <c r="N26" s="26">
        <v>624156</v>
      </c>
      <c r="O26" s="26">
        <v>0</v>
      </c>
      <c r="P26" s="26">
        <v>0</v>
      </c>
      <c r="Q26" s="26">
        <v>0</v>
      </c>
      <c r="R26" s="18">
        <v>0</v>
      </c>
      <c r="S26" s="26">
        <v>0</v>
      </c>
      <c r="T26" s="26">
        <v>0</v>
      </c>
      <c r="U26" s="26">
        <v>0</v>
      </c>
      <c r="V26" s="26">
        <v>0</v>
      </c>
      <c r="W26" s="18">
        <v>0</v>
      </c>
      <c r="X26" s="26">
        <v>0</v>
      </c>
    </row>
    <row r="27" spans="1:24" s="30" customFormat="1" ht="9.75" x14ac:dyDescent="0.2">
      <c r="A27" s="15" t="s">
        <v>57</v>
      </c>
      <c r="B27" s="21" t="s">
        <v>58</v>
      </c>
      <c r="C27" s="21"/>
      <c r="D27" s="16" t="s">
        <v>16</v>
      </c>
      <c r="E27" s="17">
        <f t="shared" si="6"/>
        <v>0</v>
      </c>
      <c r="F27" s="17">
        <f t="shared" si="6"/>
        <v>0</v>
      </c>
      <c r="G27" s="17">
        <f t="shared" si="6"/>
        <v>0</v>
      </c>
      <c r="H27" s="18">
        <v>0</v>
      </c>
      <c r="I27" s="17">
        <f t="shared" si="6"/>
        <v>0</v>
      </c>
      <c r="J27" s="44">
        <v>0</v>
      </c>
      <c r="K27" s="26">
        <v>0</v>
      </c>
      <c r="L27" s="26">
        <v>0</v>
      </c>
      <c r="M27" s="18">
        <v>0</v>
      </c>
      <c r="N27" s="17">
        <v>0</v>
      </c>
      <c r="O27" s="26">
        <v>0</v>
      </c>
      <c r="P27" s="26">
        <v>0</v>
      </c>
      <c r="Q27" s="26">
        <v>0</v>
      </c>
      <c r="R27" s="18">
        <v>0</v>
      </c>
      <c r="S27" s="26">
        <v>0</v>
      </c>
      <c r="T27" s="26">
        <v>0</v>
      </c>
      <c r="U27" s="26">
        <v>0</v>
      </c>
      <c r="V27" s="26">
        <v>0</v>
      </c>
      <c r="W27" s="18">
        <v>0</v>
      </c>
      <c r="X27" s="26">
        <v>0</v>
      </c>
    </row>
    <row r="28" spans="1:24" s="30" customFormat="1" ht="9.75" x14ac:dyDescent="0.2">
      <c r="A28" s="15" t="s">
        <v>59</v>
      </c>
      <c r="B28" s="21" t="s">
        <v>60</v>
      </c>
      <c r="C28" s="21"/>
      <c r="D28" s="16" t="s">
        <v>16</v>
      </c>
      <c r="E28" s="17">
        <f>SUM(J28,O28)</f>
        <v>23000</v>
      </c>
      <c r="F28" s="17">
        <f>SUM(K28,P28)</f>
        <v>37108</v>
      </c>
      <c r="G28" s="17">
        <f>SUM(L28,Q28)</f>
        <v>24756</v>
      </c>
      <c r="H28" s="18">
        <f>G28/F28*100</f>
        <v>66.713377169343531</v>
      </c>
      <c r="I28" s="17">
        <f>SUM(N28,S28)</f>
        <v>9810</v>
      </c>
      <c r="J28" s="44">
        <v>23000</v>
      </c>
      <c r="K28" s="26">
        <v>23000</v>
      </c>
      <c r="L28" s="26">
        <v>10648</v>
      </c>
      <c r="M28" s="18">
        <f>L28/K28*100</f>
        <v>46.295652173913041</v>
      </c>
      <c r="N28" s="17">
        <v>9810</v>
      </c>
      <c r="O28" s="26">
        <v>0</v>
      </c>
      <c r="P28" s="26">
        <v>14108</v>
      </c>
      <c r="Q28" s="26">
        <v>14108</v>
      </c>
      <c r="R28" s="18">
        <f>Q28/P28*100</f>
        <v>100</v>
      </c>
      <c r="S28" s="26">
        <v>0</v>
      </c>
      <c r="T28" s="26">
        <v>0</v>
      </c>
      <c r="U28" s="26">
        <v>0</v>
      </c>
      <c r="V28" s="26">
        <v>0</v>
      </c>
      <c r="W28" s="18">
        <v>0</v>
      </c>
      <c r="X28" s="26">
        <v>0</v>
      </c>
    </row>
    <row r="29" spans="1:24" s="31" customFormat="1" ht="9.75" x14ac:dyDescent="0.2">
      <c r="A29" s="15" t="s">
        <v>61</v>
      </c>
      <c r="B29" s="21" t="s">
        <v>62</v>
      </c>
      <c r="C29" s="21"/>
      <c r="D29" s="16" t="s">
        <v>16</v>
      </c>
      <c r="E29" s="17">
        <f t="shared" si="6"/>
        <v>500</v>
      </c>
      <c r="F29" s="17">
        <f t="shared" si="6"/>
        <v>500</v>
      </c>
      <c r="G29" s="17">
        <f t="shared" si="6"/>
        <v>303</v>
      </c>
      <c r="H29" s="18">
        <f t="shared" si="0"/>
        <v>60.6</v>
      </c>
      <c r="I29" s="17">
        <f t="shared" si="6"/>
        <v>303</v>
      </c>
      <c r="J29" s="44">
        <v>500</v>
      </c>
      <c r="K29" s="26">
        <v>500</v>
      </c>
      <c r="L29" s="26">
        <v>303</v>
      </c>
      <c r="M29" s="18">
        <f t="shared" si="2"/>
        <v>60.6</v>
      </c>
      <c r="N29" s="26">
        <v>303</v>
      </c>
      <c r="O29" s="26">
        <v>0</v>
      </c>
      <c r="P29" s="26">
        <v>0</v>
      </c>
      <c r="Q29" s="26">
        <v>0</v>
      </c>
      <c r="R29" s="18">
        <v>0</v>
      </c>
      <c r="S29" s="26">
        <v>0</v>
      </c>
      <c r="T29" s="26">
        <v>0</v>
      </c>
      <c r="U29" s="26">
        <v>0</v>
      </c>
      <c r="V29" s="26">
        <v>0</v>
      </c>
      <c r="W29" s="18">
        <v>0</v>
      </c>
      <c r="X29" s="26">
        <v>0</v>
      </c>
    </row>
    <row r="30" spans="1:24" s="7" customFormat="1" ht="9.75" x14ac:dyDescent="0.2">
      <c r="A30" s="15" t="s">
        <v>63</v>
      </c>
      <c r="B30" s="21" t="s">
        <v>64</v>
      </c>
      <c r="C30" s="21"/>
      <c r="D30" s="16" t="s">
        <v>16</v>
      </c>
      <c r="E30" s="17">
        <f t="shared" ref="E30:G31" si="7">SUM(J30,O30)</f>
        <v>0</v>
      </c>
      <c r="F30" s="17">
        <f t="shared" si="7"/>
        <v>0</v>
      </c>
      <c r="G30" s="17">
        <f t="shared" si="7"/>
        <v>0</v>
      </c>
      <c r="H30" s="18">
        <v>0</v>
      </c>
      <c r="I30" s="17">
        <f>SUM(N30,S30)</f>
        <v>0</v>
      </c>
      <c r="J30" s="44">
        <v>0</v>
      </c>
      <c r="K30" s="26">
        <v>0</v>
      </c>
      <c r="L30" s="26">
        <v>0</v>
      </c>
      <c r="M30" s="18">
        <v>0</v>
      </c>
      <c r="N30" s="26">
        <v>0</v>
      </c>
      <c r="O30" s="26">
        <v>0</v>
      </c>
      <c r="P30" s="26">
        <v>0</v>
      </c>
      <c r="Q30" s="26">
        <v>0</v>
      </c>
      <c r="R30" s="18">
        <v>0</v>
      </c>
      <c r="S30" s="26">
        <v>0</v>
      </c>
      <c r="T30" s="26">
        <v>0</v>
      </c>
      <c r="U30" s="26">
        <v>0</v>
      </c>
      <c r="V30" s="26">
        <v>0</v>
      </c>
      <c r="W30" s="18">
        <v>0</v>
      </c>
      <c r="X30" s="26">
        <v>0</v>
      </c>
    </row>
    <row r="31" spans="1:24" s="34" customFormat="1" ht="9.75" x14ac:dyDescent="0.2">
      <c r="A31" s="15" t="s">
        <v>65</v>
      </c>
      <c r="B31" s="21" t="s">
        <v>66</v>
      </c>
      <c r="C31" s="21"/>
      <c r="D31" s="16" t="s">
        <v>16</v>
      </c>
      <c r="E31" s="17">
        <f t="shared" si="7"/>
        <v>0</v>
      </c>
      <c r="F31" s="17">
        <f t="shared" si="7"/>
        <v>0</v>
      </c>
      <c r="G31" s="17">
        <f t="shared" si="7"/>
        <v>0</v>
      </c>
      <c r="H31" s="18">
        <v>0</v>
      </c>
      <c r="I31" s="17">
        <f>SUM(N31,S31)</f>
        <v>0</v>
      </c>
      <c r="J31" s="44">
        <v>0</v>
      </c>
      <c r="K31" s="32">
        <v>0</v>
      </c>
      <c r="L31" s="32">
        <v>0</v>
      </c>
      <c r="M31" s="18">
        <v>0</v>
      </c>
      <c r="N31" s="32">
        <v>0</v>
      </c>
      <c r="O31" s="32">
        <v>0</v>
      </c>
      <c r="P31" s="32">
        <v>0</v>
      </c>
      <c r="Q31" s="32">
        <v>0</v>
      </c>
      <c r="R31" s="18">
        <v>0</v>
      </c>
      <c r="S31" s="32">
        <v>0</v>
      </c>
      <c r="T31" s="33">
        <v>0</v>
      </c>
      <c r="U31" s="33">
        <v>0</v>
      </c>
      <c r="V31" s="33">
        <v>0</v>
      </c>
      <c r="W31" s="18">
        <v>0</v>
      </c>
      <c r="X31" s="33">
        <v>0</v>
      </c>
    </row>
    <row r="32" spans="1:24" s="34" customFormat="1" ht="9.75" x14ac:dyDescent="0.2">
      <c r="A32" s="15" t="s">
        <v>67</v>
      </c>
      <c r="B32" s="21" t="s">
        <v>68</v>
      </c>
      <c r="C32" s="21"/>
      <c r="D32" s="16" t="s">
        <v>16</v>
      </c>
      <c r="E32" s="17">
        <f>SUM(J32,O32)</f>
        <v>0</v>
      </c>
      <c r="F32" s="17">
        <f>SUM(K32,P32)</f>
        <v>0</v>
      </c>
      <c r="G32" s="17">
        <f>SUM(L32,Q32)</f>
        <v>0</v>
      </c>
      <c r="H32" s="18">
        <v>0</v>
      </c>
      <c r="I32" s="17">
        <f>SUM(N32,S32)</f>
        <v>0</v>
      </c>
      <c r="J32" s="47">
        <v>0</v>
      </c>
      <c r="K32" s="33">
        <v>0</v>
      </c>
      <c r="L32" s="33">
        <v>0</v>
      </c>
      <c r="M32" s="18">
        <v>0</v>
      </c>
      <c r="N32" s="33">
        <v>0</v>
      </c>
      <c r="O32" s="33">
        <v>0</v>
      </c>
      <c r="P32" s="33">
        <v>0</v>
      </c>
      <c r="Q32" s="33">
        <v>0</v>
      </c>
      <c r="R32" s="18">
        <v>0</v>
      </c>
      <c r="S32" s="33">
        <v>0</v>
      </c>
      <c r="T32" s="33">
        <v>0</v>
      </c>
      <c r="U32" s="33">
        <v>0</v>
      </c>
      <c r="V32" s="33">
        <v>0</v>
      </c>
      <c r="W32" s="18">
        <v>0</v>
      </c>
      <c r="X32" s="33">
        <v>0</v>
      </c>
    </row>
    <row r="33" spans="1:24" s="34" customFormat="1" ht="9.75" x14ac:dyDescent="0.2">
      <c r="A33" s="11" t="s">
        <v>69</v>
      </c>
      <c r="B33" s="35" t="s">
        <v>70</v>
      </c>
      <c r="C33" s="35"/>
      <c r="D33" s="12" t="s">
        <v>16</v>
      </c>
      <c r="E33" s="13">
        <f>E6-E11</f>
        <v>0</v>
      </c>
      <c r="F33" s="13">
        <f>F6-F11</f>
        <v>8.9999999850988388E-2</v>
      </c>
      <c r="G33" s="13">
        <f>G6-G11</f>
        <v>966883.80999999866</v>
      </c>
      <c r="H33" s="14"/>
      <c r="I33" s="13">
        <f>I6-I11</f>
        <v>603652</v>
      </c>
      <c r="J33" s="13">
        <f>J6-J11</f>
        <v>0</v>
      </c>
      <c r="K33" s="13">
        <f>K6-K11</f>
        <v>0</v>
      </c>
      <c r="L33" s="13">
        <f>L6-L11</f>
        <v>174542.85000000009</v>
      </c>
      <c r="M33" s="14"/>
      <c r="N33" s="13">
        <f>N6-N11</f>
        <v>202438</v>
      </c>
      <c r="O33" s="13">
        <f>O6-O11</f>
        <v>0</v>
      </c>
      <c r="P33" s="13">
        <f>P6-P11</f>
        <v>8.9999999850988388E-2</v>
      </c>
      <c r="Q33" s="13">
        <f>Q6-Q11</f>
        <v>792340.96000000089</v>
      </c>
      <c r="R33" s="14"/>
      <c r="S33" s="13">
        <f>S6-S11</f>
        <v>401214</v>
      </c>
      <c r="T33" s="13">
        <f>T6-T11</f>
        <v>28950</v>
      </c>
      <c r="U33" s="13">
        <f>U6-U11</f>
        <v>28950</v>
      </c>
      <c r="V33" s="13">
        <f>V6-V11</f>
        <v>24560</v>
      </c>
      <c r="W33" s="14">
        <f t="shared" si="4"/>
        <v>84.835924006908456</v>
      </c>
      <c r="X33" s="13">
        <f>X6-X11</f>
        <v>13945</v>
      </c>
    </row>
    <row r="34" spans="1:24" s="1" customFormat="1" ht="9.75" x14ac:dyDescent="0.2">
      <c r="A34" s="37" t="s">
        <v>71</v>
      </c>
      <c r="B34" s="749" t="s">
        <v>72</v>
      </c>
      <c r="C34" s="749"/>
      <c r="D34" s="38" t="s">
        <v>16</v>
      </c>
      <c r="E34" s="48">
        <v>28294</v>
      </c>
      <c r="F34" s="48">
        <v>28257</v>
      </c>
      <c r="G34" s="48">
        <v>28117</v>
      </c>
      <c r="H34" s="18">
        <f t="shared" si="0"/>
        <v>99.504547545740877</v>
      </c>
      <c r="I34" s="48">
        <v>25474</v>
      </c>
      <c r="J34" s="39">
        <v>0</v>
      </c>
      <c r="K34" s="39">
        <v>0</v>
      </c>
      <c r="L34" s="39">
        <v>0</v>
      </c>
      <c r="M34" s="14"/>
      <c r="N34" s="39">
        <v>0</v>
      </c>
      <c r="O34" s="39">
        <v>28294</v>
      </c>
      <c r="P34" s="39">
        <v>28257</v>
      </c>
      <c r="Q34" s="39">
        <v>28117</v>
      </c>
      <c r="R34" s="14"/>
      <c r="S34" s="39">
        <v>25474</v>
      </c>
      <c r="T34" s="39"/>
      <c r="U34" s="39"/>
      <c r="V34" s="39"/>
      <c r="W34" s="14"/>
      <c r="X34" s="39"/>
    </row>
    <row r="35" spans="1:24" s="1" customFormat="1" ht="9.75" x14ac:dyDescent="0.2">
      <c r="A35" s="40" t="s">
        <v>73</v>
      </c>
      <c r="B35" s="751" t="s">
        <v>74</v>
      </c>
      <c r="C35" s="751"/>
      <c r="D35" s="40" t="s">
        <v>75</v>
      </c>
      <c r="E35" s="144">
        <v>34.590000000000003</v>
      </c>
      <c r="F35" s="144">
        <v>34.869999999999997</v>
      </c>
      <c r="G35" s="144">
        <v>32.055999999999997</v>
      </c>
      <c r="H35" s="18">
        <f t="shared" si="0"/>
        <v>91.930025810151989</v>
      </c>
      <c r="I35" s="144">
        <v>28.6</v>
      </c>
      <c r="J35" s="39">
        <v>0</v>
      </c>
      <c r="K35" s="49">
        <v>0</v>
      </c>
      <c r="L35" s="39">
        <v>0</v>
      </c>
      <c r="M35" s="14"/>
      <c r="N35" s="39">
        <v>0</v>
      </c>
      <c r="O35" s="145">
        <v>34.590000000000003</v>
      </c>
      <c r="P35" s="145">
        <v>34.869999999999997</v>
      </c>
      <c r="Q35" s="145">
        <v>32.06</v>
      </c>
      <c r="R35" s="14"/>
      <c r="S35" s="145">
        <v>28.6</v>
      </c>
      <c r="T35" s="39"/>
      <c r="U35" s="39"/>
      <c r="V35" s="39"/>
      <c r="W35" s="14"/>
      <c r="X35" s="39"/>
    </row>
    <row r="36" spans="1:24" s="1" customFormat="1" ht="9.75" x14ac:dyDescent="0.2">
      <c r="A36" s="37" t="s">
        <v>76</v>
      </c>
      <c r="B36" s="749" t="s">
        <v>77</v>
      </c>
      <c r="C36" s="749"/>
      <c r="D36" s="38" t="s">
        <v>75</v>
      </c>
      <c r="E36" s="48">
        <v>40</v>
      </c>
      <c r="F36" s="48">
        <v>40</v>
      </c>
      <c r="G36" s="48">
        <v>40</v>
      </c>
      <c r="H36" s="18">
        <f t="shared" si="0"/>
        <v>100</v>
      </c>
      <c r="I36" s="48">
        <v>34</v>
      </c>
      <c r="J36" s="39">
        <v>0</v>
      </c>
      <c r="K36" s="39">
        <v>0</v>
      </c>
      <c r="L36" s="39">
        <v>0</v>
      </c>
      <c r="M36" s="14"/>
      <c r="N36" s="39">
        <v>0</v>
      </c>
      <c r="O36" s="39">
        <v>40</v>
      </c>
      <c r="P36" s="39">
        <v>40</v>
      </c>
      <c r="Q36" s="39">
        <v>40</v>
      </c>
      <c r="R36" s="14"/>
      <c r="S36" s="39">
        <v>34</v>
      </c>
      <c r="T36" s="39"/>
      <c r="U36" s="39"/>
      <c r="V36" s="39"/>
      <c r="W36" s="14"/>
      <c r="X36" s="39"/>
    </row>
  </sheetData>
  <mergeCells count="38">
    <mergeCell ref="A1:X1"/>
    <mergeCell ref="A3:A5"/>
    <mergeCell ref="B3:C5"/>
    <mergeCell ref="D3:D5"/>
    <mergeCell ref="E3:I3"/>
    <mergeCell ref="J3:N3"/>
    <mergeCell ref="O3:S3"/>
    <mergeCell ref="T3:X3"/>
    <mergeCell ref="E4:E5"/>
    <mergeCell ref="F4:H4"/>
    <mergeCell ref="I4:I5"/>
    <mergeCell ref="J4:J5"/>
    <mergeCell ref="X4:X5"/>
    <mergeCell ref="B6:C6"/>
    <mergeCell ref="O4:O5"/>
    <mergeCell ref="P4:R4"/>
    <mergeCell ref="B12:C12"/>
    <mergeCell ref="K4:M4"/>
    <mergeCell ref="N4:N5"/>
    <mergeCell ref="S4:S5"/>
    <mergeCell ref="T4:T5"/>
    <mergeCell ref="U4:W4"/>
    <mergeCell ref="B8:C8"/>
    <mergeCell ref="B10:C10"/>
    <mergeCell ref="B11:C11"/>
    <mergeCell ref="B7:C7"/>
    <mergeCell ref="B13:C13"/>
    <mergeCell ref="B26:C26"/>
    <mergeCell ref="B34:C34"/>
    <mergeCell ref="B35:C35"/>
    <mergeCell ref="B15:C15"/>
    <mergeCell ref="B36:C36"/>
    <mergeCell ref="B16:C16"/>
    <mergeCell ref="B18:C18"/>
    <mergeCell ref="B19:C19"/>
    <mergeCell ref="B20:C20"/>
    <mergeCell ref="B21:C21"/>
    <mergeCell ref="B22:C22"/>
  </mergeCells>
  <pageMargins left="0.70866141732283472" right="0.70866141732283472" top="0.78740157480314965" bottom="0.78740157480314965" header="0.31496062992125984" footer="0.31496062992125984"/>
  <pageSetup paperSize="9" scale="85" firstPageNumber="115" orientation="landscape" useFirstPageNumber="1" r:id="rId1"/>
  <headerFoot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topLeftCell="A37" workbookViewId="0">
      <selection activeCell="C51" sqref="C51"/>
    </sheetView>
  </sheetViews>
  <sheetFormatPr defaultRowHeight="12.75" x14ac:dyDescent="0.2"/>
  <cols>
    <col min="1" max="1" width="33.140625" style="4" customWidth="1"/>
    <col min="2" max="2" width="19.140625" style="4" customWidth="1"/>
    <col min="3" max="5" width="14.7109375" style="4" customWidth="1"/>
    <col min="6" max="7" width="13" style="4" customWidth="1"/>
    <col min="8" max="8" width="18.42578125" style="4" customWidth="1"/>
    <col min="9" max="16384" width="9.140625" style="4"/>
  </cols>
  <sheetData>
    <row r="1" spans="1:9" s="168" customFormat="1" ht="18.75" x14ac:dyDescent="0.3">
      <c r="A1" s="818" t="s">
        <v>95</v>
      </c>
      <c r="B1" s="818"/>
      <c r="C1" s="818"/>
      <c r="D1" s="818"/>
      <c r="E1" s="818"/>
      <c r="F1" s="818"/>
      <c r="G1" s="818"/>
      <c r="H1" s="818"/>
      <c r="I1" s="818"/>
    </row>
    <row r="3" spans="1:9" s="169" customFormat="1" ht="10.5" x14ac:dyDescent="0.15">
      <c r="A3" s="781" t="s">
        <v>99</v>
      </c>
      <c r="B3" s="781"/>
      <c r="C3" s="781"/>
      <c r="D3" s="781"/>
      <c r="E3" s="781"/>
      <c r="F3" s="781"/>
      <c r="G3" s="781"/>
      <c r="H3" s="781"/>
      <c r="I3" s="781"/>
    </row>
    <row r="4" spans="1:9" s="170" customFormat="1" ht="11.25" x14ac:dyDescent="0.2"/>
    <row r="5" spans="1:9" s="172" customFormat="1" ht="9.75" x14ac:dyDescent="0.2">
      <c r="A5" s="819" t="s">
        <v>100</v>
      </c>
      <c r="B5" s="820"/>
      <c r="C5" s="171" t="s">
        <v>16</v>
      </c>
      <c r="D5" s="805" t="s">
        <v>101</v>
      </c>
      <c r="E5" s="805"/>
      <c r="F5" s="805"/>
      <c r="G5" s="805"/>
      <c r="H5" s="805"/>
      <c r="I5" s="805"/>
    </row>
    <row r="6" spans="1:9" s="170" customFormat="1" ht="81" customHeight="1" x14ac:dyDescent="0.2">
      <c r="A6" s="821" t="s">
        <v>102</v>
      </c>
      <c r="B6" s="822"/>
      <c r="C6" s="173">
        <v>174542.85</v>
      </c>
      <c r="D6" s="890" t="s">
        <v>606</v>
      </c>
      <c r="E6" s="1093"/>
      <c r="F6" s="1093"/>
      <c r="G6" s="1093"/>
      <c r="H6" s="1093"/>
      <c r="I6" s="892"/>
    </row>
    <row r="7" spans="1:9" s="170" customFormat="1" ht="166.5" customHeight="1" x14ac:dyDescent="0.2">
      <c r="A7" s="507"/>
      <c r="B7" s="508"/>
      <c r="C7" s="173"/>
      <c r="D7" s="890" t="s">
        <v>607</v>
      </c>
      <c r="E7" s="1094"/>
      <c r="F7" s="1094"/>
      <c r="G7" s="1094"/>
      <c r="H7" s="1094"/>
      <c r="I7" s="1079"/>
    </row>
    <row r="8" spans="1:9" s="174" customFormat="1" ht="24.75" customHeight="1" x14ac:dyDescent="0.15">
      <c r="A8" s="821" t="s">
        <v>103</v>
      </c>
      <c r="B8" s="822"/>
      <c r="C8" s="173">
        <v>24560</v>
      </c>
      <c r="D8" s="826" t="s">
        <v>608</v>
      </c>
      <c r="E8" s="827"/>
      <c r="F8" s="827"/>
      <c r="G8" s="827"/>
      <c r="H8" s="827"/>
      <c r="I8" s="828"/>
    </row>
    <row r="9" spans="1:9" s="174" customFormat="1" ht="15" customHeight="1" x14ac:dyDescent="0.15">
      <c r="A9" s="829" t="s">
        <v>105</v>
      </c>
      <c r="B9" s="830"/>
      <c r="C9" s="175"/>
      <c r="D9" s="831"/>
      <c r="E9" s="832"/>
      <c r="F9" s="832"/>
      <c r="G9" s="832"/>
      <c r="H9" s="832"/>
      <c r="I9" s="833"/>
    </row>
    <row r="10" spans="1:9" s="170" customFormat="1" ht="11.25" x14ac:dyDescent="0.2">
      <c r="C10" s="176"/>
    </row>
    <row r="11" spans="1:9" s="177" customFormat="1" ht="11.25" x14ac:dyDescent="0.2">
      <c r="A11" s="781" t="s">
        <v>106</v>
      </c>
      <c r="B11" s="781"/>
      <c r="C11" s="781"/>
      <c r="D11" s="781"/>
      <c r="E11" s="781"/>
      <c r="F11" s="781"/>
      <c r="G11" s="781"/>
      <c r="H11" s="781"/>
      <c r="I11" s="781"/>
    </row>
    <row r="12" spans="1:9" s="170" customFormat="1" ht="12" thickBot="1" x14ac:dyDescent="0.25">
      <c r="C12" s="176"/>
    </row>
    <row r="13" spans="1:9" s="181" customFormat="1" ht="21" x14ac:dyDescent="0.15">
      <c r="A13" s="509" t="s">
        <v>107</v>
      </c>
      <c r="B13" s="509" t="s">
        <v>108</v>
      </c>
      <c r="C13" s="510" t="s">
        <v>109</v>
      </c>
      <c r="D13" s="511" t="s">
        <v>110</v>
      </c>
      <c r="E13" s="510" t="s">
        <v>111</v>
      </c>
      <c r="F13" s="1087" t="s">
        <v>112</v>
      </c>
      <c r="G13" s="1088"/>
      <c r="H13" s="1089" t="s">
        <v>113</v>
      </c>
      <c r="I13" s="1090"/>
    </row>
    <row r="14" spans="1:9" s="181" customFormat="1" ht="90.75" customHeight="1" x14ac:dyDescent="0.15">
      <c r="A14" s="512" t="s">
        <v>114</v>
      </c>
      <c r="B14" s="336">
        <v>76437.789999999994</v>
      </c>
      <c r="C14" s="336">
        <v>31982.52</v>
      </c>
      <c r="D14" s="338">
        <v>4406</v>
      </c>
      <c r="E14" s="336">
        <f>B14+C14-D14</f>
        <v>104014.31</v>
      </c>
      <c r="F14" s="1085">
        <v>104014.31</v>
      </c>
      <c r="G14" s="1085"/>
      <c r="H14" s="1091" t="s">
        <v>609</v>
      </c>
      <c r="I14" s="1092"/>
    </row>
    <row r="15" spans="1:9" s="181" customFormat="1" ht="49.5" customHeight="1" x14ac:dyDescent="0.15">
      <c r="A15" s="512" t="s">
        <v>115</v>
      </c>
      <c r="B15" s="336">
        <v>586584.09</v>
      </c>
      <c r="C15" s="336">
        <v>0</v>
      </c>
      <c r="D15" s="338">
        <v>565465</v>
      </c>
      <c r="E15" s="336">
        <f t="shared" ref="E15:E18" si="0">B15+C15-D15</f>
        <v>21119.089999999967</v>
      </c>
      <c r="F15" s="1085">
        <v>21119.09</v>
      </c>
      <c r="G15" s="1085"/>
      <c r="H15" s="1082" t="s">
        <v>610</v>
      </c>
      <c r="I15" s="1082"/>
    </row>
    <row r="16" spans="1:9" s="181" customFormat="1" ht="109.5" customHeight="1" x14ac:dyDescent="0.15">
      <c r="A16" s="513" t="s">
        <v>116</v>
      </c>
      <c r="B16" s="514">
        <v>36320</v>
      </c>
      <c r="C16" s="514">
        <v>628562</v>
      </c>
      <c r="D16" s="514">
        <v>621008</v>
      </c>
      <c r="E16" s="336">
        <f t="shared" si="0"/>
        <v>43874</v>
      </c>
      <c r="F16" s="1081">
        <v>43874</v>
      </c>
      <c r="G16" s="1081"/>
      <c r="H16" s="1082" t="s">
        <v>611</v>
      </c>
      <c r="I16" s="1082"/>
    </row>
    <row r="17" spans="1:9" s="181" customFormat="1" ht="27" customHeight="1" x14ac:dyDescent="0.15">
      <c r="A17" s="512" t="s">
        <v>117</v>
      </c>
      <c r="B17" s="336">
        <v>38935.980000000003</v>
      </c>
      <c r="C17" s="336">
        <v>0</v>
      </c>
      <c r="D17" s="336">
        <v>0</v>
      </c>
      <c r="E17" s="336">
        <f t="shared" si="0"/>
        <v>38935.980000000003</v>
      </c>
      <c r="F17" s="1083">
        <v>38935.980000000003</v>
      </c>
      <c r="G17" s="1083"/>
      <c r="H17" s="1082" t="s">
        <v>612</v>
      </c>
      <c r="I17" s="1084"/>
    </row>
    <row r="18" spans="1:9" s="181" customFormat="1" ht="251.25" customHeight="1" x14ac:dyDescent="0.15">
      <c r="A18" s="512" t="s">
        <v>118</v>
      </c>
      <c r="B18" s="336">
        <v>180204.52</v>
      </c>
      <c r="C18" s="336">
        <v>116059</v>
      </c>
      <c r="D18" s="336">
        <v>59510.5</v>
      </c>
      <c r="E18" s="336">
        <f t="shared" si="0"/>
        <v>236753.02000000002</v>
      </c>
      <c r="F18" s="1085">
        <v>217694.04</v>
      </c>
      <c r="G18" s="1085"/>
      <c r="H18" s="1082" t="s">
        <v>613</v>
      </c>
      <c r="I18" s="1084"/>
    </row>
    <row r="19" spans="1:9" s="181" customFormat="1" thickBot="1" x14ac:dyDescent="0.2">
      <c r="A19" s="515" t="s">
        <v>120</v>
      </c>
      <c r="B19" s="516">
        <f>SUM(B14:B18)</f>
        <v>918482.38</v>
      </c>
      <c r="C19" s="517">
        <f>SUM(C14:C18)</f>
        <v>776603.52</v>
      </c>
      <c r="D19" s="518">
        <f>SUM(D14:D18)</f>
        <v>1250389.5</v>
      </c>
      <c r="E19" s="517">
        <f>SUM(E14:E18)</f>
        <v>444696.4</v>
      </c>
      <c r="F19" s="1086">
        <f>SUM(F14:G18)</f>
        <v>425637.42000000004</v>
      </c>
      <c r="G19" s="1086"/>
      <c r="H19" s="519"/>
      <c r="I19" s="520"/>
    </row>
    <row r="20" spans="1:9" s="204" customFormat="1" ht="11.25" x14ac:dyDescent="0.2">
      <c r="C20" s="205"/>
    </row>
    <row r="21" spans="1:9" s="177" customFormat="1" ht="11.25" x14ac:dyDescent="0.2">
      <c r="A21" s="781" t="s">
        <v>121</v>
      </c>
      <c r="B21" s="781"/>
      <c r="C21" s="781"/>
      <c r="D21" s="781"/>
      <c r="E21" s="781"/>
      <c r="F21" s="781"/>
      <c r="G21" s="781"/>
      <c r="H21" s="781"/>
      <c r="I21" s="781"/>
    </row>
    <row r="22" spans="1:9" s="170" customFormat="1" ht="11.25" x14ac:dyDescent="0.2">
      <c r="C22" s="176"/>
    </row>
    <row r="23" spans="1:9" s="204" customFormat="1" ht="11.25" x14ac:dyDescent="0.2">
      <c r="A23" s="521" t="s">
        <v>614</v>
      </c>
      <c r="B23" s="522"/>
      <c r="C23" s="523"/>
      <c r="D23" s="522"/>
      <c r="E23" s="522"/>
      <c r="F23" s="522"/>
      <c r="G23" s="522"/>
      <c r="H23" s="522"/>
      <c r="I23" s="524"/>
    </row>
    <row r="24" spans="1:9" s="204" customFormat="1" ht="11.25" x14ac:dyDescent="0.2">
      <c r="C24" s="205"/>
    </row>
    <row r="25" spans="1:9" s="177" customFormat="1" ht="11.25" x14ac:dyDescent="0.2">
      <c r="A25" s="781" t="s">
        <v>126</v>
      </c>
      <c r="B25" s="781"/>
      <c r="C25" s="781"/>
      <c r="D25" s="781"/>
      <c r="E25" s="781"/>
      <c r="F25" s="781"/>
      <c r="G25" s="781"/>
      <c r="H25" s="781"/>
      <c r="I25" s="781"/>
    </row>
    <row r="26" spans="1:9" s="170" customFormat="1" ht="11.25" x14ac:dyDescent="0.2">
      <c r="C26" s="176"/>
    </row>
    <row r="27" spans="1:9" s="170" customFormat="1" ht="11.25" x14ac:dyDescent="0.2">
      <c r="A27" s="525" t="s">
        <v>615</v>
      </c>
      <c r="B27" s="526"/>
      <c r="C27" s="527"/>
      <c r="D27" s="526"/>
      <c r="E27" s="526"/>
      <c r="F27" s="526"/>
      <c r="G27" s="526"/>
      <c r="H27" s="526"/>
      <c r="I27" s="528"/>
    </row>
    <row r="28" spans="1:9" s="170" customFormat="1" ht="11.25" x14ac:dyDescent="0.2">
      <c r="C28" s="176"/>
    </row>
    <row r="29" spans="1:9" s="177" customFormat="1" ht="11.25" x14ac:dyDescent="0.2">
      <c r="A29" s="781" t="s">
        <v>129</v>
      </c>
      <c r="B29" s="781"/>
      <c r="C29" s="781"/>
      <c r="D29" s="781"/>
      <c r="E29" s="781"/>
      <c r="F29" s="781"/>
      <c r="G29" s="781"/>
      <c r="H29" s="781"/>
      <c r="I29" s="781"/>
    </row>
    <row r="30" spans="1:9" s="170" customFormat="1" ht="11.25" x14ac:dyDescent="0.2">
      <c r="C30" s="212"/>
    </row>
    <row r="31" spans="1:9" s="170" customFormat="1" ht="11.25" x14ac:dyDescent="0.2">
      <c r="A31" s="171" t="s">
        <v>130</v>
      </c>
      <c r="B31" s="206" t="s">
        <v>131</v>
      </c>
      <c r="C31" s="785" t="s">
        <v>132</v>
      </c>
      <c r="D31" s="785"/>
      <c r="E31" s="785"/>
      <c r="F31" s="785"/>
      <c r="G31" s="785"/>
      <c r="H31" s="785"/>
      <c r="I31" s="786"/>
    </row>
    <row r="32" spans="1:9" s="170" customFormat="1" ht="11.25" x14ac:dyDescent="0.2">
      <c r="A32" s="213"/>
      <c r="B32" s="213"/>
      <c r="C32" s="787"/>
      <c r="D32" s="787"/>
      <c r="E32" s="787"/>
      <c r="F32" s="787"/>
      <c r="G32" s="787"/>
      <c r="H32" s="787"/>
      <c r="I32" s="787"/>
    </row>
    <row r="33" spans="1:9" s="174" customFormat="1" ht="10.5" x14ac:dyDescent="0.15">
      <c r="A33" s="214">
        <f>SUM(A32:A32)</f>
        <v>0</v>
      </c>
      <c r="B33" s="214">
        <f>SUM(B32:B32)</f>
        <v>0</v>
      </c>
      <c r="C33" s="788" t="s">
        <v>120</v>
      </c>
      <c r="D33" s="789"/>
      <c r="E33" s="789"/>
      <c r="F33" s="789"/>
      <c r="G33" s="789"/>
      <c r="H33" s="789"/>
      <c r="I33" s="790"/>
    </row>
    <row r="34" spans="1:9" s="170" customFormat="1" ht="11.25" x14ac:dyDescent="0.2">
      <c r="A34" s="529" t="s">
        <v>616</v>
      </c>
      <c r="B34" s="526"/>
      <c r="C34" s="530"/>
      <c r="D34" s="526"/>
      <c r="E34" s="526"/>
      <c r="F34" s="526"/>
      <c r="G34" s="526"/>
      <c r="H34" s="526"/>
      <c r="I34" s="528"/>
    </row>
    <row r="35" spans="1:9" s="170" customFormat="1" ht="11.25" x14ac:dyDescent="0.2">
      <c r="C35" s="212"/>
    </row>
    <row r="36" spans="1:9" s="170" customFormat="1" ht="11.25" x14ac:dyDescent="0.2">
      <c r="A36" s="781" t="s">
        <v>177</v>
      </c>
      <c r="B36" s="766"/>
      <c r="C36" s="766"/>
      <c r="D36" s="766"/>
      <c r="E36" s="766"/>
      <c r="F36" s="766"/>
      <c r="G36" s="766"/>
      <c r="H36" s="766"/>
      <c r="I36" s="766"/>
    </row>
    <row r="37" spans="1:9" s="170" customFormat="1" ht="11.25" x14ac:dyDescent="0.2">
      <c r="C37" s="212"/>
    </row>
    <row r="38" spans="1:9" s="216" customFormat="1" ht="31.5" x14ac:dyDescent="0.25">
      <c r="A38" s="767" t="s">
        <v>135</v>
      </c>
      <c r="B38" s="768"/>
      <c r="C38" s="215" t="s">
        <v>136</v>
      </c>
      <c r="D38" s="215" t="s">
        <v>137</v>
      </c>
      <c r="E38" s="215" t="s">
        <v>138</v>
      </c>
      <c r="F38" s="215" t="s">
        <v>139</v>
      </c>
      <c r="G38" s="215" t="s">
        <v>140</v>
      </c>
    </row>
    <row r="39" spans="1:9" s="170" customFormat="1" ht="12" x14ac:dyDescent="0.2">
      <c r="A39" s="1074" t="s">
        <v>351</v>
      </c>
      <c r="B39" s="1075"/>
      <c r="C39" s="531" t="s">
        <v>226</v>
      </c>
      <c r="D39" s="532">
        <v>34000</v>
      </c>
      <c r="E39" s="533"/>
      <c r="F39" s="534">
        <v>43249</v>
      </c>
      <c r="G39" s="534"/>
    </row>
    <row r="40" spans="1:9" s="170" customFormat="1" ht="12" x14ac:dyDescent="0.2">
      <c r="A40" s="1076" t="s">
        <v>617</v>
      </c>
      <c r="B40" s="1076"/>
      <c r="C40" s="531" t="s">
        <v>618</v>
      </c>
      <c r="D40" s="535"/>
      <c r="E40" s="533">
        <v>34000</v>
      </c>
      <c r="F40" s="534"/>
      <c r="G40" s="534" t="s">
        <v>619</v>
      </c>
    </row>
    <row r="41" spans="1:9" s="170" customFormat="1" ht="15" x14ac:dyDescent="0.2">
      <c r="A41" s="1077" t="s">
        <v>620</v>
      </c>
      <c r="B41" s="1078"/>
      <c r="C41" s="1078"/>
      <c r="D41" s="1078"/>
      <c r="E41" s="1078"/>
      <c r="F41" s="1078"/>
      <c r="G41" s="231"/>
    </row>
    <row r="42" spans="1:9" s="170" customFormat="1" ht="15" x14ac:dyDescent="0.2">
      <c r="A42" s="1077" t="s">
        <v>621</v>
      </c>
      <c r="B42" s="1079"/>
      <c r="C42" s="227" t="s">
        <v>622</v>
      </c>
      <c r="D42" s="232"/>
      <c r="E42" s="229">
        <v>10769</v>
      </c>
      <c r="F42" s="536">
        <v>43269</v>
      </c>
      <c r="G42" s="231"/>
    </row>
    <row r="43" spans="1:9" s="170" customFormat="1" ht="12" x14ac:dyDescent="0.2">
      <c r="A43" s="276" t="s">
        <v>623</v>
      </c>
      <c r="B43" s="537"/>
      <c r="C43" s="227" t="s">
        <v>624</v>
      </c>
      <c r="D43" s="232"/>
      <c r="E43" s="229">
        <v>-10769</v>
      </c>
      <c r="F43" s="536"/>
      <c r="G43" s="231">
        <v>43269</v>
      </c>
    </row>
    <row r="44" spans="1:9" s="170" customFormat="1" ht="30" customHeight="1" x14ac:dyDescent="0.2">
      <c r="A44" s="1077" t="s">
        <v>625</v>
      </c>
      <c r="B44" s="1078"/>
      <c r="C44" s="1078"/>
      <c r="D44" s="1078"/>
      <c r="E44" s="1078"/>
      <c r="F44" s="1078"/>
      <c r="G44" s="1080"/>
    </row>
    <row r="45" spans="1:9" s="170" customFormat="1" ht="11.25" x14ac:dyDescent="0.2">
      <c r="A45" s="773" t="s">
        <v>178</v>
      </c>
      <c r="B45" s="774"/>
      <c r="C45" s="233"/>
      <c r="D45" s="234">
        <f>SUM(D39:D40)</f>
        <v>34000</v>
      </c>
      <c r="E45" s="234">
        <f>SUM(E39:E40)</f>
        <v>34000</v>
      </c>
      <c r="F45" s="795"/>
      <c r="G45" s="796"/>
    </row>
    <row r="46" spans="1:9" s="170" customFormat="1" ht="15" x14ac:dyDescent="0.25">
      <c r="A46" s="782"/>
      <c r="B46" s="783"/>
      <c r="C46" s="212"/>
    </row>
    <row r="47" spans="1:9" s="170" customFormat="1" ht="11.25" x14ac:dyDescent="0.2">
      <c r="A47" s="766" t="s">
        <v>180</v>
      </c>
      <c r="B47" s="766"/>
      <c r="C47" s="766"/>
      <c r="D47" s="766"/>
      <c r="E47" s="766"/>
      <c r="F47" s="766"/>
      <c r="G47" s="766"/>
      <c r="H47" s="766"/>
      <c r="I47" s="766"/>
    </row>
    <row r="48" spans="1:9" s="170" customFormat="1" ht="11.25" x14ac:dyDescent="0.2">
      <c r="C48" s="212"/>
    </row>
    <row r="49" spans="1:9" s="216" customFormat="1" ht="31.5" x14ac:dyDescent="0.25">
      <c r="A49" s="767" t="s">
        <v>135</v>
      </c>
      <c r="B49" s="768"/>
      <c r="C49" s="215" t="s">
        <v>136</v>
      </c>
      <c r="D49" s="215" t="s">
        <v>137</v>
      </c>
      <c r="E49" s="215" t="s">
        <v>138</v>
      </c>
      <c r="F49" s="215" t="s">
        <v>139</v>
      </c>
      <c r="G49" s="215" t="s">
        <v>140</v>
      </c>
    </row>
    <row r="50" spans="1:9" s="170" customFormat="1" ht="11.25" customHeight="1" x14ac:dyDescent="0.2">
      <c r="A50" s="771"/>
      <c r="B50" s="772"/>
      <c r="C50" s="243"/>
      <c r="D50" s="244"/>
      <c r="E50" s="244"/>
      <c r="F50" s="245"/>
      <c r="G50" s="245"/>
    </row>
    <row r="51" spans="1:9" s="170" customFormat="1" ht="11.25" x14ac:dyDescent="0.2">
      <c r="A51" s="773" t="s">
        <v>178</v>
      </c>
      <c r="B51" s="774"/>
      <c r="C51" s="233"/>
      <c r="D51" s="234">
        <f>SUM(D50:D50)</f>
        <v>0</v>
      </c>
      <c r="E51" s="234">
        <f>SUM(E50:E50)</f>
        <v>0</v>
      </c>
      <c r="F51" s="775"/>
      <c r="G51" s="776"/>
    </row>
    <row r="52" spans="1:9" s="170" customFormat="1" ht="11.25" x14ac:dyDescent="0.2">
      <c r="A52" s="1068" t="s">
        <v>626</v>
      </c>
      <c r="B52" s="1069"/>
      <c r="C52" s="1069"/>
      <c r="D52" s="1069"/>
      <c r="E52" s="1069"/>
      <c r="F52" s="1069"/>
      <c r="G52" s="1070"/>
    </row>
    <row r="53" spans="1:9" s="170" customFormat="1" ht="11.25" x14ac:dyDescent="0.2">
      <c r="A53" s="1071"/>
      <c r="B53" s="1072"/>
      <c r="C53" s="1072"/>
      <c r="D53" s="1072"/>
      <c r="E53" s="1072"/>
      <c r="F53" s="1072"/>
      <c r="G53" s="1073"/>
    </row>
    <row r="54" spans="1:9" s="177" customFormat="1" ht="11.25" x14ac:dyDescent="0.2">
      <c r="A54" s="777" t="s">
        <v>238</v>
      </c>
      <c r="B54" s="777"/>
      <c r="C54" s="777"/>
      <c r="D54" s="777"/>
      <c r="E54" s="777"/>
      <c r="F54" s="777"/>
      <c r="G54" s="777"/>
      <c r="H54" s="777"/>
      <c r="I54" s="777"/>
    </row>
    <row r="55" spans="1:9" s="170" customFormat="1" ht="11.25" x14ac:dyDescent="0.2">
      <c r="A55" s="170" t="s">
        <v>627</v>
      </c>
    </row>
    <row r="56" spans="1:9" s="170" customFormat="1" ht="11.25" x14ac:dyDescent="0.2">
      <c r="A56" s="778"/>
      <c r="B56" s="779"/>
      <c r="C56" s="779"/>
      <c r="D56" s="779"/>
      <c r="E56" s="779"/>
      <c r="F56" s="779"/>
      <c r="G56" s="779"/>
      <c r="H56" s="779"/>
      <c r="I56" s="780"/>
    </row>
    <row r="57" spans="1:9" s="169" customFormat="1" ht="10.5" x14ac:dyDescent="0.15">
      <c r="A57" s="781" t="s">
        <v>165</v>
      </c>
      <c r="B57" s="781"/>
      <c r="C57" s="781"/>
      <c r="D57" s="781"/>
      <c r="E57" s="781"/>
      <c r="F57" s="781"/>
      <c r="G57" s="781"/>
      <c r="H57" s="781"/>
      <c r="I57" s="781"/>
    </row>
    <row r="58" spans="1:9" s="170" customFormat="1" ht="34.5" customHeight="1" x14ac:dyDescent="0.25">
      <c r="A58" s="1065" t="s">
        <v>628</v>
      </c>
      <c r="B58" s="1066"/>
      <c r="C58" s="1066"/>
      <c r="D58" s="1066"/>
      <c r="E58" s="1066"/>
      <c r="F58" s="1066"/>
      <c r="G58" s="1067"/>
    </row>
    <row r="59" spans="1:9" s="170" customFormat="1" ht="18.75" customHeight="1" x14ac:dyDescent="0.2">
      <c r="A59" s="763"/>
      <c r="B59" s="764"/>
      <c r="C59" s="764"/>
      <c r="D59" s="764"/>
      <c r="E59" s="764"/>
      <c r="F59" s="764"/>
      <c r="G59" s="764"/>
      <c r="H59" s="764"/>
      <c r="I59" s="765"/>
    </row>
    <row r="60" spans="1:9" x14ac:dyDescent="0.2">
      <c r="A60" s="4" t="s">
        <v>362</v>
      </c>
      <c r="B60" s="4" t="s">
        <v>629</v>
      </c>
    </row>
    <row r="61" spans="1:9" ht="14.25" customHeight="1" x14ac:dyDescent="0.2">
      <c r="A61" s="246" t="s">
        <v>364</v>
      </c>
      <c r="B61" s="538">
        <v>43311</v>
      </c>
    </row>
    <row r="62" spans="1:9" ht="13.5" customHeight="1" x14ac:dyDescent="0.2">
      <c r="A62" s="246"/>
    </row>
  </sheetData>
  <mergeCells count="52">
    <mergeCell ref="A11:I11"/>
    <mergeCell ref="A1:I1"/>
    <mergeCell ref="A3:I3"/>
    <mergeCell ref="A5:B5"/>
    <mergeCell ref="D5:I5"/>
    <mergeCell ref="A6:B6"/>
    <mergeCell ref="D6:I6"/>
    <mergeCell ref="D7:I7"/>
    <mergeCell ref="A8:B8"/>
    <mergeCell ref="D8:I8"/>
    <mergeCell ref="A9:B9"/>
    <mergeCell ref="D9:I9"/>
    <mergeCell ref="F13:G13"/>
    <mergeCell ref="H13:I13"/>
    <mergeCell ref="F14:G14"/>
    <mergeCell ref="H14:I14"/>
    <mergeCell ref="F15:G15"/>
    <mergeCell ref="H15:I15"/>
    <mergeCell ref="C32:I32"/>
    <mergeCell ref="F16:G16"/>
    <mergeCell ref="H16:I16"/>
    <mergeCell ref="F17:G17"/>
    <mergeCell ref="H17:I17"/>
    <mergeCell ref="F18:G18"/>
    <mergeCell ref="H18:I18"/>
    <mergeCell ref="F19:G19"/>
    <mergeCell ref="A21:I21"/>
    <mergeCell ref="A25:I25"/>
    <mergeCell ref="A29:I29"/>
    <mergeCell ref="C31:I31"/>
    <mergeCell ref="A47:I47"/>
    <mergeCell ref="C33:I33"/>
    <mergeCell ref="A36:I36"/>
    <mergeCell ref="A38:B38"/>
    <mergeCell ref="A39:B39"/>
    <mergeCell ref="A40:B40"/>
    <mergeCell ref="A41:F41"/>
    <mergeCell ref="A42:B42"/>
    <mergeCell ref="A44:G44"/>
    <mergeCell ref="A45:B45"/>
    <mergeCell ref="F45:G45"/>
    <mergeCell ref="A46:B46"/>
    <mergeCell ref="A56:I56"/>
    <mergeCell ref="A57:I57"/>
    <mergeCell ref="A58:G58"/>
    <mergeCell ref="A59:I59"/>
    <mergeCell ref="A49:B49"/>
    <mergeCell ref="A50:B50"/>
    <mergeCell ref="A51:B51"/>
    <mergeCell ref="F51:G51"/>
    <mergeCell ref="A52:G53"/>
    <mergeCell ref="A54:I54"/>
  </mergeCells>
  <pageMargins left="0.70866141732283472" right="0.70866141732283472" top="0.78740157480314965" bottom="0.78740157480314965" header="0.31496062992125984" footer="0.31496062992125984"/>
  <pageSetup paperSize="9" scale="49" firstPageNumber="116" orientation="portrait" useFirstPageNumber="1" r:id="rId1"/>
  <headerFooter>
    <oddFooter>&amp;C&amp;P</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37"/>
  <sheetViews>
    <sheetView workbookViewId="0">
      <selection activeCell="C51" sqref="C51"/>
    </sheetView>
  </sheetViews>
  <sheetFormatPr defaultColWidth="3.7109375" defaultRowHeight="15" x14ac:dyDescent="0.25"/>
  <cols>
    <col min="1" max="1" width="3.140625" style="97" customWidth="1"/>
    <col min="2" max="2" width="3.7109375" style="3" customWidth="1"/>
    <col min="3" max="3" width="20.85546875" style="3" customWidth="1"/>
    <col min="4" max="4" width="5" style="3" customWidth="1"/>
    <col min="5" max="7" width="5.7109375" style="3" customWidth="1"/>
    <col min="8" max="8" width="4.42578125" style="3" customWidth="1"/>
    <col min="9" max="12" width="5.7109375" style="3" customWidth="1"/>
    <col min="13" max="13" width="4.28515625" style="3" customWidth="1"/>
    <col min="14" max="14" width="5.42578125" style="3" customWidth="1"/>
    <col min="15" max="15" width="6.85546875" style="3" customWidth="1"/>
    <col min="16" max="17" width="5.7109375" style="3" customWidth="1"/>
    <col min="18" max="18" width="5" style="3" customWidth="1"/>
    <col min="19" max="22" width="5.7109375" style="3" customWidth="1"/>
    <col min="23" max="23" width="4.140625" style="3" customWidth="1"/>
    <col min="24" max="24" width="5.7109375" style="3" customWidth="1"/>
    <col min="25" max="25" width="5.7109375" style="3" bestFit="1" customWidth="1"/>
    <col min="26" max="16384" width="3.7109375" style="3"/>
  </cols>
  <sheetData>
    <row r="1" spans="1:24" s="6" customFormat="1" ht="15.75" x14ac:dyDescent="0.25">
      <c r="A1" s="759" t="s">
        <v>530</v>
      </c>
      <c r="B1" s="759"/>
      <c r="C1" s="759"/>
      <c r="D1" s="759"/>
      <c r="E1" s="759"/>
      <c r="F1" s="759"/>
      <c r="G1" s="759"/>
      <c r="H1" s="759"/>
      <c r="I1" s="759"/>
      <c r="J1" s="759"/>
      <c r="K1" s="759"/>
      <c r="L1" s="759"/>
      <c r="M1" s="759"/>
      <c r="N1" s="759"/>
      <c r="O1" s="759"/>
      <c r="P1" s="759"/>
      <c r="Q1" s="759"/>
      <c r="R1" s="759"/>
      <c r="S1" s="759"/>
      <c r="T1" s="759"/>
      <c r="U1" s="759"/>
      <c r="V1" s="759"/>
      <c r="W1" s="759"/>
      <c r="X1" s="759"/>
    </row>
    <row r="3" spans="1:24" s="7" customFormat="1" ht="9.75" customHeight="1" x14ac:dyDescent="0.2">
      <c r="A3" s="1114" t="s">
        <v>1</v>
      </c>
      <c r="B3" s="1117" t="s">
        <v>2</v>
      </c>
      <c r="C3" s="1118"/>
      <c r="D3" s="1123" t="s">
        <v>3</v>
      </c>
      <c r="E3" s="1126" t="s">
        <v>120</v>
      </c>
      <c r="F3" s="1127"/>
      <c r="G3" s="1127"/>
      <c r="H3" s="1127"/>
      <c r="I3" s="1128"/>
      <c r="J3" s="1126" t="s">
        <v>5</v>
      </c>
      <c r="K3" s="1127"/>
      <c r="L3" s="1127"/>
      <c r="M3" s="1127"/>
      <c r="N3" s="1128"/>
      <c r="O3" s="1126" t="s">
        <v>788</v>
      </c>
      <c r="P3" s="1127"/>
      <c r="Q3" s="1127"/>
      <c r="R3" s="1127"/>
      <c r="S3" s="1128"/>
      <c r="T3" s="1126" t="s">
        <v>103</v>
      </c>
      <c r="U3" s="1127"/>
      <c r="V3" s="1127"/>
      <c r="W3" s="1127"/>
      <c r="X3" s="1128"/>
    </row>
    <row r="4" spans="1:24" s="8" customFormat="1" ht="9.75" customHeight="1" x14ac:dyDescent="0.2">
      <c r="A4" s="1115"/>
      <c r="B4" s="1119"/>
      <c r="C4" s="1120"/>
      <c r="D4" s="1124"/>
      <c r="E4" s="1109" t="s">
        <v>89</v>
      </c>
      <c r="F4" s="1111" t="s">
        <v>9</v>
      </c>
      <c r="G4" s="1112"/>
      <c r="H4" s="1113"/>
      <c r="I4" s="756" t="s">
        <v>10</v>
      </c>
      <c r="J4" s="1109" t="s">
        <v>89</v>
      </c>
      <c r="K4" s="1111" t="s">
        <v>9</v>
      </c>
      <c r="L4" s="1112"/>
      <c r="M4" s="1113"/>
      <c r="N4" s="756" t="s">
        <v>10</v>
      </c>
      <c r="O4" s="1109" t="s">
        <v>89</v>
      </c>
      <c r="P4" s="1111" t="s">
        <v>9</v>
      </c>
      <c r="Q4" s="1112"/>
      <c r="R4" s="1113"/>
      <c r="S4" s="756" t="s">
        <v>10</v>
      </c>
      <c r="T4" s="1109" t="s">
        <v>89</v>
      </c>
      <c r="U4" s="1111" t="s">
        <v>9</v>
      </c>
      <c r="V4" s="1112"/>
      <c r="W4" s="1113"/>
      <c r="X4" s="756" t="s">
        <v>10</v>
      </c>
    </row>
    <row r="5" spans="1:24" s="10" customFormat="1" ht="9.75" customHeight="1" x14ac:dyDescent="0.2">
      <c r="A5" s="1116"/>
      <c r="B5" s="1121"/>
      <c r="C5" s="1122"/>
      <c r="D5" s="1125"/>
      <c r="E5" s="1110"/>
      <c r="F5" s="146" t="s">
        <v>90</v>
      </c>
      <c r="G5" s="700" t="s">
        <v>12</v>
      </c>
      <c r="H5" s="146" t="s">
        <v>13</v>
      </c>
      <c r="I5" s="757"/>
      <c r="J5" s="1110"/>
      <c r="K5" s="146" t="s">
        <v>90</v>
      </c>
      <c r="L5" s="700" t="s">
        <v>12</v>
      </c>
      <c r="M5" s="146" t="s">
        <v>13</v>
      </c>
      <c r="N5" s="757"/>
      <c r="O5" s="1110"/>
      <c r="P5" s="146" t="s">
        <v>90</v>
      </c>
      <c r="Q5" s="700" t="s">
        <v>12</v>
      </c>
      <c r="R5" s="146" t="s">
        <v>13</v>
      </c>
      <c r="S5" s="757"/>
      <c r="T5" s="1110"/>
      <c r="U5" s="146" t="s">
        <v>90</v>
      </c>
      <c r="V5" s="700" t="s">
        <v>12</v>
      </c>
      <c r="W5" s="146" t="s">
        <v>13</v>
      </c>
      <c r="X5" s="757"/>
    </row>
    <row r="6" spans="1:24" s="7" customFormat="1" ht="9.75" customHeight="1" x14ac:dyDescent="0.2">
      <c r="A6" s="701" t="s">
        <v>14</v>
      </c>
      <c r="B6" s="921" t="s">
        <v>15</v>
      </c>
      <c r="C6" s="921"/>
      <c r="D6" s="702" t="s">
        <v>16</v>
      </c>
      <c r="E6" s="149">
        <f>SUM(E7:E9)</f>
        <v>46102158</v>
      </c>
      <c r="F6" s="149">
        <f>SUM(F7:F9)</f>
        <v>46870158</v>
      </c>
      <c r="G6" s="149">
        <f>SUM(G7:G9)</f>
        <v>26219653.260000002</v>
      </c>
      <c r="H6" s="150">
        <f t="shared" ref="H6:H36" si="0">G6/F6*100</f>
        <v>55.941038773541152</v>
      </c>
      <c r="I6" s="149">
        <f>SUM(I7:I9)</f>
        <v>23224311</v>
      </c>
      <c r="J6" s="149">
        <f>SUM(J7:J9)</f>
        <v>13238000</v>
      </c>
      <c r="K6" s="149">
        <f t="shared" ref="K6:L6" si="1">SUM(K7:K9)</f>
        <v>14006000</v>
      </c>
      <c r="L6" s="149">
        <f t="shared" si="1"/>
        <v>9289285.2599999998</v>
      </c>
      <c r="M6" s="150">
        <f t="shared" ref="M6:M32" si="2">L6/K6*100</f>
        <v>66.323613165786085</v>
      </c>
      <c r="N6" s="703">
        <f>SUM(N7:N9)</f>
        <v>7830109</v>
      </c>
      <c r="O6" s="149">
        <f t="shared" ref="O6:X6" si="3">SUM(O7:O9)</f>
        <v>32864158</v>
      </c>
      <c r="P6" s="149">
        <f t="shared" si="3"/>
        <v>32864158</v>
      </c>
      <c r="Q6" s="149">
        <f t="shared" si="3"/>
        <v>16930368</v>
      </c>
      <c r="R6" s="150">
        <f t="shared" ref="R6:R32" si="4">Q6/P6*100</f>
        <v>51.516208022125497</v>
      </c>
      <c r="S6" s="149">
        <f t="shared" si="3"/>
        <v>15394202</v>
      </c>
      <c r="T6" s="149">
        <f t="shared" si="3"/>
        <v>1070000</v>
      </c>
      <c r="U6" s="149">
        <f t="shared" si="3"/>
        <v>1070000</v>
      </c>
      <c r="V6" s="149">
        <f t="shared" si="3"/>
        <v>714977.1</v>
      </c>
      <c r="W6" s="150">
        <f t="shared" ref="W6:W32" si="5">V6/U6*100</f>
        <v>66.820289719626174</v>
      </c>
      <c r="X6" s="149">
        <f t="shared" si="3"/>
        <v>630697</v>
      </c>
    </row>
    <row r="7" spans="1:24" s="7" customFormat="1" ht="9.75" x14ac:dyDescent="0.2">
      <c r="A7" s="623" t="s">
        <v>17</v>
      </c>
      <c r="B7" s="1107" t="s">
        <v>18</v>
      </c>
      <c r="C7" s="1108"/>
      <c r="D7" s="704" t="s">
        <v>16</v>
      </c>
      <c r="E7" s="624">
        <f t="shared" ref="E7:G10" si="6">SUM(J7,O7)</f>
        <v>7466000</v>
      </c>
      <c r="F7" s="625">
        <f t="shared" si="6"/>
        <v>7466000</v>
      </c>
      <c r="G7" s="625">
        <f t="shared" si="6"/>
        <v>4193630.49</v>
      </c>
      <c r="H7" s="626">
        <f t="shared" si="0"/>
        <v>56.169709215108497</v>
      </c>
      <c r="I7" s="627">
        <f>SUM(N7,S7)</f>
        <v>4321968</v>
      </c>
      <c r="J7" s="628">
        <v>7466000</v>
      </c>
      <c r="K7" s="629">
        <v>7466000</v>
      </c>
      <c r="L7" s="162">
        <v>4193630.49</v>
      </c>
      <c r="M7" s="626">
        <f t="shared" si="2"/>
        <v>56.169709215108497</v>
      </c>
      <c r="N7" s="630">
        <v>4321968</v>
      </c>
      <c r="O7" s="654"/>
      <c r="P7" s="162"/>
      <c r="Q7" s="162"/>
      <c r="R7" s="626" t="e">
        <f t="shared" si="4"/>
        <v>#DIV/0!</v>
      </c>
      <c r="S7" s="630"/>
      <c r="T7" s="654">
        <v>1070000</v>
      </c>
      <c r="U7" s="705">
        <v>1070000</v>
      </c>
      <c r="V7" s="162">
        <v>714977.1</v>
      </c>
      <c r="W7" s="626">
        <f t="shared" si="5"/>
        <v>66.820289719626174</v>
      </c>
      <c r="X7" s="631">
        <v>630697</v>
      </c>
    </row>
    <row r="8" spans="1:24" s="7" customFormat="1" ht="9.75" x14ac:dyDescent="0.2">
      <c r="A8" s="632" t="s">
        <v>19</v>
      </c>
      <c r="B8" s="1103" t="s">
        <v>20</v>
      </c>
      <c r="C8" s="1104"/>
      <c r="D8" s="706" t="s">
        <v>16</v>
      </c>
      <c r="E8" s="633">
        <f t="shared" si="6"/>
        <v>2000</v>
      </c>
      <c r="F8" s="160">
        <f t="shared" si="6"/>
        <v>2000</v>
      </c>
      <c r="G8" s="160">
        <f t="shared" si="6"/>
        <v>154.77000000000001</v>
      </c>
      <c r="H8" s="634">
        <f t="shared" si="0"/>
        <v>7.738500000000001</v>
      </c>
      <c r="I8" s="635">
        <f>SUM(N8,S8)</f>
        <v>141</v>
      </c>
      <c r="J8" s="636">
        <v>2000</v>
      </c>
      <c r="K8" s="637">
        <v>2000</v>
      </c>
      <c r="L8" s="638">
        <v>154.77000000000001</v>
      </c>
      <c r="M8" s="634">
        <f t="shared" si="2"/>
        <v>7.738500000000001</v>
      </c>
      <c r="N8" s="639">
        <v>141</v>
      </c>
      <c r="O8" s="665"/>
      <c r="P8" s="638"/>
      <c r="Q8" s="638"/>
      <c r="R8" s="634" t="e">
        <f t="shared" si="4"/>
        <v>#DIV/0!</v>
      </c>
      <c r="S8" s="639"/>
      <c r="T8" s="665"/>
      <c r="U8" s="638"/>
      <c r="V8" s="638"/>
      <c r="W8" s="634" t="e">
        <f t="shared" si="5"/>
        <v>#DIV/0!</v>
      </c>
      <c r="X8" s="658"/>
    </row>
    <row r="9" spans="1:24" s="7" customFormat="1" ht="9.75" x14ac:dyDescent="0.2">
      <c r="A9" s="640" t="s">
        <v>21</v>
      </c>
      <c r="B9" s="641" t="s">
        <v>22</v>
      </c>
      <c r="C9" s="642"/>
      <c r="D9" s="707" t="s">
        <v>16</v>
      </c>
      <c r="E9" s="643">
        <f t="shared" si="6"/>
        <v>38634158</v>
      </c>
      <c r="F9" s="161">
        <f t="shared" si="6"/>
        <v>39402158</v>
      </c>
      <c r="G9" s="161">
        <f t="shared" si="6"/>
        <v>22025868</v>
      </c>
      <c r="H9" s="644">
        <f t="shared" si="0"/>
        <v>55.900156534573561</v>
      </c>
      <c r="I9" s="645">
        <f>SUM(N9,S9)</f>
        <v>18902202</v>
      </c>
      <c r="J9" s="646">
        <v>5770000</v>
      </c>
      <c r="K9" s="647">
        <f>5770000+700000+68000</f>
        <v>6538000</v>
      </c>
      <c r="L9" s="648">
        <v>5095500</v>
      </c>
      <c r="M9" s="644">
        <f t="shared" si="2"/>
        <v>77.936677883144682</v>
      </c>
      <c r="N9" s="649">
        <v>3508000</v>
      </c>
      <c r="O9" s="708">
        <f>31865100+11200+987858</f>
        <v>32864158</v>
      </c>
      <c r="P9" s="708">
        <f>31865100+11200+987858</f>
        <v>32864158</v>
      </c>
      <c r="Q9" s="648">
        <f>15931310+11200+987858</f>
        <v>16930368</v>
      </c>
      <c r="R9" s="644">
        <f t="shared" si="4"/>
        <v>51.516208022125497</v>
      </c>
      <c r="S9" s="649">
        <v>15394202</v>
      </c>
      <c r="T9" s="708"/>
      <c r="U9" s="648"/>
      <c r="V9" s="648"/>
      <c r="W9" s="644" t="e">
        <f t="shared" si="5"/>
        <v>#DIV/0!</v>
      </c>
      <c r="X9" s="709"/>
    </row>
    <row r="10" spans="1:24" s="7" customFormat="1" ht="9.75" x14ac:dyDescent="0.2">
      <c r="A10" s="701" t="s">
        <v>23</v>
      </c>
      <c r="B10" s="921" t="s">
        <v>24</v>
      </c>
      <c r="C10" s="921"/>
      <c r="D10" s="148" t="s">
        <v>16</v>
      </c>
      <c r="E10" s="151">
        <f t="shared" si="6"/>
        <v>0</v>
      </c>
      <c r="F10" s="151">
        <f t="shared" si="6"/>
        <v>0</v>
      </c>
      <c r="G10" s="151">
        <f t="shared" si="6"/>
        <v>0</v>
      </c>
      <c r="H10" s="150" t="e">
        <f t="shared" si="0"/>
        <v>#DIV/0!</v>
      </c>
      <c r="I10" s="710">
        <f>SUM(N10,S10)</f>
        <v>0</v>
      </c>
      <c r="J10" s="711"/>
      <c r="K10" s="712"/>
      <c r="L10" s="712"/>
      <c r="M10" s="713" t="e">
        <f t="shared" si="2"/>
        <v>#DIV/0!</v>
      </c>
      <c r="N10" s="710"/>
      <c r="O10" s="151"/>
      <c r="P10" s="151"/>
      <c r="Q10" s="151"/>
      <c r="R10" s="150" t="e">
        <f t="shared" si="4"/>
        <v>#DIV/0!</v>
      </c>
      <c r="S10" s="714"/>
      <c r="T10" s="151"/>
      <c r="U10" s="151"/>
      <c r="V10" s="151"/>
      <c r="W10" s="150" t="e">
        <f t="shared" si="5"/>
        <v>#DIV/0!</v>
      </c>
      <c r="X10" s="151"/>
    </row>
    <row r="11" spans="1:24" s="7" customFormat="1" ht="9.75" x14ac:dyDescent="0.2">
      <c r="A11" s="701" t="s">
        <v>25</v>
      </c>
      <c r="B11" s="921" t="s">
        <v>26</v>
      </c>
      <c r="C11" s="921"/>
      <c r="D11" s="148" t="s">
        <v>16</v>
      </c>
      <c r="E11" s="149">
        <f>SUM(E12:E31)</f>
        <v>46102158</v>
      </c>
      <c r="F11" s="149">
        <f>SUM(F12:F31)</f>
        <v>46870158</v>
      </c>
      <c r="G11" s="149">
        <f>SUM(G12:G32)</f>
        <v>24443263.25</v>
      </c>
      <c r="H11" s="150">
        <f t="shared" si="0"/>
        <v>52.151015257938752</v>
      </c>
      <c r="I11" s="703">
        <f>SUM(I12:I31)</f>
        <v>21764091.530000001</v>
      </c>
      <c r="J11" s="715">
        <f>SUM(J12:J31)</f>
        <v>13238000</v>
      </c>
      <c r="K11" s="715">
        <f>SUM(K12:K31)</f>
        <v>14006000</v>
      </c>
      <c r="L11" s="715">
        <f>SUM(L12:L32)</f>
        <v>8000972.5</v>
      </c>
      <c r="M11" s="713">
        <f t="shared" si="2"/>
        <v>57.125321290875341</v>
      </c>
      <c r="N11" s="716">
        <f>SUM(N12:N32)</f>
        <v>7462029.5299999993</v>
      </c>
      <c r="O11" s="149">
        <f>SUM(O12:O31)</f>
        <v>32864158</v>
      </c>
      <c r="P11" s="149">
        <f>SUM(P12:P31)</f>
        <v>32864158</v>
      </c>
      <c r="Q11" s="149">
        <f>SUM(Q12:Q31)</f>
        <v>16442290.75</v>
      </c>
      <c r="R11" s="150">
        <f t="shared" si="4"/>
        <v>50.031072604994179</v>
      </c>
      <c r="S11" s="703">
        <f>SUM(S12:S31)</f>
        <v>14302062</v>
      </c>
      <c r="T11" s="149">
        <f>SUM(T12:T31)</f>
        <v>1055600</v>
      </c>
      <c r="U11" s="149">
        <f>SUM(U12:U31)</f>
        <v>1055600</v>
      </c>
      <c r="V11" s="149">
        <f>SUM(V12:V31)</f>
        <v>574064.39000000013</v>
      </c>
      <c r="W11" s="150">
        <f t="shared" si="5"/>
        <v>54.382757673361141</v>
      </c>
      <c r="X11" s="149">
        <f>SUM(X12:X31)</f>
        <v>536568.63</v>
      </c>
    </row>
    <row r="12" spans="1:24" s="7" customFormat="1" ht="9.75" x14ac:dyDescent="0.2">
      <c r="A12" s="650" t="s">
        <v>27</v>
      </c>
      <c r="B12" s="1105" t="s">
        <v>28</v>
      </c>
      <c r="C12" s="1106"/>
      <c r="D12" s="717" t="s">
        <v>16</v>
      </c>
      <c r="E12" s="624">
        <f>SUM(J12,O12)</f>
        <v>6185000</v>
      </c>
      <c r="F12" s="625">
        <f t="shared" ref="E12:I28" si="7">SUM(K12,P12)</f>
        <v>6253000</v>
      </c>
      <c r="G12" s="625">
        <f>SUM(L12,Q12)</f>
        <v>3447706.7100000004</v>
      </c>
      <c r="H12" s="626">
        <f t="shared" si="0"/>
        <v>55.136841675995527</v>
      </c>
      <c r="I12" s="627">
        <f>SUM(N12,S12)</f>
        <v>3410418.88</v>
      </c>
      <c r="J12" s="651">
        <v>5665000</v>
      </c>
      <c r="K12" s="652">
        <f>5665000+68000</f>
        <v>5733000</v>
      </c>
      <c r="L12" s="162">
        <v>3359043.74</v>
      </c>
      <c r="M12" s="626">
        <f t="shared" si="2"/>
        <v>58.59137868480726</v>
      </c>
      <c r="N12" s="653">
        <v>3317920.88</v>
      </c>
      <c r="O12" s="654">
        <f>320000+200000</f>
        <v>520000</v>
      </c>
      <c r="P12" s="705">
        <f>320000+200000</f>
        <v>520000</v>
      </c>
      <c r="Q12" s="162">
        <f>66890.39+21772.58</f>
        <v>88662.97</v>
      </c>
      <c r="R12" s="626">
        <f t="shared" si="4"/>
        <v>17.050571153846153</v>
      </c>
      <c r="S12" s="630">
        <v>92498</v>
      </c>
      <c r="T12" s="654">
        <v>338500</v>
      </c>
      <c r="U12" s="705">
        <v>338500</v>
      </c>
      <c r="V12" s="162">
        <v>230177.92000000001</v>
      </c>
      <c r="W12" s="626">
        <f t="shared" si="5"/>
        <v>67.999385524372229</v>
      </c>
      <c r="X12" s="631">
        <v>194721</v>
      </c>
    </row>
    <row r="13" spans="1:24" s="7" customFormat="1" ht="9.75" x14ac:dyDescent="0.2">
      <c r="A13" s="655" t="s">
        <v>29</v>
      </c>
      <c r="B13" s="1095" t="s">
        <v>30</v>
      </c>
      <c r="C13" s="1096"/>
      <c r="D13" s="706" t="s">
        <v>16</v>
      </c>
      <c r="E13" s="633">
        <f>SUM(J13,O13)</f>
        <v>2048000</v>
      </c>
      <c r="F13" s="160">
        <f t="shared" si="7"/>
        <v>1748000</v>
      </c>
      <c r="G13" s="160">
        <f t="shared" si="7"/>
        <v>598726.12</v>
      </c>
      <c r="H13" s="634">
        <f t="shared" si="0"/>
        <v>34.252066361556068</v>
      </c>
      <c r="I13" s="635">
        <f t="shared" si="7"/>
        <v>862475.9</v>
      </c>
      <c r="J13" s="656">
        <v>2048000</v>
      </c>
      <c r="K13" s="657">
        <v>1748000</v>
      </c>
      <c r="L13" s="638">
        <v>598726.12</v>
      </c>
      <c r="M13" s="634">
        <f t="shared" si="2"/>
        <v>34.252066361556068</v>
      </c>
      <c r="N13" s="639">
        <v>862475.9</v>
      </c>
      <c r="O13" s="665"/>
      <c r="P13" s="718"/>
      <c r="Q13" s="638"/>
      <c r="R13" s="634" t="e">
        <f t="shared" si="4"/>
        <v>#DIV/0!</v>
      </c>
      <c r="S13" s="639"/>
      <c r="T13" s="665">
        <v>266000</v>
      </c>
      <c r="U13" s="718">
        <v>266000</v>
      </c>
      <c r="V13" s="638">
        <v>193307.12</v>
      </c>
      <c r="W13" s="634">
        <f t="shared" si="5"/>
        <v>72.671849624060144</v>
      </c>
      <c r="X13" s="658">
        <v>200386.42</v>
      </c>
    </row>
    <row r="14" spans="1:24" s="7" customFormat="1" ht="9.75" x14ac:dyDescent="0.2">
      <c r="A14" s="655" t="s">
        <v>31</v>
      </c>
      <c r="B14" s="659" t="s">
        <v>32</v>
      </c>
      <c r="C14" s="660"/>
      <c r="D14" s="706" t="s">
        <v>16</v>
      </c>
      <c r="E14" s="633">
        <f t="shared" si="7"/>
        <v>0</v>
      </c>
      <c r="F14" s="160">
        <f t="shared" si="7"/>
        <v>0</v>
      </c>
      <c r="G14" s="160">
        <f t="shared" si="7"/>
        <v>0</v>
      </c>
      <c r="H14" s="634" t="e">
        <f t="shared" si="0"/>
        <v>#DIV/0!</v>
      </c>
      <c r="I14" s="635">
        <f t="shared" si="7"/>
        <v>0</v>
      </c>
      <c r="J14" s="656"/>
      <c r="K14" s="657"/>
      <c r="L14" s="638"/>
      <c r="M14" s="634" t="e">
        <f t="shared" si="2"/>
        <v>#DIV/0!</v>
      </c>
      <c r="N14" s="639"/>
      <c r="O14" s="665"/>
      <c r="P14" s="718"/>
      <c r="Q14" s="638"/>
      <c r="R14" s="634" t="e">
        <f t="shared" si="4"/>
        <v>#DIV/0!</v>
      </c>
      <c r="S14" s="639"/>
      <c r="T14" s="665"/>
      <c r="U14" s="718"/>
      <c r="V14" s="638"/>
      <c r="W14" s="634" t="e">
        <f t="shared" si="5"/>
        <v>#DIV/0!</v>
      </c>
      <c r="X14" s="658"/>
    </row>
    <row r="15" spans="1:24" s="7" customFormat="1" ht="9.75" x14ac:dyDescent="0.2">
      <c r="A15" s="655" t="s">
        <v>33</v>
      </c>
      <c r="B15" s="1095" t="s">
        <v>34</v>
      </c>
      <c r="C15" s="1096"/>
      <c r="D15" s="706" t="s">
        <v>16</v>
      </c>
      <c r="E15" s="633">
        <f>SUM(J15,O15)</f>
        <v>597000</v>
      </c>
      <c r="F15" s="160">
        <f t="shared" si="7"/>
        <v>1597000</v>
      </c>
      <c r="G15" s="160">
        <f t="shared" si="7"/>
        <v>1538033.45</v>
      </c>
      <c r="H15" s="634">
        <f t="shared" si="0"/>
        <v>96.307667501565433</v>
      </c>
      <c r="I15" s="635">
        <f t="shared" si="7"/>
        <v>667205.68999999994</v>
      </c>
      <c r="J15" s="656">
        <v>597000</v>
      </c>
      <c r="K15" s="657">
        <f>897000+700000</f>
        <v>1597000</v>
      </c>
      <c r="L15" s="638">
        <v>1538033.45</v>
      </c>
      <c r="M15" s="634">
        <f t="shared" si="2"/>
        <v>96.307667501565433</v>
      </c>
      <c r="N15" s="639">
        <v>667205.68999999994</v>
      </c>
      <c r="O15" s="665"/>
      <c r="P15" s="718"/>
      <c r="Q15" s="638"/>
      <c r="R15" s="634" t="e">
        <f t="shared" si="4"/>
        <v>#DIV/0!</v>
      </c>
      <c r="S15" s="639"/>
      <c r="T15" s="665">
        <v>34000</v>
      </c>
      <c r="U15" s="718">
        <v>34000</v>
      </c>
      <c r="V15" s="638">
        <v>17367.75</v>
      </c>
      <c r="W15" s="634">
        <f t="shared" si="5"/>
        <v>51.08161764705882</v>
      </c>
      <c r="X15" s="658">
        <v>15595.42</v>
      </c>
    </row>
    <row r="16" spans="1:24" s="7" customFormat="1" ht="9.75" x14ac:dyDescent="0.2">
      <c r="A16" s="655" t="s">
        <v>35</v>
      </c>
      <c r="B16" s="1095" t="s">
        <v>36</v>
      </c>
      <c r="C16" s="1096"/>
      <c r="D16" s="706" t="s">
        <v>16</v>
      </c>
      <c r="E16" s="633">
        <f t="shared" si="7"/>
        <v>50000</v>
      </c>
      <c r="F16" s="160">
        <f t="shared" si="7"/>
        <v>50000</v>
      </c>
      <c r="G16" s="160">
        <f t="shared" si="7"/>
        <v>32408</v>
      </c>
      <c r="H16" s="634">
        <f t="shared" si="0"/>
        <v>64.816000000000003</v>
      </c>
      <c r="I16" s="635">
        <f t="shared" si="7"/>
        <v>33199</v>
      </c>
      <c r="J16" s="656">
        <v>10000</v>
      </c>
      <c r="K16" s="657">
        <v>10000</v>
      </c>
      <c r="L16" s="638">
        <v>2135</v>
      </c>
      <c r="M16" s="634">
        <f t="shared" si="2"/>
        <v>21.349999999999998</v>
      </c>
      <c r="N16" s="639">
        <v>2671</v>
      </c>
      <c r="O16" s="665">
        <v>40000</v>
      </c>
      <c r="P16" s="718">
        <v>40000</v>
      </c>
      <c r="Q16" s="638">
        <v>30273</v>
      </c>
      <c r="R16" s="634">
        <f t="shared" si="4"/>
        <v>75.68249999999999</v>
      </c>
      <c r="S16" s="639">
        <v>30528</v>
      </c>
      <c r="T16" s="665">
        <v>100</v>
      </c>
      <c r="U16" s="718">
        <v>100</v>
      </c>
      <c r="V16" s="638">
        <v>0</v>
      </c>
      <c r="W16" s="634">
        <f t="shared" si="5"/>
        <v>0</v>
      </c>
      <c r="X16" s="658">
        <v>7</v>
      </c>
    </row>
    <row r="17" spans="1:24" s="7" customFormat="1" ht="9.75" x14ac:dyDescent="0.2">
      <c r="A17" s="655" t="s">
        <v>37</v>
      </c>
      <c r="B17" s="659" t="s">
        <v>38</v>
      </c>
      <c r="C17" s="660"/>
      <c r="D17" s="706" t="s">
        <v>16</v>
      </c>
      <c r="E17" s="633">
        <f t="shared" si="7"/>
        <v>5000</v>
      </c>
      <c r="F17" s="160">
        <f t="shared" si="7"/>
        <v>5000</v>
      </c>
      <c r="G17" s="160">
        <f t="shared" si="7"/>
        <v>872</v>
      </c>
      <c r="H17" s="634">
        <f t="shared" si="0"/>
        <v>17.440000000000001</v>
      </c>
      <c r="I17" s="635">
        <f t="shared" si="7"/>
        <v>750</v>
      </c>
      <c r="J17" s="656">
        <v>5000</v>
      </c>
      <c r="K17" s="657">
        <v>5000</v>
      </c>
      <c r="L17" s="638">
        <v>872</v>
      </c>
      <c r="M17" s="634">
        <f t="shared" si="2"/>
        <v>17.440000000000001</v>
      </c>
      <c r="N17" s="639">
        <v>750</v>
      </c>
      <c r="O17" s="665"/>
      <c r="P17" s="718"/>
      <c r="Q17" s="638">
        <v>0</v>
      </c>
      <c r="R17" s="634" t="e">
        <f t="shared" si="4"/>
        <v>#DIV/0!</v>
      </c>
      <c r="S17" s="639"/>
      <c r="T17" s="665"/>
      <c r="U17" s="718"/>
      <c r="V17" s="638">
        <v>0</v>
      </c>
      <c r="W17" s="634" t="e">
        <f t="shared" si="5"/>
        <v>#DIV/0!</v>
      </c>
      <c r="X17" s="658"/>
    </row>
    <row r="18" spans="1:24" s="7" customFormat="1" ht="9.75" x14ac:dyDescent="0.2">
      <c r="A18" s="655" t="s">
        <v>39</v>
      </c>
      <c r="B18" s="1095" t="s">
        <v>40</v>
      </c>
      <c r="C18" s="1096"/>
      <c r="D18" s="706" t="s">
        <v>16</v>
      </c>
      <c r="E18" s="633">
        <f>SUM(J18,O18)</f>
        <v>936917</v>
      </c>
      <c r="F18" s="160">
        <f t="shared" si="7"/>
        <v>936917</v>
      </c>
      <c r="G18" s="160">
        <f>SUM(L18,Q18)</f>
        <v>606938.85</v>
      </c>
      <c r="H18" s="634">
        <f t="shared" si="0"/>
        <v>64.780428789316446</v>
      </c>
      <c r="I18" s="635">
        <f t="shared" si="7"/>
        <v>553160.63</v>
      </c>
      <c r="J18" s="656">
        <v>802600</v>
      </c>
      <c r="K18" s="657">
        <v>802600</v>
      </c>
      <c r="L18" s="638">
        <v>410121.8</v>
      </c>
      <c r="M18" s="634">
        <f t="shared" si="2"/>
        <v>51.09915275355096</v>
      </c>
      <c r="N18" s="639">
        <v>419552.63</v>
      </c>
      <c r="O18" s="719">
        <f>63117+71200</f>
        <v>134317</v>
      </c>
      <c r="P18" s="720">
        <f>63117+71200</f>
        <v>134317</v>
      </c>
      <c r="Q18" s="638">
        <f>47950+148867.05</f>
        <v>196817.05</v>
      </c>
      <c r="R18" s="634">
        <f>Q18/P18*100</f>
        <v>146.53174951793144</v>
      </c>
      <c r="S18" s="639">
        <v>133608</v>
      </c>
      <c r="T18" s="665">
        <v>9000</v>
      </c>
      <c r="U18" s="718">
        <v>9000</v>
      </c>
      <c r="V18" s="638">
        <v>4736.8500000000004</v>
      </c>
      <c r="W18" s="634">
        <f t="shared" si="5"/>
        <v>52.631666666666668</v>
      </c>
      <c r="X18" s="658">
        <v>2219.44</v>
      </c>
    </row>
    <row r="19" spans="1:24" s="28" customFormat="1" ht="9.75" x14ac:dyDescent="0.2">
      <c r="A19" s="655" t="s">
        <v>41</v>
      </c>
      <c r="B19" s="1095" t="s">
        <v>42</v>
      </c>
      <c r="C19" s="1096"/>
      <c r="D19" s="706" t="s">
        <v>16</v>
      </c>
      <c r="E19" s="633">
        <f>SUM(J19,O19)</f>
        <v>25053800</v>
      </c>
      <c r="F19" s="160">
        <f t="shared" si="7"/>
        <v>25053800</v>
      </c>
      <c r="G19" s="160">
        <f t="shared" si="7"/>
        <v>12526398</v>
      </c>
      <c r="H19" s="634">
        <f t="shared" si="0"/>
        <v>49.99799631193671</v>
      </c>
      <c r="I19" s="635">
        <f t="shared" si="7"/>
        <v>10870392</v>
      </c>
      <c r="J19" s="661">
        <v>1640400</v>
      </c>
      <c r="K19" s="662">
        <v>1640400</v>
      </c>
      <c r="L19" s="638">
        <v>850942</v>
      </c>
      <c r="M19" s="634">
        <f t="shared" si="2"/>
        <v>51.87405510851012</v>
      </c>
      <c r="N19" s="639">
        <v>663959</v>
      </c>
      <c r="O19" s="665">
        <f>22690400+203000+520000</f>
        <v>23413400</v>
      </c>
      <c r="P19" s="718">
        <f>22690400+203000+520000</f>
        <v>23413400</v>
      </c>
      <c r="Q19" s="638">
        <f>11294343+381113</f>
        <v>11675456</v>
      </c>
      <c r="R19" s="634">
        <f t="shared" si="4"/>
        <v>49.866555049672414</v>
      </c>
      <c r="S19" s="639">
        <v>10206433</v>
      </c>
      <c r="T19" s="721">
        <v>225000</v>
      </c>
      <c r="U19" s="722">
        <v>225000</v>
      </c>
      <c r="V19" s="663">
        <v>62528</v>
      </c>
      <c r="W19" s="634">
        <f t="shared" si="5"/>
        <v>27.790222222222223</v>
      </c>
      <c r="X19" s="664">
        <v>61491</v>
      </c>
    </row>
    <row r="20" spans="1:24" s="7" customFormat="1" ht="9.75" x14ac:dyDescent="0.2">
      <c r="A20" s="655" t="s">
        <v>43</v>
      </c>
      <c r="B20" s="1095" t="s">
        <v>44</v>
      </c>
      <c r="C20" s="1096"/>
      <c r="D20" s="706" t="s">
        <v>16</v>
      </c>
      <c r="E20" s="633">
        <f>SUM(J20,O20)</f>
        <v>8943203</v>
      </c>
      <c r="F20" s="160">
        <f t="shared" si="7"/>
        <v>8943203</v>
      </c>
      <c r="G20" s="160">
        <f t="shared" si="7"/>
        <v>4139500.28</v>
      </c>
      <c r="H20" s="634">
        <f t="shared" si="0"/>
        <v>46.286551697417579</v>
      </c>
      <c r="I20" s="635">
        <f t="shared" si="7"/>
        <v>3670666.1</v>
      </c>
      <c r="J20" s="656">
        <v>540000</v>
      </c>
      <c r="K20" s="657">
        <v>540000</v>
      </c>
      <c r="L20" s="638">
        <v>257653.33</v>
      </c>
      <c r="M20" s="634">
        <f t="shared" si="2"/>
        <v>47.713579629629628</v>
      </c>
      <c r="N20" s="639">
        <v>206509.1</v>
      </c>
      <c r="O20" s="665">
        <f>8237700+45503+120000</f>
        <v>8403203</v>
      </c>
      <c r="P20" s="718">
        <f>8237700+45503+120000</f>
        <v>8403203</v>
      </c>
      <c r="Q20" s="638">
        <f>3836343.55+45503.4</f>
        <v>3881846.9499999997</v>
      </c>
      <c r="R20" s="634">
        <f t="shared" si="4"/>
        <v>46.194849154542617</v>
      </c>
      <c r="S20" s="639">
        <v>3464157</v>
      </c>
      <c r="T20" s="665">
        <v>90000</v>
      </c>
      <c r="U20" s="718">
        <v>90000</v>
      </c>
      <c r="V20" s="638">
        <v>21504.06</v>
      </c>
      <c r="W20" s="634">
        <f t="shared" si="5"/>
        <v>23.8934</v>
      </c>
      <c r="X20" s="658">
        <v>18923.52</v>
      </c>
    </row>
    <row r="21" spans="1:24" s="7" customFormat="1" ht="9.75" x14ac:dyDescent="0.2">
      <c r="A21" s="655" t="s">
        <v>45</v>
      </c>
      <c r="B21" s="1095" t="s">
        <v>46</v>
      </c>
      <c r="C21" s="1096"/>
      <c r="D21" s="706" t="s">
        <v>16</v>
      </c>
      <c r="E21" s="633">
        <f>SUM(J21,O21)</f>
        <v>75238</v>
      </c>
      <c r="F21" s="160">
        <f t="shared" si="7"/>
        <v>75238</v>
      </c>
      <c r="G21" s="160">
        <f t="shared" si="7"/>
        <v>252417.64</v>
      </c>
      <c r="H21" s="634">
        <f t="shared" si="0"/>
        <v>335.49222467370214</v>
      </c>
      <c r="I21" s="635">
        <f t="shared" si="7"/>
        <v>221429.38</v>
      </c>
      <c r="J21" s="656">
        <v>62000</v>
      </c>
      <c r="K21" s="657">
        <v>62000</v>
      </c>
      <c r="L21" s="638">
        <v>17311.34</v>
      </c>
      <c r="M21" s="634">
        <f t="shared" si="2"/>
        <v>27.921516129032259</v>
      </c>
      <c r="N21" s="639">
        <v>15970.38</v>
      </c>
      <c r="O21" s="665">
        <f>3238+10000</f>
        <v>13238</v>
      </c>
      <c r="P21" s="718">
        <f>3238+10000</f>
        <v>13238</v>
      </c>
      <c r="Q21" s="638">
        <f>233526.04+1580.26</f>
        <v>235106.30000000002</v>
      </c>
      <c r="R21" s="634">
        <f t="shared" si="4"/>
        <v>1775.9956186735155</v>
      </c>
      <c r="S21" s="639">
        <v>205459</v>
      </c>
      <c r="T21" s="665">
        <v>6500</v>
      </c>
      <c r="U21" s="718">
        <v>6500</v>
      </c>
      <c r="V21" s="638">
        <v>1250.56</v>
      </c>
      <c r="W21" s="634">
        <f t="shared" si="5"/>
        <v>19.239384615384616</v>
      </c>
      <c r="X21" s="658">
        <v>1057.42</v>
      </c>
    </row>
    <row r="22" spans="1:24" s="7" customFormat="1" ht="9.75" x14ac:dyDescent="0.2">
      <c r="A22" s="655" t="s">
        <v>47</v>
      </c>
      <c r="B22" s="1095" t="s">
        <v>48</v>
      </c>
      <c r="C22" s="1096"/>
      <c r="D22" s="706" t="s">
        <v>16</v>
      </c>
      <c r="E22" s="633">
        <f t="shared" si="7"/>
        <v>0</v>
      </c>
      <c r="F22" s="160">
        <f t="shared" si="7"/>
        <v>0</v>
      </c>
      <c r="G22" s="160">
        <f t="shared" si="7"/>
        <v>0</v>
      </c>
      <c r="H22" s="634" t="e">
        <f t="shared" si="0"/>
        <v>#DIV/0!</v>
      </c>
      <c r="I22" s="635">
        <f t="shared" si="7"/>
        <v>0</v>
      </c>
      <c r="J22" s="656"/>
      <c r="K22" s="657"/>
      <c r="L22" s="638">
        <v>0</v>
      </c>
      <c r="M22" s="634" t="e">
        <f t="shared" si="2"/>
        <v>#DIV/0!</v>
      </c>
      <c r="N22" s="639"/>
      <c r="O22" s="665"/>
      <c r="P22" s="718"/>
      <c r="Q22" s="638"/>
      <c r="R22" s="634" t="e">
        <f t="shared" si="4"/>
        <v>#DIV/0!</v>
      </c>
      <c r="S22" s="639"/>
      <c r="T22" s="665">
        <v>2000</v>
      </c>
      <c r="U22" s="718">
        <v>2000</v>
      </c>
      <c r="V22" s="638">
        <v>2500</v>
      </c>
      <c r="W22" s="634">
        <f t="shared" si="5"/>
        <v>125</v>
      </c>
      <c r="X22" s="658"/>
    </row>
    <row r="23" spans="1:24" s="7" customFormat="1" ht="9.75" x14ac:dyDescent="0.2">
      <c r="A23" s="655" t="s">
        <v>49</v>
      </c>
      <c r="B23" s="659" t="s">
        <v>789</v>
      </c>
      <c r="C23" s="660"/>
      <c r="D23" s="706" t="s">
        <v>16</v>
      </c>
      <c r="E23" s="633">
        <f t="shared" si="7"/>
        <v>0</v>
      </c>
      <c r="F23" s="160">
        <f t="shared" si="7"/>
        <v>0</v>
      </c>
      <c r="G23" s="160">
        <f t="shared" si="7"/>
        <v>0</v>
      </c>
      <c r="H23" s="634" t="e">
        <f t="shared" si="0"/>
        <v>#DIV/0!</v>
      </c>
      <c r="I23" s="635">
        <f t="shared" si="7"/>
        <v>0</v>
      </c>
      <c r="J23" s="656"/>
      <c r="K23" s="657"/>
      <c r="L23" s="638"/>
      <c r="M23" s="634" t="e">
        <f t="shared" si="2"/>
        <v>#DIV/0!</v>
      </c>
      <c r="N23" s="639"/>
      <c r="O23" s="665"/>
      <c r="P23" s="718"/>
      <c r="Q23" s="638"/>
      <c r="R23" s="634" t="e">
        <f t="shared" si="4"/>
        <v>#DIV/0!</v>
      </c>
      <c r="S23" s="639"/>
      <c r="T23" s="665"/>
      <c r="U23" s="718"/>
      <c r="V23" s="638"/>
      <c r="W23" s="634" t="e">
        <f t="shared" si="5"/>
        <v>#DIV/0!</v>
      </c>
      <c r="X23" s="658"/>
    </row>
    <row r="24" spans="1:24" s="7" customFormat="1" ht="9.75" x14ac:dyDescent="0.2">
      <c r="A24" s="655" t="s">
        <v>51</v>
      </c>
      <c r="B24" s="659" t="s">
        <v>52</v>
      </c>
      <c r="C24" s="660"/>
      <c r="D24" s="706" t="s">
        <v>16</v>
      </c>
      <c r="E24" s="633">
        <f t="shared" si="7"/>
        <v>0</v>
      </c>
      <c r="F24" s="160">
        <f t="shared" si="7"/>
        <v>0</v>
      </c>
      <c r="G24" s="160">
        <f t="shared" si="7"/>
        <v>0</v>
      </c>
      <c r="H24" s="634" t="e">
        <f t="shared" si="0"/>
        <v>#DIV/0!</v>
      </c>
      <c r="I24" s="635">
        <f t="shared" si="7"/>
        <v>0</v>
      </c>
      <c r="J24" s="656"/>
      <c r="K24" s="657"/>
      <c r="L24" s="638"/>
      <c r="M24" s="634" t="e">
        <f t="shared" si="2"/>
        <v>#DIV/0!</v>
      </c>
      <c r="N24" s="639"/>
      <c r="O24" s="665"/>
      <c r="P24" s="718"/>
      <c r="Q24" s="638"/>
      <c r="R24" s="634" t="e">
        <f t="shared" si="4"/>
        <v>#DIV/0!</v>
      </c>
      <c r="S24" s="639"/>
      <c r="T24" s="665"/>
      <c r="U24" s="718"/>
      <c r="V24" s="638"/>
      <c r="W24" s="634" t="e">
        <f t="shared" si="5"/>
        <v>#DIV/0!</v>
      </c>
      <c r="X24" s="658"/>
    </row>
    <row r="25" spans="1:24" s="7" customFormat="1" ht="9.75" x14ac:dyDescent="0.2">
      <c r="A25" s="666" t="s">
        <v>53</v>
      </c>
      <c r="B25" s="667" t="s">
        <v>54</v>
      </c>
      <c r="C25" s="668"/>
      <c r="D25" s="706" t="s">
        <v>16</v>
      </c>
      <c r="E25" s="633">
        <f>SUM(J25,O25)</f>
        <v>3000</v>
      </c>
      <c r="F25" s="160">
        <f t="shared" si="7"/>
        <v>3000</v>
      </c>
      <c r="G25" s="160">
        <f t="shared" si="7"/>
        <v>0</v>
      </c>
      <c r="H25" s="634">
        <f t="shared" si="0"/>
        <v>0</v>
      </c>
      <c r="I25" s="635">
        <f t="shared" si="7"/>
        <v>0</v>
      </c>
      <c r="J25" s="656">
        <v>3000</v>
      </c>
      <c r="K25" s="657">
        <v>3000</v>
      </c>
      <c r="L25" s="164">
        <v>0</v>
      </c>
      <c r="M25" s="634">
        <f t="shared" si="2"/>
        <v>0</v>
      </c>
      <c r="N25" s="639">
        <v>0</v>
      </c>
      <c r="O25" s="669"/>
      <c r="P25" s="723"/>
      <c r="Q25" s="164"/>
      <c r="R25" s="634" t="e">
        <f t="shared" si="4"/>
        <v>#DIV/0!</v>
      </c>
      <c r="S25" s="670"/>
      <c r="T25" s="669"/>
      <c r="U25" s="723"/>
      <c r="V25" s="164"/>
      <c r="W25" s="634" t="e">
        <f t="shared" si="5"/>
        <v>#DIV/0!</v>
      </c>
      <c r="X25" s="671"/>
    </row>
    <row r="26" spans="1:24" s="30" customFormat="1" ht="9.75" x14ac:dyDescent="0.2">
      <c r="A26" s="655" t="s">
        <v>55</v>
      </c>
      <c r="B26" s="1095" t="s">
        <v>56</v>
      </c>
      <c r="C26" s="1096"/>
      <c r="D26" s="706" t="s">
        <v>16</v>
      </c>
      <c r="E26" s="633">
        <f>SUM(J26,O26)</f>
        <v>1430000</v>
      </c>
      <c r="F26" s="160">
        <f t="shared" si="7"/>
        <v>1430000</v>
      </c>
      <c r="G26" s="160">
        <f t="shared" si="7"/>
        <v>713423.94</v>
      </c>
      <c r="H26" s="672">
        <f t="shared" si="0"/>
        <v>49.889786013986011</v>
      </c>
      <c r="I26" s="635">
        <f>SUM(N26,S26)</f>
        <v>694634.54</v>
      </c>
      <c r="J26" s="656">
        <v>1430000</v>
      </c>
      <c r="K26" s="657">
        <v>1430000</v>
      </c>
      <c r="L26" s="638">
        <v>713423.94</v>
      </c>
      <c r="M26" s="634">
        <f t="shared" si="2"/>
        <v>49.889786013986011</v>
      </c>
      <c r="N26" s="639">
        <v>694634.54</v>
      </c>
      <c r="O26" s="665"/>
      <c r="P26" s="718"/>
      <c r="Q26" s="638"/>
      <c r="R26" s="634" t="e">
        <f t="shared" si="4"/>
        <v>#DIV/0!</v>
      </c>
      <c r="S26" s="639"/>
      <c r="T26" s="724">
        <v>80000</v>
      </c>
      <c r="U26" s="725">
        <v>80000</v>
      </c>
      <c r="V26" s="726">
        <v>38098.06</v>
      </c>
      <c r="W26" s="634">
        <f t="shared" si="5"/>
        <v>47.622574999999998</v>
      </c>
      <c r="X26" s="727">
        <v>41429.46</v>
      </c>
    </row>
    <row r="27" spans="1:24" s="31" customFormat="1" ht="9.75" x14ac:dyDescent="0.2">
      <c r="A27" s="655" t="s">
        <v>57</v>
      </c>
      <c r="B27" s="659" t="s">
        <v>58</v>
      </c>
      <c r="C27" s="660"/>
      <c r="D27" s="706" t="s">
        <v>16</v>
      </c>
      <c r="E27" s="633">
        <f>SUM(J27,O27)</f>
        <v>5000</v>
      </c>
      <c r="F27" s="160">
        <f t="shared" si="7"/>
        <v>5000</v>
      </c>
      <c r="G27" s="160">
        <f t="shared" si="7"/>
        <v>-646</v>
      </c>
      <c r="H27" s="672">
        <f t="shared" si="0"/>
        <v>-12.920000000000002</v>
      </c>
      <c r="I27" s="635">
        <f t="shared" si="7"/>
        <v>0</v>
      </c>
      <c r="J27" s="656">
        <v>5000</v>
      </c>
      <c r="K27" s="657">
        <v>5000</v>
      </c>
      <c r="L27" s="638">
        <v>-646</v>
      </c>
      <c r="M27" s="634">
        <f t="shared" si="2"/>
        <v>-12.920000000000002</v>
      </c>
      <c r="N27" s="639">
        <v>0</v>
      </c>
      <c r="O27" s="665"/>
      <c r="P27" s="718"/>
      <c r="Q27" s="638"/>
      <c r="R27" s="634" t="e">
        <f t="shared" si="4"/>
        <v>#DIV/0!</v>
      </c>
      <c r="S27" s="639"/>
      <c r="T27" s="724"/>
      <c r="U27" s="725"/>
      <c r="V27" s="726"/>
      <c r="W27" s="634" t="e">
        <f t="shared" si="5"/>
        <v>#DIV/0!</v>
      </c>
      <c r="X27" s="727"/>
    </row>
    <row r="28" spans="1:24" s="31" customFormat="1" ht="9.75" x14ac:dyDescent="0.2">
      <c r="A28" s="655" t="s">
        <v>59</v>
      </c>
      <c r="B28" s="659" t="s">
        <v>60</v>
      </c>
      <c r="C28" s="660"/>
      <c r="D28" s="706" t="s">
        <v>16</v>
      </c>
      <c r="E28" s="633">
        <f>SUM(J28,O28)</f>
        <v>710000</v>
      </c>
      <c r="F28" s="160">
        <f t="shared" si="7"/>
        <v>710000</v>
      </c>
      <c r="G28" s="160">
        <f t="shared" si="7"/>
        <v>575770.19999999995</v>
      </c>
      <c r="H28" s="672">
        <f t="shared" si="0"/>
        <v>81.094394366197179</v>
      </c>
      <c r="I28" s="635">
        <f t="shared" si="7"/>
        <v>630690.18999999994</v>
      </c>
      <c r="J28" s="656">
        <v>370000</v>
      </c>
      <c r="K28" s="657">
        <v>370000</v>
      </c>
      <c r="L28" s="638">
        <v>241641.72</v>
      </c>
      <c r="M28" s="634">
        <f t="shared" si="2"/>
        <v>65.308572972972982</v>
      </c>
      <c r="N28" s="639">
        <v>461311.19</v>
      </c>
      <c r="O28" s="665">
        <v>340000</v>
      </c>
      <c r="P28" s="718">
        <v>340000</v>
      </c>
      <c r="Q28" s="638">
        <v>334128.48</v>
      </c>
      <c r="R28" s="634">
        <f t="shared" si="4"/>
        <v>98.273082352941159</v>
      </c>
      <c r="S28" s="639">
        <v>169379</v>
      </c>
      <c r="T28" s="724">
        <v>3000</v>
      </c>
      <c r="U28" s="725">
        <v>3000</v>
      </c>
      <c r="V28" s="726">
        <v>2038.78</v>
      </c>
      <c r="W28" s="634">
        <f t="shared" si="5"/>
        <v>67.959333333333333</v>
      </c>
      <c r="X28" s="727">
        <v>274.95</v>
      </c>
    </row>
    <row r="29" spans="1:24" s="30" customFormat="1" ht="9.75" x14ac:dyDescent="0.2">
      <c r="A29" s="655" t="s">
        <v>61</v>
      </c>
      <c r="B29" s="1095" t="s">
        <v>62</v>
      </c>
      <c r="C29" s="1096"/>
      <c r="D29" s="706" t="s">
        <v>16</v>
      </c>
      <c r="E29" s="633">
        <f t="shared" ref="E29:G31" si="8">SUM(J29,O29)</f>
        <v>60000</v>
      </c>
      <c r="F29" s="160">
        <f t="shared" si="8"/>
        <v>60000</v>
      </c>
      <c r="G29" s="160">
        <f t="shared" si="8"/>
        <v>11714.06</v>
      </c>
      <c r="H29" s="672">
        <f t="shared" si="0"/>
        <v>19.523433333333333</v>
      </c>
      <c r="I29" s="635">
        <f>SUM(N29,S29)</f>
        <v>149069.22</v>
      </c>
      <c r="J29" s="656">
        <v>60000</v>
      </c>
      <c r="K29" s="657">
        <v>60000</v>
      </c>
      <c r="L29" s="638">
        <v>11714.06</v>
      </c>
      <c r="M29" s="634">
        <f t="shared" si="2"/>
        <v>19.523433333333333</v>
      </c>
      <c r="N29" s="639">
        <v>149069.22</v>
      </c>
      <c r="O29" s="665"/>
      <c r="P29" s="718"/>
      <c r="Q29" s="638"/>
      <c r="R29" s="634" t="e">
        <f>Q29/P29*100</f>
        <v>#DIV/0!</v>
      </c>
      <c r="S29" s="639"/>
      <c r="T29" s="724">
        <v>1500</v>
      </c>
      <c r="U29" s="725">
        <v>1500</v>
      </c>
      <c r="V29" s="726">
        <v>555.29</v>
      </c>
      <c r="W29" s="634">
        <f t="shared" si="5"/>
        <v>37.019333333333329</v>
      </c>
      <c r="X29" s="727">
        <v>463</v>
      </c>
    </row>
    <row r="30" spans="1:24" s="7" customFormat="1" ht="9.75" x14ac:dyDescent="0.2">
      <c r="A30" s="655" t="s">
        <v>63</v>
      </c>
      <c r="B30" s="659" t="s">
        <v>64</v>
      </c>
      <c r="C30" s="660"/>
      <c r="D30" s="706" t="s">
        <v>16</v>
      </c>
      <c r="E30" s="633">
        <f t="shared" si="8"/>
        <v>0</v>
      </c>
      <c r="F30" s="160">
        <f t="shared" si="8"/>
        <v>0</v>
      </c>
      <c r="G30" s="638">
        <f t="shared" si="8"/>
        <v>0</v>
      </c>
      <c r="H30" s="672" t="e">
        <f t="shared" si="0"/>
        <v>#DIV/0!</v>
      </c>
      <c r="I30" s="635">
        <f>SUM(N30,S30)</f>
        <v>0</v>
      </c>
      <c r="J30" s="656"/>
      <c r="K30" s="638"/>
      <c r="L30" s="638"/>
      <c r="M30" s="634" t="e">
        <f t="shared" si="2"/>
        <v>#DIV/0!</v>
      </c>
      <c r="N30" s="639"/>
      <c r="O30" s="665"/>
      <c r="P30" s="718"/>
      <c r="Q30" s="638"/>
      <c r="R30" s="634" t="e">
        <f t="shared" si="4"/>
        <v>#DIV/0!</v>
      </c>
      <c r="S30" s="639"/>
      <c r="T30" s="673"/>
      <c r="U30" s="728"/>
      <c r="V30" s="165"/>
      <c r="W30" s="634" t="e">
        <f t="shared" si="5"/>
        <v>#DIV/0!</v>
      </c>
      <c r="X30" s="674"/>
    </row>
    <row r="31" spans="1:24" s="34" customFormat="1" ht="9.75" x14ac:dyDescent="0.2">
      <c r="A31" s="655" t="s">
        <v>65</v>
      </c>
      <c r="B31" s="675" t="s">
        <v>66</v>
      </c>
      <c r="C31" s="676"/>
      <c r="D31" s="706" t="s">
        <v>16</v>
      </c>
      <c r="E31" s="633">
        <f t="shared" si="8"/>
        <v>0</v>
      </c>
      <c r="F31" s="160">
        <f t="shared" si="8"/>
        <v>0</v>
      </c>
      <c r="G31" s="638">
        <f t="shared" si="8"/>
        <v>0</v>
      </c>
      <c r="H31" s="672" t="e">
        <f t="shared" si="0"/>
        <v>#DIV/0!</v>
      </c>
      <c r="I31" s="635">
        <f>SUM(N31,S31)</f>
        <v>0</v>
      </c>
      <c r="J31" s="656"/>
      <c r="K31" s="677"/>
      <c r="L31" s="677"/>
      <c r="M31" s="634" t="e">
        <f t="shared" si="2"/>
        <v>#DIV/0!</v>
      </c>
      <c r="N31" s="678"/>
      <c r="O31" s="679"/>
      <c r="P31" s="729"/>
      <c r="Q31" s="677"/>
      <c r="R31" s="634" t="e">
        <f t="shared" si="4"/>
        <v>#DIV/0!</v>
      </c>
      <c r="S31" s="678"/>
      <c r="T31" s="730"/>
      <c r="U31" s="731"/>
      <c r="V31" s="732"/>
      <c r="W31" s="634" t="e">
        <f t="shared" si="5"/>
        <v>#DIV/0!</v>
      </c>
      <c r="X31" s="733"/>
    </row>
    <row r="32" spans="1:24" s="34" customFormat="1" ht="22.5" x14ac:dyDescent="0.2">
      <c r="A32" s="680" t="s">
        <v>67</v>
      </c>
      <c r="B32" s="681" t="s">
        <v>68</v>
      </c>
      <c r="C32" s="682"/>
      <c r="D32" s="734" t="s">
        <v>16</v>
      </c>
      <c r="E32" s="643">
        <f>SUM(J32,O32)</f>
        <v>0</v>
      </c>
      <c r="F32" s="161">
        <f>SUM(K32,P32)</f>
        <v>0</v>
      </c>
      <c r="G32" s="161">
        <f>SUM(L32,Q32)</f>
        <v>0</v>
      </c>
      <c r="H32" s="683" t="e">
        <f t="shared" si="0"/>
        <v>#DIV/0!</v>
      </c>
      <c r="I32" s="645">
        <f>SUM(N32,S32)</f>
        <v>0</v>
      </c>
      <c r="J32" s="684"/>
      <c r="K32" s="686"/>
      <c r="L32" s="686"/>
      <c r="M32" s="644" t="e">
        <f t="shared" si="2"/>
        <v>#DIV/0!</v>
      </c>
      <c r="N32" s="685"/>
      <c r="O32" s="735" t="s">
        <v>791</v>
      </c>
      <c r="P32" s="736"/>
      <c r="Q32" s="686"/>
      <c r="R32" s="644" t="e">
        <f t="shared" si="4"/>
        <v>#DIV/0!</v>
      </c>
      <c r="S32" s="685"/>
      <c r="T32" s="737"/>
      <c r="U32" s="686"/>
      <c r="V32" s="686"/>
      <c r="W32" s="644" t="e">
        <f t="shared" si="5"/>
        <v>#DIV/0!</v>
      </c>
      <c r="X32" s="738"/>
    </row>
    <row r="33" spans="1:24" s="34" customFormat="1" ht="9.75" x14ac:dyDescent="0.2">
      <c r="A33" s="701" t="s">
        <v>69</v>
      </c>
      <c r="B33" s="739" t="s">
        <v>790</v>
      </c>
      <c r="C33" s="740"/>
      <c r="D33" s="702" t="s">
        <v>16</v>
      </c>
      <c r="E33" s="149">
        <f>E6-E11</f>
        <v>0</v>
      </c>
      <c r="F33" s="149">
        <f>F6-F11</f>
        <v>0</v>
      </c>
      <c r="G33" s="149">
        <f>G6-G11</f>
        <v>1776390.0100000016</v>
      </c>
      <c r="H33" s="741" t="e">
        <f t="shared" si="0"/>
        <v>#DIV/0!</v>
      </c>
      <c r="I33" s="149">
        <f>I6-I11</f>
        <v>1460219.4699999988</v>
      </c>
      <c r="J33" s="149">
        <f>J6-J11</f>
        <v>0</v>
      </c>
      <c r="K33" s="149">
        <f>K6-K11</f>
        <v>0</v>
      </c>
      <c r="L33" s="149">
        <f>L6-L11</f>
        <v>1288312.7599999998</v>
      </c>
      <c r="M33" s="742" t="e">
        <f>L33/K33*100</f>
        <v>#DIV/0!</v>
      </c>
      <c r="N33" s="149">
        <f>N6-N11</f>
        <v>368079.47000000067</v>
      </c>
      <c r="O33" s="149">
        <f>O6-O11</f>
        <v>0</v>
      </c>
      <c r="P33" s="149">
        <f>P6-P11</f>
        <v>0</v>
      </c>
      <c r="Q33" s="149">
        <f>Q6-Q11</f>
        <v>488077.25</v>
      </c>
      <c r="R33" s="742" t="e">
        <f>Q33/P33*100</f>
        <v>#DIV/0!</v>
      </c>
      <c r="S33" s="149">
        <f>S6-S11</f>
        <v>1092140</v>
      </c>
      <c r="T33" s="149">
        <f>T6-T11</f>
        <v>14400</v>
      </c>
      <c r="U33" s="149">
        <f>U6-U11</f>
        <v>14400</v>
      </c>
      <c r="V33" s="149">
        <f>V6-V11</f>
        <v>140912.70999999985</v>
      </c>
      <c r="W33" s="742">
        <f>V33/U33*100</f>
        <v>978.56048611110998</v>
      </c>
      <c r="X33" s="149">
        <f>X6-X11</f>
        <v>94128.37</v>
      </c>
    </row>
    <row r="34" spans="1:24" s="1" customFormat="1" ht="9.75" x14ac:dyDescent="0.2">
      <c r="A34" s="687" t="s">
        <v>71</v>
      </c>
      <c r="B34" s="1097" t="s">
        <v>72</v>
      </c>
      <c r="C34" s="1098"/>
      <c r="D34" s="743" t="s">
        <v>16</v>
      </c>
      <c r="E34" s="688">
        <v>26500</v>
      </c>
      <c r="F34" s="689">
        <v>26500</v>
      </c>
      <c r="G34" s="690">
        <v>26434</v>
      </c>
      <c r="H34" s="691">
        <f t="shared" si="0"/>
        <v>99.750943396226404</v>
      </c>
      <c r="I34" s="692">
        <v>23329</v>
      </c>
      <c r="J34" s="688">
        <v>24092</v>
      </c>
      <c r="K34" s="688">
        <v>24092</v>
      </c>
      <c r="L34" s="690">
        <v>19393</v>
      </c>
      <c r="M34" s="691">
        <f t="shared" ref="M34:M36" si="9">L34/K34*100</f>
        <v>80.495600199236264</v>
      </c>
      <c r="N34" s="692">
        <v>2700</v>
      </c>
      <c r="O34" s="688">
        <v>28000</v>
      </c>
      <c r="P34" s="689">
        <v>28000</v>
      </c>
      <c r="Q34" s="690">
        <v>27630</v>
      </c>
      <c r="R34" s="691">
        <f t="shared" ref="R34:R36" si="10">Q34/P34*100</f>
        <v>98.678571428571431</v>
      </c>
      <c r="S34" s="692">
        <v>20095</v>
      </c>
      <c r="T34" s="688">
        <v>15000</v>
      </c>
      <c r="U34" s="689">
        <v>15000</v>
      </c>
      <c r="V34" s="690">
        <v>13700</v>
      </c>
      <c r="W34" s="691">
        <f t="shared" ref="W34:W36" si="11">V34/U34*100</f>
        <v>91.333333333333329</v>
      </c>
      <c r="X34" s="692">
        <v>534</v>
      </c>
    </row>
    <row r="35" spans="1:24" s="1" customFormat="1" ht="9.75" x14ac:dyDescent="0.2">
      <c r="A35" s="693" t="s">
        <v>73</v>
      </c>
      <c r="B35" s="1099" t="s">
        <v>74</v>
      </c>
      <c r="C35" s="1100"/>
      <c r="D35" s="744" t="s">
        <v>75</v>
      </c>
      <c r="E35" s="694">
        <v>74</v>
      </c>
      <c r="F35" s="695">
        <v>74</v>
      </c>
      <c r="G35" s="696">
        <v>72.099999999999994</v>
      </c>
      <c r="H35" s="672">
        <f t="shared" si="0"/>
        <v>97.432432432432421</v>
      </c>
      <c r="I35" s="697">
        <v>74</v>
      </c>
      <c r="J35" s="694">
        <v>4.12</v>
      </c>
      <c r="K35" s="694">
        <v>4.12</v>
      </c>
      <c r="L35" s="696">
        <v>4.4000000000000004</v>
      </c>
      <c r="M35" s="672">
        <f t="shared" si="9"/>
        <v>106.79611650485437</v>
      </c>
      <c r="N35" s="697">
        <v>4.9000000000000004</v>
      </c>
      <c r="O35" s="694">
        <v>69.069999999999993</v>
      </c>
      <c r="P35" s="695">
        <v>70</v>
      </c>
      <c r="Q35" s="696">
        <v>65.87</v>
      </c>
      <c r="R35" s="672">
        <f t="shared" si="10"/>
        <v>94.100000000000009</v>
      </c>
      <c r="S35" s="697">
        <v>69</v>
      </c>
      <c r="T35" s="694">
        <v>0.8</v>
      </c>
      <c r="U35" s="695">
        <v>0.8</v>
      </c>
      <c r="V35" s="696">
        <v>0.73</v>
      </c>
      <c r="W35" s="672">
        <f t="shared" si="11"/>
        <v>91.25</v>
      </c>
      <c r="X35" s="697">
        <v>0.16</v>
      </c>
    </row>
    <row r="36" spans="1:24" s="1" customFormat="1" ht="9.75" x14ac:dyDescent="0.2">
      <c r="A36" s="698" t="s">
        <v>76</v>
      </c>
      <c r="B36" s="1101" t="s">
        <v>77</v>
      </c>
      <c r="C36" s="1102"/>
      <c r="D36" s="745" t="s">
        <v>75</v>
      </c>
      <c r="E36" s="746">
        <v>80</v>
      </c>
      <c r="F36" s="747">
        <v>80</v>
      </c>
      <c r="G36" s="748">
        <v>76</v>
      </c>
      <c r="H36" s="683">
        <f t="shared" si="0"/>
        <v>95</v>
      </c>
      <c r="I36" s="699">
        <v>81</v>
      </c>
      <c r="J36" s="746">
        <v>11</v>
      </c>
      <c r="K36" s="746">
        <v>11</v>
      </c>
      <c r="L36" s="748">
        <v>10</v>
      </c>
      <c r="M36" s="683">
        <f t="shared" si="9"/>
        <v>90.909090909090907</v>
      </c>
      <c r="N36" s="699">
        <v>6</v>
      </c>
      <c r="O36" s="746">
        <v>80</v>
      </c>
      <c r="P36" s="747">
        <v>80</v>
      </c>
      <c r="Q36" s="748">
        <v>80</v>
      </c>
      <c r="R36" s="683">
        <f t="shared" si="10"/>
        <v>100</v>
      </c>
      <c r="S36" s="699">
        <v>73</v>
      </c>
      <c r="T36" s="746">
        <v>17</v>
      </c>
      <c r="U36" s="747">
        <v>17</v>
      </c>
      <c r="V36" s="748">
        <v>17</v>
      </c>
      <c r="W36" s="683">
        <f t="shared" si="11"/>
        <v>100</v>
      </c>
      <c r="X36" s="699">
        <v>2</v>
      </c>
    </row>
    <row r="37" spans="1:24" x14ac:dyDescent="0.25">
      <c r="E37" s="142"/>
      <c r="F37" s="142"/>
      <c r="G37" s="142"/>
      <c r="H37" s="142"/>
      <c r="I37" s="142"/>
    </row>
  </sheetData>
  <mergeCells count="39">
    <mergeCell ref="A1:X1"/>
    <mergeCell ref="A3:A5"/>
    <mergeCell ref="B3:C5"/>
    <mergeCell ref="D3:D5"/>
    <mergeCell ref="E3:I3"/>
    <mergeCell ref="J3:N3"/>
    <mergeCell ref="O3:S3"/>
    <mergeCell ref="T3:X3"/>
    <mergeCell ref="E4:E5"/>
    <mergeCell ref="F4:H4"/>
    <mergeCell ref="S4:S5"/>
    <mergeCell ref="T4:T5"/>
    <mergeCell ref="U4:W4"/>
    <mergeCell ref="X4:X5"/>
    <mergeCell ref="O4:O5"/>
    <mergeCell ref="P4:R4"/>
    <mergeCell ref="B7:C7"/>
    <mergeCell ref="I4:I5"/>
    <mergeCell ref="J4:J5"/>
    <mergeCell ref="K4:M4"/>
    <mergeCell ref="N4:N5"/>
    <mergeCell ref="B6:C6"/>
    <mergeCell ref="B22:C22"/>
    <mergeCell ref="B8:C8"/>
    <mergeCell ref="B10:C10"/>
    <mergeCell ref="B11:C11"/>
    <mergeCell ref="B12:C12"/>
    <mergeCell ref="B13:C13"/>
    <mergeCell ref="B15:C15"/>
    <mergeCell ref="B16:C16"/>
    <mergeCell ref="B18:C18"/>
    <mergeCell ref="B19:C19"/>
    <mergeCell ref="B20:C20"/>
    <mergeCell ref="B21:C21"/>
    <mergeCell ref="B26:C26"/>
    <mergeCell ref="B29:C29"/>
    <mergeCell ref="B34:C34"/>
    <mergeCell ref="B35:C35"/>
    <mergeCell ref="B36:C36"/>
  </mergeCells>
  <pageMargins left="0.70866141732283472" right="0.70866141732283472" top="0.78740157480314965" bottom="0.78740157480314965" header="0.31496062992125984" footer="0.31496062992125984"/>
  <pageSetup paperSize="9" scale="91" firstPageNumber="117" orientation="landscape" useFirstPageNumber="1" r:id="rId1"/>
  <headerFooter>
    <oddFooter>&amp;C&amp;P</oddFooter>
  </headerFooter>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2"/>
  <sheetViews>
    <sheetView topLeftCell="A43" workbookViewId="0">
      <selection activeCell="C51" sqref="C51"/>
    </sheetView>
  </sheetViews>
  <sheetFormatPr defaultRowHeight="12.75" x14ac:dyDescent="0.2"/>
  <cols>
    <col min="1" max="1" width="33.140625" style="4" customWidth="1"/>
    <col min="2" max="2" width="19.140625" style="4" customWidth="1"/>
    <col min="3" max="5" width="14.7109375" style="4" customWidth="1"/>
    <col min="6" max="7" width="13" style="4" customWidth="1"/>
    <col min="8" max="8" width="18.42578125" style="4" customWidth="1"/>
    <col min="9" max="16384" width="9.140625" style="4"/>
  </cols>
  <sheetData>
    <row r="1" spans="1:9" s="168" customFormat="1" ht="18.75" x14ac:dyDescent="0.3">
      <c r="A1" s="818" t="s">
        <v>530</v>
      </c>
      <c r="B1" s="818"/>
      <c r="C1" s="818"/>
      <c r="D1" s="818"/>
      <c r="E1" s="818"/>
      <c r="F1" s="818"/>
      <c r="G1" s="818"/>
      <c r="H1" s="818"/>
      <c r="I1" s="818"/>
    </row>
    <row r="3" spans="1:9" s="169" customFormat="1" ht="10.5" x14ac:dyDescent="0.15">
      <c r="A3" s="781" t="s">
        <v>99</v>
      </c>
      <c r="B3" s="781"/>
      <c r="C3" s="781"/>
      <c r="D3" s="781"/>
      <c r="E3" s="781"/>
      <c r="F3" s="781"/>
      <c r="G3" s="781"/>
      <c r="H3" s="781"/>
      <c r="I3" s="781"/>
    </row>
    <row r="4" spans="1:9" s="170" customFormat="1" ht="11.25" x14ac:dyDescent="0.2"/>
    <row r="5" spans="1:9" s="172" customFormat="1" ht="9.75" x14ac:dyDescent="0.2">
      <c r="A5" s="819" t="s">
        <v>100</v>
      </c>
      <c r="B5" s="820"/>
      <c r="C5" s="171" t="s">
        <v>16</v>
      </c>
      <c r="D5" s="805" t="s">
        <v>101</v>
      </c>
      <c r="E5" s="805"/>
      <c r="F5" s="805"/>
      <c r="G5" s="805"/>
      <c r="H5" s="805"/>
      <c r="I5" s="805"/>
    </row>
    <row r="6" spans="1:9" s="170" customFormat="1" ht="51" customHeight="1" x14ac:dyDescent="0.2">
      <c r="A6" s="821" t="s">
        <v>102</v>
      </c>
      <c r="B6" s="822"/>
      <c r="C6" s="173">
        <v>1288312.96</v>
      </c>
      <c r="D6" s="823" t="s">
        <v>531</v>
      </c>
      <c r="E6" s="824"/>
      <c r="F6" s="824"/>
      <c r="G6" s="824"/>
      <c r="H6" s="824"/>
      <c r="I6" s="825"/>
    </row>
    <row r="7" spans="1:9" s="174" customFormat="1" ht="24.75" customHeight="1" x14ac:dyDescent="0.15">
      <c r="A7" s="821" t="s">
        <v>103</v>
      </c>
      <c r="B7" s="822"/>
      <c r="C7" s="173">
        <v>140912.71</v>
      </c>
      <c r="D7" s="826" t="s">
        <v>532</v>
      </c>
      <c r="E7" s="827"/>
      <c r="F7" s="827"/>
      <c r="G7" s="827"/>
      <c r="H7" s="827"/>
      <c r="I7" s="828"/>
    </row>
    <row r="8" spans="1:9" s="174" customFormat="1" ht="15" customHeight="1" x14ac:dyDescent="0.15">
      <c r="A8" s="829" t="s">
        <v>105</v>
      </c>
      <c r="B8" s="830"/>
      <c r="C8" s="175">
        <v>488977</v>
      </c>
      <c r="D8" s="831"/>
      <c r="E8" s="832"/>
      <c r="F8" s="832"/>
      <c r="G8" s="832"/>
      <c r="H8" s="832"/>
      <c r="I8" s="833"/>
    </row>
    <row r="9" spans="1:9" s="170" customFormat="1" ht="11.25" x14ac:dyDescent="0.2">
      <c r="C9" s="176"/>
    </row>
    <row r="10" spans="1:9" s="177" customFormat="1" ht="11.25" x14ac:dyDescent="0.2">
      <c r="A10" s="781" t="s">
        <v>106</v>
      </c>
      <c r="B10" s="781"/>
      <c r="C10" s="781"/>
      <c r="D10" s="781"/>
      <c r="E10" s="781"/>
      <c r="F10" s="781"/>
      <c r="G10" s="781"/>
      <c r="H10" s="781"/>
      <c r="I10" s="781"/>
    </row>
    <row r="11" spans="1:9" s="170" customFormat="1" ht="12" thickBot="1" x14ac:dyDescent="0.25">
      <c r="C11" s="176"/>
    </row>
    <row r="12" spans="1:9" s="181" customFormat="1" ht="21" x14ac:dyDescent="0.15">
      <c r="A12" s="178" t="s">
        <v>107</v>
      </c>
      <c r="B12" s="178" t="s">
        <v>108</v>
      </c>
      <c r="C12" s="179" t="s">
        <v>109</v>
      </c>
      <c r="D12" s="180" t="s">
        <v>110</v>
      </c>
      <c r="E12" s="179" t="s">
        <v>111</v>
      </c>
      <c r="F12" s="814" t="s">
        <v>112</v>
      </c>
      <c r="G12" s="815"/>
      <c r="H12" s="816" t="s">
        <v>113</v>
      </c>
      <c r="I12" s="817"/>
    </row>
    <row r="13" spans="1:9" s="181" customFormat="1" ht="43.5" customHeight="1" x14ac:dyDescent="0.15">
      <c r="A13" s="182" t="s">
        <v>114</v>
      </c>
      <c r="B13" s="183">
        <v>208170.54</v>
      </c>
      <c r="C13" s="184">
        <v>26193</v>
      </c>
      <c r="D13" s="185">
        <v>26193</v>
      </c>
      <c r="E13" s="184">
        <f>B13+C13-D13</f>
        <v>208170.54</v>
      </c>
      <c r="F13" s="809">
        <v>208170.54</v>
      </c>
      <c r="G13" s="809"/>
      <c r="H13" s="1138" t="s">
        <v>533</v>
      </c>
      <c r="I13" s="1139"/>
    </row>
    <row r="14" spans="1:9" s="181" customFormat="1" ht="43.5" customHeight="1" x14ac:dyDescent="0.15">
      <c r="A14" s="182" t="s">
        <v>115</v>
      </c>
      <c r="B14" s="183">
        <v>987989.84</v>
      </c>
      <c r="C14" s="184">
        <v>49439.27</v>
      </c>
      <c r="D14" s="185">
        <v>1019110.84</v>
      </c>
      <c r="E14" s="184">
        <f t="shared" ref="E14:E17" si="0">B14+C14-D14</f>
        <v>18318.270000000019</v>
      </c>
      <c r="F14" s="810">
        <v>18318.27</v>
      </c>
      <c r="G14" s="811"/>
      <c r="H14" s="1140"/>
      <c r="I14" s="1141"/>
    </row>
    <row r="15" spans="1:9" s="181" customFormat="1" ht="48" customHeight="1" x14ac:dyDescent="0.15">
      <c r="A15" s="186" t="s">
        <v>116</v>
      </c>
      <c r="B15" s="187">
        <v>256949.68</v>
      </c>
      <c r="C15" s="188">
        <v>777715</v>
      </c>
      <c r="D15" s="189">
        <v>672233.19</v>
      </c>
      <c r="E15" s="184">
        <f t="shared" si="0"/>
        <v>362431.49</v>
      </c>
      <c r="F15" s="813">
        <v>362431.49</v>
      </c>
      <c r="G15" s="813"/>
      <c r="H15" s="801" t="s">
        <v>534</v>
      </c>
      <c r="I15" s="802"/>
    </row>
    <row r="16" spans="1:9" s="181" customFormat="1" ht="35.25" customHeight="1" x14ac:dyDescent="0.15">
      <c r="A16" s="190" t="s">
        <v>117</v>
      </c>
      <c r="B16" s="191">
        <v>14220.01</v>
      </c>
      <c r="C16" s="192">
        <v>15000</v>
      </c>
      <c r="D16" s="193">
        <v>0</v>
      </c>
      <c r="E16" s="184">
        <f t="shared" si="0"/>
        <v>29220.010000000002</v>
      </c>
      <c r="F16" s="800">
        <v>29220.01</v>
      </c>
      <c r="G16" s="800"/>
      <c r="H16" s="801" t="s">
        <v>535</v>
      </c>
      <c r="I16" s="802"/>
    </row>
    <row r="17" spans="1:9" s="181" customFormat="1" ht="51" customHeight="1" x14ac:dyDescent="0.15">
      <c r="A17" s="194" t="s">
        <v>118</v>
      </c>
      <c r="B17" s="195">
        <v>179645.1</v>
      </c>
      <c r="C17" s="196">
        <v>241262.2</v>
      </c>
      <c r="D17" s="197">
        <v>201301</v>
      </c>
      <c r="E17" s="184">
        <f t="shared" si="0"/>
        <v>219606.30000000005</v>
      </c>
      <c r="F17" s="803">
        <v>184202.6</v>
      </c>
      <c r="G17" s="803"/>
      <c r="H17" s="801" t="s">
        <v>536</v>
      </c>
      <c r="I17" s="802"/>
    </row>
    <row r="18" spans="1:9" s="181" customFormat="1" thickBot="1" x14ac:dyDescent="0.2">
      <c r="A18" s="198" t="s">
        <v>120</v>
      </c>
      <c r="B18" s="199">
        <f>SUM(B13:B17)</f>
        <v>1646975.17</v>
      </c>
      <c r="C18" s="200">
        <f>SUM(C13:C17)</f>
        <v>1109609.47</v>
      </c>
      <c r="D18" s="201">
        <f>SUM(D13:D17)</f>
        <v>1918838.0299999998</v>
      </c>
      <c r="E18" s="200">
        <f>SUM(E13:E17)</f>
        <v>837746.6100000001</v>
      </c>
      <c r="F18" s="804">
        <f>SUM(F13:G17)</f>
        <v>802342.91</v>
      </c>
      <c r="G18" s="804"/>
      <c r="H18" s="202"/>
      <c r="I18" s="203"/>
    </row>
    <row r="19" spans="1:9" s="204" customFormat="1" ht="11.25" x14ac:dyDescent="0.2">
      <c r="C19" s="205"/>
    </row>
    <row r="20" spans="1:9" s="177" customFormat="1" ht="11.25" x14ac:dyDescent="0.2">
      <c r="A20" s="781" t="s">
        <v>121</v>
      </c>
      <c r="B20" s="781"/>
      <c r="C20" s="781"/>
      <c r="D20" s="781"/>
      <c r="E20" s="781"/>
      <c r="F20" s="781"/>
      <c r="G20" s="781"/>
      <c r="H20" s="781"/>
      <c r="I20" s="781"/>
    </row>
    <row r="21" spans="1:9" s="170" customFormat="1" ht="11.25" x14ac:dyDescent="0.2">
      <c r="C21" s="176"/>
    </row>
    <row r="22" spans="1:9" s="170" customFormat="1" ht="11.25" x14ac:dyDescent="0.2">
      <c r="A22" s="171" t="s">
        <v>122</v>
      </c>
      <c r="B22" s="171" t="s">
        <v>16</v>
      </c>
      <c r="C22" s="206" t="s">
        <v>123</v>
      </c>
      <c r="D22" s="805" t="s">
        <v>124</v>
      </c>
      <c r="E22" s="805"/>
      <c r="F22" s="805"/>
      <c r="G22" s="805"/>
      <c r="H22" s="805"/>
      <c r="I22" s="805"/>
    </row>
    <row r="23" spans="1:9" s="170" customFormat="1" ht="11.25" customHeight="1" x14ac:dyDescent="0.2">
      <c r="A23" s="207" t="s">
        <v>537</v>
      </c>
      <c r="B23" s="208"/>
      <c r="C23" s="209"/>
      <c r="D23" s="797"/>
      <c r="E23" s="798"/>
      <c r="F23" s="798"/>
      <c r="G23" s="798"/>
      <c r="H23" s="798"/>
      <c r="I23" s="799"/>
    </row>
    <row r="24" spans="1:9" s="174" customFormat="1" ht="11.25" x14ac:dyDescent="0.2">
      <c r="A24" s="210" t="s">
        <v>120</v>
      </c>
      <c r="B24" s="211">
        <f>SUM(B23:B23)</f>
        <v>0</v>
      </c>
      <c r="C24" s="806"/>
      <c r="D24" s="806"/>
      <c r="E24" s="806"/>
      <c r="F24" s="806"/>
      <c r="G24" s="806"/>
      <c r="H24" s="806"/>
      <c r="I24" s="807"/>
    </row>
    <row r="25" spans="1:9" s="204" customFormat="1" ht="11.25" x14ac:dyDescent="0.2">
      <c r="C25" s="205"/>
    </row>
    <row r="26" spans="1:9" s="204" customFormat="1" ht="11.25" x14ac:dyDescent="0.2">
      <c r="C26" s="205"/>
    </row>
    <row r="27" spans="1:9" s="177" customFormat="1" ht="11.25" x14ac:dyDescent="0.2">
      <c r="A27" s="781" t="s">
        <v>126</v>
      </c>
      <c r="B27" s="781"/>
      <c r="C27" s="781"/>
      <c r="D27" s="781"/>
      <c r="E27" s="781"/>
      <c r="F27" s="781"/>
      <c r="G27" s="781"/>
      <c r="H27" s="781"/>
      <c r="I27" s="781"/>
    </row>
    <row r="28" spans="1:9" s="170" customFormat="1" ht="11.25" x14ac:dyDescent="0.2">
      <c r="C28" s="176"/>
    </row>
    <row r="29" spans="1:9" s="170" customFormat="1" ht="11.25" x14ac:dyDescent="0.2">
      <c r="A29" s="171" t="s">
        <v>122</v>
      </c>
      <c r="B29" s="171" t="s">
        <v>16</v>
      </c>
      <c r="C29" s="206" t="s">
        <v>123</v>
      </c>
      <c r="D29" s="805" t="s">
        <v>127</v>
      </c>
      <c r="E29" s="805"/>
      <c r="F29" s="805"/>
      <c r="G29" s="805"/>
      <c r="H29" s="805"/>
      <c r="I29" s="808"/>
    </row>
    <row r="30" spans="1:9" s="170" customFormat="1" ht="11.25" customHeight="1" x14ac:dyDescent="0.2">
      <c r="A30" s="207" t="s">
        <v>537</v>
      </c>
      <c r="B30" s="208"/>
      <c r="C30" s="209"/>
      <c r="D30" s="797"/>
      <c r="E30" s="798"/>
      <c r="F30" s="798"/>
      <c r="G30" s="798"/>
      <c r="H30" s="798"/>
      <c r="I30" s="799"/>
    </row>
    <row r="31" spans="1:9" s="174" customFormat="1" ht="10.5" x14ac:dyDescent="0.15">
      <c r="A31" s="210" t="s">
        <v>120</v>
      </c>
      <c r="B31" s="211">
        <f>SUM(B30:B30)</f>
        <v>0</v>
      </c>
      <c r="C31" s="784"/>
      <c r="D31" s="784"/>
      <c r="E31" s="784"/>
      <c r="F31" s="784"/>
      <c r="G31" s="784"/>
      <c r="H31" s="784"/>
      <c r="I31" s="784"/>
    </row>
    <row r="32" spans="1:9" s="170" customFormat="1" ht="11.25" x14ac:dyDescent="0.2">
      <c r="C32" s="176"/>
    </row>
    <row r="33" spans="1:9" s="170" customFormat="1" ht="11.25" x14ac:dyDescent="0.2">
      <c r="C33" s="176"/>
    </row>
    <row r="34" spans="1:9" s="177" customFormat="1" ht="11.25" x14ac:dyDescent="0.2">
      <c r="A34" s="781" t="s">
        <v>129</v>
      </c>
      <c r="B34" s="781"/>
      <c r="C34" s="781"/>
      <c r="D34" s="781"/>
      <c r="E34" s="781"/>
      <c r="F34" s="781"/>
      <c r="G34" s="781"/>
      <c r="H34" s="781"/>
      <c r="I34" s="781"/>
    </row>
    <row r="35" spans="1:9" s="170" customFormat="1" ht="11.25" x14ac:dyDescent="0.2">
      <c r="C35" s="212"/>
    </row>
    <row r="36" spans="1:9" s="170" customFormat="1" ht="11.25" x14ac:dyDescent="0.2">
      <c r="A36" s="171" t="s">
        <v>130</v>
      </c>
      <c r="B36" s="206" t="s">
        <v>131</v>
      </c>
      <c r="C36" s="785" t="s">
        <v>132</v>
      </c>
      <c r="D36" s="785"/>
      <c r="E36" s="785"/>
      <c r="F36" s="785"/>
      <c r="G36" s="785"/>
      <c r="H36" s="785"/>
      <c r="I36" s="786"/>
    </row>
    <row r="37" spans="1:9" s="170" customFormat="1" ht="11.25" x14ac:dyDescent="0.2">
      <c r="A37" s="213" t="s">
        <v>538</v>
      </c>
      <c r="B37" s="213"/>
      <c r="C37" s="787"/>
      <c r="D37" s="787"/>
      <c r="E37" s="787"/>
      <c r="F37" s="787"/>
      <c r="G37" s="787"/>
      <c r="H37" s="787"/>
      <c r="I37" s="787"/>
    </row>
    <row r="38" spans="1:9" s="174" customFormat="1" ht="10.5" x14ac:dyDescent="0.15">
      <c r="A38" s="214">
        <f>SUM(A37:A37)</f>
        <v>0</v>
      </c>
      <c r="B38" s="214">
        <f>SUM(B37:B37)</f>
        <v>0</v>
      </c>
      <c r="C38" s="788" t="s">
        <v>120</v>
      </c>
      <c r="D38" s="789"/>
      <c r="E38" s="789"/>
      <c r="F38" s="789"/>
      <c r="G38" s="789"/>
      <c r="H38" s="789"/>
      <c r="I38" s="790"/>
    </row>
    <row r="39" spans="1:9" s="170" customFormat="1" ht="11.25" x14ac:dyDescent="0.2">
      <c r="C39" s="212"/>
    </row>
    <row r="40" spans="1:9" s="170" customFormat="1" ht="11.25" x14ac:dyDescent="0.2">
      <c r="C40" s="212"/>
    </row>
    <row r="41" spans="1:9" s="170" customFormat="1" ht="11.25" x14ac:dyDescent="0.2">
      <c r="A41" s="781" t="s">
        <v>177</v>
      </c>
      <c r="B41" s="766"/>
      <c r="C41" s="766"/>
      <c r="D41" s="766"/>
      <c r="E41" s="766"/>
      <c r="F41" s="766"/>
      <c r="G41" s="766"/>
      <c r="H41" s="766"/>
      <c r="I41" s="766"/>
    </row>
    <row r="42" spans="1:9" s="170" customFormat="1" ht="11.25" x14ac:dyDescent="0.2">
      <c r="C42" s="212"/>
    </row>
    <row r="43" spans="1:9" s="216" customFormat="1" ht="31.5" x14ac:dyDescent="0.25">
      <c r="A43" s="767" t="s">
        <v>135</v>
      </c>
      <c r="B43" s="768"/>
      <c r="C43" s="215" t="s">
        <v>136</v>
      </c>
      <c r="D43" s="215" t="s">
        <v>137</v>
      </c>
      <c r="E43" s="215" t="s">
        <v>138</v>
      </c>
      <c r="F43" s="215" t="s">
        <v>139</v>
      </c>
      <c r="G43" s="215" t="s">
        <v>140</v>
      </c>
    </row>
    <row r="44" spans="1:9" s="170" customFormat="1" ht="12" x14ac:dyDescent="0.2">
      <c r="A44" s="791" t="s">
        <v>539</v>
      </c>
      <c r="B44" s="792"/>
      <c r="C44" s="217" t="s">
        <v>540</v>
      </c>
      <c r="D44" s="330">
        <v>700000</v>
      </c>
      <c r="E44" s="219"/>
      <c r="F44" s="1137">
        <v>43185</v>
      </c>
      <c r="G44" s="1137">
        <v>43193</v>
      </c>
    </row>
    <row r="45" spans="1:9" s="170" customFormat="1" ht="12" x14ac:dyDescent="0.2">
      <c r="A45" s="948"/>
      <c r="B45" s="1132"/>
      <c r="C45" s="222" t="s">
        <v>541</v>
      </c>
      <c r="D45" s="223"/>
      <c r="E45" s="224">
        <v>700000</v>
      </c>
      <c r="F45" s="1134"/>
      <c r="G45" s="1134"/>
    </row>
    <row r="46" spans="1:9" s="170" customFormat="1" ht="12" x14ac:dyDescent="0.2">
      <c r="A46" s="1131" t="s">
        <v>542</v>
      </c>
      <c r="B46" s="1132"/>
      <c r="C46" s="222" t="s">
        <v>543</v>
      </c>
      <c r="D46" s="223"/>
      <c r="E46" s="224">
        <v>-300000</v>
      </c>
      <c r="F46" s="1133">
        <v>43196</v>
      </c>
      <c r="G46" s="1133">
        <v>43196</v>
      </c>
    </row>
    <row r="47" spans="1:9" s="170" customFormat="1" ht="12" x14ac:dyDescent="0.2">
      <c r="A47" s="948"/>
      <c r="B47" s="1132"/>
      <c r="C47" s="222" t="s">
        <v>541</v>
      </c>
      <c r="D47" s="223"/>
      <c r="E47" s="224">
        <v>300000</v>
      </c>
      <c r="F47" s="1134"/>
      <c r="G47" s="1134"/>
    </row>
    <row r="48" spans="1:9" s="170" customFormat="1" ht="12" x14ac:dyDescent="0.2">
      <c r="A48" s="1131" t="s">
        <v>544</v>
      </c>
      <c r="B48" s="1132"/>
      <c r="C48" s="222" t="s">
        <v>545</v>
      </c>
      <c r="D48" s="223"/>
      <c r="E48" s="224">
        <v>68000</v>
      </c>
      <c r="F48" s="1133">
        <v>43257</v>
      </c>
      <c r="G48" s="1133">
        <v>43257</v>
      </c>
    </row>
    <row r="49" spans="1:9" s="170" customFormat="1" ht="12" x14ac:dyDescent="0.2">
      <c r="A49" s="950"/>
      <c r="B49" s="1135"/>
      <c r="C49" s="227" t="s">
        <v>540</v>
      </c>
      <c r="D49" s="503">
        <v>68000</v>
      </c>
      <c r="E49" s="229"/>
      <c r="F49" s="1136"/>
      <c r="G49" s="1136"/>
    </row>
    <row r="50" spans="1:9" s="170" customFormat="1" ht="11.25" x14ac:dyDescent="0.2">
      <c r="A50" s="773" t="s">
        <v>178</v>
      </c>
      <c r="B50" s="774"/>
      <c r="C50" s="233"/>
      <c r="D50" s="234">
        <f>SUM(D44:D49)</f>
        <v>768000</v>
      </c>
      <c r="E50" s="234">
        <f>SUM(E44:E49)</f>
        <v>768000</v>
      </c>
      <c r="F50" s="795"/>
      <c r="G50" s="796"/>
    </row>
    <row r="51" spans="1:9" s="170" customFormat="1" ht="15" x14ac:dyDescent="0.25">
      <c r="A51" s="782"/>
      <c r="B51" s="783"/>
      <c r="C51" s="212"/>
    </row>
    <row r="52" spans="1:9" s="170" customFormat="1" ht="11.25" x14ac:dyDescent="0.2">
      <c r="A52" s="235"/>
      <c r="C52" s="212"/>
    </row>
    <row r="53" spans="1:9" s="170" customFormat="1" ht="11.25" x14ac:dyDescent="0.2">
      <c r="A53" s="766" t="s">
        <v>180</v>
      </c>
      <c r="B53" s="766"/>
      <c r="C53" s="766"/>
      <c r="D53" s="766"/>
      <c r="E53" s="766"/>
      <c r="F53" s="766"/>
      <c r="G53" s="766"/>
      <c r="H53" s="766"/>
      <c r="I53" s="766"/>
    </row>
    <row r="54" spans="1:9" s="170" customFormat="1" ht="11.25" x14ac:dyDescent="0.2">
      <c r="C54" s="212"/>
    </row>
    <row r="55" spans="1:9" s="216" customFormat="1" ht="31.5" x14ac:dyDescent="0.25">
      <c r="A55" s="767" t="s">
        <v>135</v>
      </c>
      <c r="B55" s="768"/>
      <c r="C55" s="215" t="s">
        <v>136</v>
      </c>
      <c r="D55" s="215" t="s">
        <v>137</v>
      </c>
      <c r="E55" s="215" t="s">
        <v>138</v>
      </c>
      <c r="F55" s="215" t="s">
        <v>139</v>
      </c>
      <c r="G55" s="215" t="s">
        <v>140</v>
      </c>
    </row>
    <row r="56" spans="1:9" s="170" customFormat="1" ht="11.25" customHeight="1" x14ac:dyDescent="0.2">
      <c r="A56" s="769" t="s">
        <v>537</v>
      </c>
      <c r="B56" s="770"/>
      <c r="C56" s="236"/>
      <c r="D56" s="237"/>
      <c r="E56" s="237"/>
      <c r="F56" s="247"/>
      <c r="G56" s="247"/>
    </row>
    <row r="57" spans="1:9" s="170" customFormat="1" ht="11.25" customHeight="1" x14ac:dyDescent="0.2">
      <c r="A57" s="771"/>
      <c r="B57" s="772"/>
      <c r="C57" s="243"/>
      <c r="D57" s="244"/>
      <c r="E57" s="244"/>
      <c r="F57" s="245"/>
      <c r="G57" s="245"/>
    </row>
    <row r="58" spans="1:9" s="170" customFormat="1" ht="11.25" x14ac:dyDescent="0.2">
      <c r="A58" s="773" t="s">
        <v>178</v>
      </c>
      <c r="B58" s="774"/>
      <c r="C58" s="233"/>
      <c r="D58" s="234">
        <f>SUM(D56:D57)</f>
        <v>0</v>
      </c>
      <c r="E58" s="234">
        <f>SUM(E56:E57)</f>
        <v>0</v>
      </c>
      <c r="F58" s="775"/>
      <c r="G58" s="776"/>
    </row>
    <row r="59" spans="1:9" s="170" customFormat="1" ht="11.25" x14ac:dyDescent="0.2">
      <c r="C59" s="212"/>
    </row>
    <row r="60" spans="1:9" s="170" customFormat="1" ht="11.25" x14ac:dyDescent="0.2">
      <c r="C60" s="212"/>
    </row>
    <row r="61" spans="1:9" s="177" customFormat="1" ht="11.25" x14ac:dyDescent="0.2">
      <c r="A61" s="777" t="s">
        <v>794</v>
      </c>
      <c r="B61" s="777"/>
      <c r="C61" s="777"/>
      <c r="D61" s="777"/>
      <c r="E61" s="777"/>
      <c r="F61" s="777"/>
      <c r="G61" s="777"/>
      <c r="H61" s="777"/>
      <c r="I61" s="777"/>
    </row>
    <row r="62" spans="1:9" s="170" customFormat="1" ht="11.25" x14ac:dyDescent="0.2">
      <c r="A62" s="170" t="s">
        <v>546</v>
      </c>
    </row>
    <row r="63" spans="1:9" s="170" customFormat="1" ht="11.25" x14ac:dyDescent="0.2">
      <c r="A63" s="778"/>
      <c r="B63" s="779"/>
      <c r="C63" s="779"/>
      <c r="D63" s="779"/>
      <c r="E63" s="779"/>
      <c r="F63" s="779"/>
      <c r="G63" s="779"/>
      <c r="H63" s="779"/>
      <c r="I63" s="780"/>
    </row>
    <row r="64" spans="1:9" s="170" customFormat="1" ht="11.25" x14ac:dyDescent="0.2"/>
    <row r="65" spans="1:9" s="169" customFormat="1" ht="10.5" x14ac:dyDescent="0.15">
      <c r="A65" s="781" t="s">
        <v>165</v>
      </c>
      <c r="B65" s="781"/>
      <c r="C65" s="781"/>
      <c r="D65" s="781"/>
      <c r="E65" s="781"/>
      <c r="F65" s="781"/>
      <c r="G65" s="781"/>
      <c r="H65" s="781"/>
      <c r="I65" s="781"/>
    </row>
    <row r="66" spans="1:9" s="170" customFormat="1" ht="11.25" customHeight="1" x14ac:dyDescent="0.25">
      <c r="A66" s="1129"/>
      <c r="B66" s="1130"/>
      <c r="C66" s="1130"/>
      <c r="D66" s="1130"/>
      <c r="E66" s="1130"/>
      <c r="F66" s="1130"/>
      <c r="G66" s="1130"/>
      <c r="H66" s="1130"/>
      <c r="I66" s="1130"/>
    </row>
    <row r="67" spans="1:9" s="170" customFormat="1" ht="28.5" customHeight="1" x14ac:dyDescent="0.25">
      <c r="A67" s="1129" t="s">
        <v>547</v>
      </c>
      <c r="B67" s="1130"/>
      <c r="C67" s="1130"/>
      <c r="D67" s="1130"/>
      <c r="E67" s="1130"/>
      <c r="F67" s="1130"/>
      <c r="G67" s="1130"/>
      <c r="H67" s="1130"/>
      <c r="I67" s="1130"/>
    </row>
    <row r="68" spans="1:9" s="170" customFormat="1" ht="39" customHeight="1" x14ac:dyDescent="0.2">
      <c r="A68" s="763"/>
      <c r="B68" s="764"/>
      <c r="C68" s="764"/>
      <c r="D68" s="764"/>
      <c r="E68" s="764"/>
      <c r="F68" s="764"/>
      <c r="G68" s="764"/>
      <c r="H68" s="764"/>
      <c r="I68" s="765"/>
    </row>
    <row r="69" spans="1:9" s="170" customFormat="1" ht="18.75" customHeight="1" x14ac:dyDescent="0.2">
      <c r="A69" s="763"/>
      <c r="B69" s="764"/>
      <c r="C69" s="764"/>
      <c r="D69" s="764"/>
      <c r="E69" s="764"/>
      <c r="F69" s="764"/>
      <c r="G69" s="764"/>
      <c r="H69" s="764"/>
      <c r="I69" s="765"/>
    </row>
    <row r="70" spans="1:9" x14ac:dyDescent="0.2">
      <c r="A70" s="4" t="s">
        <v>362</v>
      </c>
    </row>
    <row r="71" spans="1:9" ht="14.25" customHeight="1" x14ac:dyDescent="0.2">
      <c r="A71" s="246" t="s">
        <v>364</v>
      </c>
    </row>
    <row r="72" spans="1:9" ht="13.5" customHeight="1" x14ac:dyDescent="0.2">
      <c r="A72" s="246"/>
    </row>
  </sheetData>
  <mergeCells count="62">
    <mergeCell ref="F12:G12"/>
    <mergeCell ref="H12:I12"/>
    <mergeCell ref="A1:I1"/>
    <mergeCell ref="A3:I3"/>
    <mergeCell ref="A5:B5"/>
    <mergeCell ref="D5:I5"/>
    <mergeCell ref="A6:B6"/>
    <mergeCell ref="D6:I6"/>
    <mergeCell ref="A7:B7"/>
    <mergeCell ref="D7:I7"/>
    <mergeCell ref="A8:B8"/>
    <mergeCell ref="D8:I8"/>
    <mergeCell ref="A10:I10"/>
    <mergeCell ref="D23:I23"/>
    <mergeCell ref="F13:G13"/>
    <mergeCell ref="H13:I14"/>
    <mergeCell ref="F14:G14"/>
    <mergeCell ref="F15:G15"/>
    <mergeCell ref="H15:I15"/>
    <mergeCell ref="F16:G16"/>
    <mergeCell ref="H16:I16"/>
    <mergeCell ref="F17:G17"/>
    <mergeCell ref="H17:I17"/>
    <mergeCell ref="F18:G18"/>
    <mergeCell ref="A20:I20"/>
    <mergeCell ref="D22:I22"/>
    <mergeCell ref="A44:B45"/>
    <mergeCell ref="F44:F45"/>
    <mergeCell ref="G44:G45"/>
    <mergeCell ref="C24:I24"/>
    <mergeCell ref="A27:I27"/>
    <mergeCell ref="D29:I29"/>
    <mergeCell ref="D30:I30"/>
    <mergeCell ref="C31:I31"/>
    <mergeCell ref="A34:I34"/>
    <mergeCell ref="C36:I36"/>
    <mergeCell ref="C37:I37"/>
    <mergeCell ref="C38:I38"/>
    <mergeCell ref="A41:I41"/>
    <mergeCell ref="A43:B43"/>
    <mergeCell ref="A56:B56"/>
    <mergeCell ref="A46:B47"/>
    <mergeCell ref="F46:F47"/>
    <mergeCell ref="G46:G47"/>
    <mergeCell ref="A48:B49"/>
    <mergeCell ref="F48:F49"/>
    <mergeCell ref="G48:G49"/>
    <mergeCell ref="A50:B50"/>
    <mergeCell ref="F50:G50"/>
    <mergeCell ref="A51:B51"/>
    <mergeCell ref="A53:I53"/>
    <mergeCell ref="A55:B55"/>
    <mergeCell ref="A66:I66"/>
    <mergeCell ref="A67:I67"/>
    <mergeCell ref="A68:I68"/>
    <mergeCell ref="A69:I69"/>
    <mergeCell ref="A57:B57"/>
    <mergeCell ref="A58:B58"/>
    <mergeCell ref="F58:G58"/>
    <mergeCell ref="A61:I61"/>
    <mergeCell ref="A63:I63"/>
    <mergeCell ref="A65:I65"/>
  </mergeCells>
  <pageMargins left="0.70866141732283472" right="0.70866141732283472" top="0.78740157480314965" bottom="0.78740157480314965" header="0.31496062992125984" footer="0.31496062992125984"/>
  <pageSetup paperSize="9" scale="58" firstPageNumber="118" orientation="portrait" useFirstPageNumber="1" r:id="rId1"/>
  <headerFooter>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6"/>
  <sheetViews>
    <sheetView topLeftCell="A2" workbookViewId="0">
      <selection activeCell="C51" sqref="C51"/>
    </sheetView>
  </sheetViews>
  <sheetFormatPr defaultColWidth="3.7109375" defaultRowHeight="15" x14ac:dyDescent="0.25"/>
  <cols>
    <col min="1" max="1" width="3.140625" style="2" customWidth="1"/>
    <col min="2" max="2" width="3.7109375" style="3" customWidth="1"/>
    <col min="3" max="3" width="21" style="3" customWidth="1"/>
    <col min="4" max="4" width="4.85546875" style="3" customWidth="1"/>
    <col min="5" max="7" width="6.28515625" style="3" customWidth="1"/>
    <col min="8" max="8" width="5" style="3" customWidth="1"/>
    <col min="9" max="12" width="6.28515625" style="3" customWidth="1"/>
    <col min="13" max="13" width="5" style="3" customWidth="1"/>
    <col min="14" max="17" width="6.28515625" style="3" customWidth="1"/>
    <col min="18" max="18" width="5" style="3" customWidth="1"/>
    <col min="19" max="22" width="6.28515625" style="3" customWidth="1"/>
    <col min="23" max="23" width="5" style="3" customWidth="1"/>
    <col min="24" max="24" width="6.28515625" style="3" customWidth="1"/>
    <col min="25" max="16384" width="3.7109375" style="3"/>
  </cols>
  <sheetData>
    <row r="1" spans="1:24" s="6" customFormat="1" ht="15.75" x14ac:dyDescent="0.25">
      <c r="A1" s="759" t="s">
        <v>86</v>
      </c>
      <c r="B1" s="759"/>
      <c r="C1" s="759"/>
      <c r="D1" s="759"/>
      <c r="E1" s="759"/>
      <c r="F1" s="759"/>
      <c r="G1" s="759"/>
      <c r="H1" s="759"/>
      <c r="I1" s="759"/>
      <c r="J1" s="759"/>
      <c r="K1" s="759"/>
      <c r="L1" s="759"/>
      <c r="M1" s="759"/>
      <c r="N1" s="759"/>
      <c r="O1" s="759"/>
      <c r="P1" s="759"/>
      <c r="Q1" s="759"/>
      <c r="R1" s="759"/>
      <c r="S1" s="759"/>
      <c r="T1" s="759"/>
      <c r="U1" s="759"/>
      <c r="V1" s="759"/>
      <c r="W1" s="759"/>
      <c r="X1" s="759"/>
    </row>
    <row r="3" spans="1:24" s="7" customFormat="1" ht="9.75" customHeight="1" x14ac:dyDescent="0.2">
      <c r="A3" s="752" t="s">
        <v>1</v>
      </c>
      <c r="B3" s="761" t="s">
        <v>2</v>
      </c>
      <c r="C3" s="760"/>
      <c r="D3" s="761" t="s">
        <v>3</v>
      </c>
      <c r="E3" s="762" t="s">
        <v>4</v>
      </c>
      <c r="F3" s="762"/>
      <c r="G3" s="762"/>
      <c r="H3" s="762"/>
      <c r="I3" s="762"/>
      <c r="J3" s="762" t="s">
        <v>5</v>
      </c>
      <c r="K3" s="762"/>
      <c r="L3" s="762"/>
      <c r="M3" s="762"/>
      <c r="N3" s="762"/>
      <c r="O3" s="762" t="s">
        <v>6</v>
      </c>
      <c r="P3" s="762"/>
      <c r="Q3" s="762"/>
      <c r="R3" s="762"/>
      <c r="S3" s="762"/>
      <c r="T3" s="762" t="s">
        <v>7</v>
      </c>
      <c r="U3" s="762"/>
      <c r="V3" s="762"/>
      <c r="W3" s="762"/>
      <c r="X3" s="762"/>
    </row>
    <row r="4" spans="1:24" s="8" customFormat="1" ht="9.75" customHeight="1" x14ac:dyDescent="0.2">
      <c r="A4" s="760"/>
      <c r="B4" s="760"/>
      <c r="C4" s="760"/>
      <c r="D4" s="761"/>
      <c r="E4" s="754" t="s">
        <v>8</v>
      </c>
      <c r="F4" s="755" t="s">
        <v>9</v>
      </c>
      <c r="G4" s="755"/>
      <c r="H4" s="755"/>
      <c r="I4" s="752" t="s">
        <v>10</v>
      </c>
      <c r="J4" s="754" t="s">
        <v>8</v>
      </c>
      <c r="K4" s="755" t="s">
        <v>9</v>
      </c>
      <c r="L4" s="755"/>
      <c r="M4" s="755"/>
      <c r="N4" s="752" t="s">
        <v>10</v>
      </c>
      <c r="O4" s="754" t="s">
        <v>8</v>
      </c>
      <c r="P4" s="755" t="s">
        <v>9</v>
      </c>
      <c r="Q4" s="755"/>
      <c r="R4" s="755"/>
      <c r="S4" s="752" t="s">
        <v>10</v>
      </c>
      <c r="T4" s="754" t="s">
        <v>8</v>
      </c>
      <c r="U4" s="755" t="s">
        <v>9</v>
      </c>
      <c r="V4" s="755"/>
      <c r="W4" s="755"/>
      <c r="X4" s="752" t="s">
        <v>10</v>
      </c>
    </row>
    <row r="5" spans="1:24" s="10" customFormat="1" ht="9.75" customHeight="1" x14ac:dyDescent="0.2">
      <c r="A5" s="760"/>
      <c r="B5" s="760"/>
      <c r="C5" s="760"/>
      <c r="D5" s="761"/>
      <c r="E5" s="754"/>
      <c r="F5" s="9" t="s">
        <v>11</v>
      </c>
      <c r="G5" s="9" t="s">
        <v>12</v>
      </c>
      <c r="H5" s="9" t="s">
        <v>13</v>
      </c>
      <c r="I5" s="752"/>
      <c r="J5" s="754"/>
      <c r="K5" s="9" t="s">
        <v>11</v>
      </c>
      <c r="L5" s="9" t="s">
        <v>12</v>
      </c>
      <c r="M5" s="9" t="s">
        <v>13</v>
      </c>
      <c r="N5" s="752"/>
      <c r="O5" s="754"/>
      <c r="P5" s="9" t="s">
        <v>11</v>
      </c>
      <c r="Q5" s="9" t="s">
        <v>12</v>
      </c>
      <c r="R5" s="9" t="s">
        <v>13</v>
      </c>
      <c r="S5" s="752"/>
      <c r="T5" s="754"/>
      <c r="U5" s="9" t="s">
        <v>11</v>
      </c>
      <c r="V5" s="9" t="s">
        <v>12</v>
      </c>
      <c r="W5" s="9" t="s">
        <v>13</v>
      </c>
      <c r="X5" s="752"/>
    </row>
    <row r="6" spans="1:24" s="7" customFormat="1" ht="9.75" customHeight="1" x14ac:dyDescent="0.2">
      <c r="A6" s="11" t="s">
        <v>14</v>
      </c>
      <c r="B6" s="753" t="s">
        <v>15</v>
      </c>
      <c r="C6" s="753"/>
      <c r="D6" s="12" t="s">
        <v>16</v>
      </c>
      <c r="E6" s="13">
        <f>SUM(E7:E9)</f>
        <v>52432310</v>
      </c>
      <c r="F6" s="13">
        <f>SUM(F7:F9)</f>
        <v>53394045</v>
      </c>
      <c r="G6" s="13">
        <f>SUM(G7:G9)</f>
        <v>27573204</v>
      </c>
      <c r="H6" s="14">
        <f t="shared" ref="H6:H36" si="0">G6/F6*100</f>
        <v>51.640972321913424</v>
      </c>
      <c r="I6" s="13">
        <f>SUM(I7:I9)</f>
        <v>23962261</v>
      </c>
      <c r="J6" s="13">
        <f>SUM(J7:J9)</f>
        <v>10439000</v>
      </c>
      <c r="K6" s="13">
        <f t="shared" ref="K6:V6" si="1">SUM(K7:K9)</f>
        <v>10499500</v>
      </c>
      <c r="L6" s="13">
        <f t="shared" si="1"/>
        <v>5863797</v>
      </c>
      <c r="M6" s="14">
        <f t="shared" ref="M6:M32" si="2">L6/K6*100</f>
        <v>55.848345159293302</v>
      </c>
      <c r="N6" s="13">
        <f t="shared" ref="N6" si="3">SUM(N7:N9)</f>
        <v>5556971</v>
      </c>
      <c r="O6" s="13">
        <f t="shared" si="1"/>
        <v>41993310</v>
      </c>
      <c r="P6" s="13">
        <f t="shared" si="1"/>
        <v>42894545</v>
      </c>
      <c r="Q6" s="13">
        <f t="shared" si="1"/>
        <v>21709407</v>
      </c>
      <c r="R6" s="14">
        <f t="shared" ref="R6:R36" si="4">Q6/P6*100</f>
        <v>50.611113837435504</v>
      </c>
      <c r="S6" s="13">
        <f t="shared" ref="S6" si="5">SUM(S7:S9)</f>
        <v>18405290</v>
      </c>
      <c r="T6" s="13">
        <f t="shared" si="1"/>
        <v>836000</v>
      </c>
      <c r="U6" s="13">
        <f t="shared" si="1"/>
        <v>836000</v>
      </c>
      <c r="V6" s="13">
        <f t="shared" si="1"/>
        <v>588897</v>
      </c>
      <c r="W6" s="14">
        <f t="shared" ref="W6:W33" si="6">V6/U6*100</f>
        <v>70.442224880382781</v>
      </c>
      <c r="X6" s="13">
        <f t="shared" ref="X6" si="7">SUM(X7:X9)</f>
        <v>578060</v>
      </c>
    </row>
    <row r="7" spans="1:24" s="7" customFormat="1" ht="9.75" x14ac:dyDescent="0.2">
      <c r="A7" s="15" t="s">
        <v>17</v>
      </c>
      <c r="B7" s="750" t="s">
        <v>18</v>
      </c>
      <c r="C7" s="750"/>
      <c r="D7" s="16" t="s">
        <v>16</v>
      </c>
      <c r="E7" s="17">
        <f t="shared" ref="E7:G10" si="8">SUM(J7,O7)</f>
        <v>4960000</v>
      </c>
      <c r="F7" s="17">
        <f t="shared" si="8"/>
        <v>4965000</v>
      </c>
      <c r="G7" s="17">
        <f t="shared" si="8"/>
        <v>3068988</v>
      </c>
      <c r="H7" s="18">
        <f t="shared" si="0"/>
        <v>61.812447129909366</v>
      </c>
      <c r="I7" s="17">
        <f>SUM(N7,S7)</f>
        <v>2739378</v>
      </c>
      <c r="J7" s="42">
        <v>4960000</v>
      </c>
      <c r="K7" s="19">
        <v>4960000</v>
      </c>
      <c r="L7" s="19">
        <v>3064174</v>
      </c>
      <c r="M7" s="18">
        <f t="shared" si="2"/>
        <v>61.777701612903222</v>
      </c>
      <c r="N7" s="19">
        <v>2735722</v>
      </c>
      <c r="O7" s="19"/>
      <c r="P7" s="19">
        <v>5000</v>
      </c>
      <c r="Q7" s="19">
        <v>4814</v>
      </c>
      <c r="R7" s="18">
        <f t="shared" si="4"/>
        <v>96.28</v>
      </c>
      <c r="S7" s="19">
        <v>3656</v>
      </c>
      <c r="T7" s="19">
        <v>836000</v>
      </c>
      <c r="U7" s="19">
        <v>836000</v>
      </c>
      <c r="V7" s="19">
        <v>588897</v>
      </c>
      <c r="W7" s="18">
        <f t="shared" si="6"/>
        <v>70.442224880382781</v>
      </c>
      <c r="X7" s="19">
        <v>578060</v>
      </c>
    </row>
    <row r="8" spans="1:24" s="7" customFormat="1" ht="9.75" x14ac:dyDescent="0.2">
      <c r="A8" s="20" t="s">
        <v>19</v>
      </c>
      <c r="B8" s="758" t="s">
        <v>20</v>
      </c>
      <c r="C8" s="758"/>
      <c r="D8" s="16" t="s">
        <v>16</v>
      </c>
      <c r="E8" s="17">
        <f t="shared" si="8"/>
        <v>2000</v>
      </c>
      <c r="F8" s="17">
        <f t="shared" si="8"/>
        <v>2500</v>
      </c>
      <c r="G8" s="17">
        <f t="shared" si="8"/>
        <v>1123</v>
      </c>
      <c r="H8" s="18">
        <f t="shared" si="0"/>
        <v>44.92</v>
      </c>
      <c r="I8" s="17">
        <f>SUM(N8,S8)</f>
        <v>749</v>
      </c>
      <c r="J8" s="43">
        <v>2000</v>
      </c>
      <c r="K8" s="17">
        <f>2000+500</f>
        <v>2500</v>
      </c>
      <c r="L8" s="17">
        <v>1123</v>
      </c>
      <c r="M8" s="18">
        <f t="shared" si="2"/>
        <v>44.92</v>
      </c>
      <c r="N8" s="17">
        <v>749</v>
      </c>
      <c r="O8" s="17"/>
      <c r="P8" s="17"/>
      <c r="Q8" s="17"/>
      <c r="R8" s="18">
        <v>0</v>
      </c>
      <c r="S8" s="17">
        <v>0</v>
      </c>
      <c r="T8" s="17"/>
      <c r="U8" s="17"/>
      <c r="V8" s="17"/>
      <c r="W8" s="18">
        <v>0</v>
      </c>
      <c r="X8" s="17">
        <v>0</v>
      </c>
    </row>
    <row r="9" spans="1:24" s="7" customFormat="1" ht="9.75" x14ac:dyDescent="0.2">
      <c r="A9" s="20" t="s">
        <v>21</v>
      </c>
      <c r="B9" s="21" t="s">
        <v>22</v>
      </c>
      <c r="C9" s="22"/>
      <c r="D9" s="16" t="s">
        <v>16</v>
      </c>
      <c r="E9" s="17">
        <f t="shared" si="8"/>
        <v>47470310</v>
      </c>
      <c r="F9" s="17">
        <f t="shared" si="8"/>
        <v>48426545</v>
      </c>
      <c r="G9" s="17">
        <f t="shared" si="8"/>
        <v>24503093</v>
      </c>
      <c r="H9" s="18">
        <f t="shared" si="0"/>
        <v>50.598474452389695</v>
      </c>
      <c r="I9" s="17">
        <f>SUM(N9,S9)</f>
        <v>21222134</v>
      </c>
      <c r="J9" s="43">
        <v>5477000</v>
      </c>
      <c r="K9" s="17">
        <v>5537000</v>
      </c>
      <c r="L9" s="17">
        <v>2798500</v>
      </c>
      <c r="M9" s="18">
        <f t="shared" si="2"/>
        <v>50.541809644211668</v>
      </c>
      <c r="N9" s="17">
        <v>2820500</v>
      </c>
      <c r="O9" s="17">
        <v>41993310</v>
      </c>
      <c r="P9" s="17">
        <v>42889545</v>
      </c>
      <c r="Q9" s="17">
        <v>21704593</v>
      </c>
      <c r="R9" s="18">
        <f t="shared" si="4"/>
        <v>50.605789825935432</v>
      </c>
      <c r="S9" s="17">
        <v>18401634</v>
      </c>
      <c r="T9" s="17"/>
      <c r="U9" s="17"/>
      <c r="V9" s="17"/>
      <c r="W9" s="18">
        <v>0</v>
      </c>
      <c r="X9" s="17">
        <v>0</v>
      </c>
    </row>
    <row r="10" spans="1:24" s="7" customFormat="1" ht="9.75" x14ac:dyDescent="0.2">
      <c r="A10" s="11" t="s">
        <v>23</v>
      </c>
      <c r="B10" s="753" t="s">
        <v>24</v>
      </c>
      <c r="C10" s="753"/>
      <c r="D10" s="12" t="s">
        <v>16</v>
      </c>
      <c r="E10" s="23">
        <f t="shared" si="8"/>
        <v>0</v>
      </c>
      <c r="F10" s="23">
        <f t="shared" si="8"/>
        <v>0</v>
      </c>
      <c r="G10" s="23">
        <f t="shared" si="8"/>
        <v>0</v>
      </c>
      <c r="H10" s="14">
        <v>0</v>
      </c>
      <c r="I10" s="23">
        <f>SUM(N10,S10)</f>
        <v>0</v>
      </c>
      <c r="J10" s="24"/>
      <c r="K10" s="23"/>
      <c r="L10" s="23"/>
      <c r="M10" s="14">
        <v>0</v>
      </c>
      <c r="N10" s="23">
        <v>0</v>
      </c>
      <c r="O10" s="23"/>
      <c r="P10" s="23"/>
      <c r="Q10" s="23"/>
      <c r="R10" s="14">
        <v>0</v>
      </c>
      <c r="S10" s="23"/>
      <c r="T10" s="23"/>
      <c r="U10" s="23"/>
      <c r="V10" s="23"/>
      <c r="W10" s="14">
        <v>0</v>
      </c>
      <c r="X10" s="23"/>
    </row>
    <row r="11" spans="1:24" s="7" customFormat="1" ht="9.75" x14ac:dyDescent="0.2">
      <c r="A11" s="11" t="s">
        <v>25</v>
      </c>
      <c r="B11" s="753" t="s">
        <v>26</v>
      </c>
      <c r="C11" s="753"/>
      <c r="D11" s="12" t="s">
        <v>16</v>
      </c>
      <c r="E11" s="13">
        <f t="shared" ref="E11:J11" si="9">SUM(E12:E32)</f>
        <v>52432310</v>
      </c>
      <c r="F11" s="13">
        <f t="shared" si="9"/>
        <v>53394045</v>
      </c>
      <c r="G11" s="13">
        <f t="shared" si="9"/>
        <v>27594296</v>
      </c>
      <c r="H11" s="13">
        <v>0</v>
      </c>
      <c r="I11" s="13">
        <f t="shared" si="9"/>
        <v>23726017</v>
      </c>
      <c r="J11" s="13">
        <f t="shared" si="9"/>
        <v>10439000</v>
      </c>
      <c r="K11" s="13">
        <f>SUM(K12:K32)</f>
        <v>10499500</v>
      </c>
      <c r="L11" s="13">
        <f t="shared" ref="L11:X11" si="10">SUM(L12:L32)</f>
        <v>5884889</v>
      </c>
      <c r="M11" s="13">
        <f t="shared" si="10"/>
        <v>890.11411905657189</v>
      </c>
      <c r="N11" s="13">
        <f t="shared" si="10"/>
        <v>5320727</v>
      </c>
      <c r="O11" s="13">
        <f t="shared" si="10"/>
        <v>41993310</v>
      </c>
      <c r="P11" s="13">
        <f t="shared" si="10"/>
        <v>42894545</v>
      </c>
      <c r="Q11" s="13">
        <f t="shared" si="10"/>
        <v>21709407</v>
      </c>
      <c r="R11" s="13">
        <v>0</v>
      </c>
      <c r="S11" s="13">
        <f t="shared" si="10"/>
        <v>18405290</v>
      </c>
      <c r="T11" s="13">
        <f t="shared" si="10"/>
        <v>726000</v>
      </c>
      <c r="U11" s="13">
        <f t="shared" si="10"/>
        <v>726000</v>
      </c>
      <c r="V11" s="13">
        <f t="shared" si="10"/>
        <v>363995</v>
      </c>
      <c r="W11" s="13">
        <v>0</v>
      </c>
      <c r="X11" s="13">
        <f t="shared" si="10"/>
        <v>318573</v>
      </c>
    </row>
    <row r="12" spans="1:24" s="7" customFormat="1" ht="9.75" x14ac:dyDescent="0.2">
      <c r="A12" s="15" t="s">
        <v>27</v>
      </c>
      <c r="B12" s="750" t="s">
        <v>28</v>
      </c>
      <c r="C12" s="750"/>
      <c r="D12" s="16" t="s">
        <v>16</v>
      </c>
      <c r="E12" s="17">
        <f t="shared" ref="E12:I29" si="11">SUM(J12,O12)</f>
        <v>5230760</v>
      </c>
      <c r="F12" s="17">
        <f t="shared" si="11"/>
        <v>5301360</v>
      </c>
      <c r="G12" s="17">
        <f t="shared" si="11"/>
        <v>3272276</v>
      </c>
      <c r="H12" s="18">
        <f t="shared" si="0"/>
        <v>61.725217679991552</v>
      </c>
      <c r="I12" s="17">
        <f t="shared" si="11"/>
        <v>2908888</v>
      </c>
      <c r="J12" s="44">
        <v>5012150</v>
      </c>
      <c r="K12" s="25">
        <f>5012150+10600+60000</f>
        <v>5082750</v>
      </c>
      <c r="L12" s="25">
        <v>3106566</v>
      </c>
      <c r="M12" s="18">
        <f t="shared" si="2"/>
        <v>61.119787516600269</v>
      </c>
      <c r="N12" s="25">
        <v>2756328</v>
      </c>
      <c r="O12" s="25">
        <v>218610</v>
      </c>
      <c r="P12" s="25">
        <v>218610</v>
      </c>
      <c r="Q12" s="25">
        <v>165710</v>
      </c>
      <c r="R12" s="18">
        <f t="shared" si="4"/>
        <v>75.80165591692969</v>
      </c>
      <c r="S12" s="25">
        <v>152560</v>
      </c>
      <c r="T12" s="25">
        <v>77000</v>
      </c>
      <c r="U12" s="25">
        <v>77000</v>
      </c>
      <c r="V12" s="25">
        <v>45056</v>
      </c>
      <c r="W12" s="18">
        <f t="shared" si="6"/>
        <v>58.51428571428572</v>
      </c>
      <c r="X12" s="25">
        <v>20967</v>
      </c>
    </row>
    <row r="13" spans="1:24" s="7" customFormat="1" ht="9.75" x14ac:dyDescent="0.2">
      <c r="A13" s="15" t="s">
        <v>29</v>
      </c>
      <c r="B13" s="750" t="s">
        <v>30</v>
      </c>
      <c r="C13" s="750"/>
      <c r="D13" s="16" t="s">
        <v>16</v>
      </c>
      <c r="E13" s="17">
        <f t="shared" si="11"/>
        <v>2531000</v>
      </c>
      <c r="F13" s="17">
        <f t="shared" si="11"/>
        <v>2531000</v>
      </c>
      <c r="G13" s="17">
        <f t="shared" si="11"/>
        <v>1231303</v>
      </c>
      <c r="H13" s="18">
        <f t="shared" si="0"/>
        <v>48.648873962860527</v>
      </c>
      <c r="I13" s="17">
        <f t="shared" si="11"/>
        <v>1301885</v>
      </c>
      <c r="J13" s="44">
        <v>2531000</v>
      </c>
      <c r="K13" s="17">
        <v>2531000</v>
      </c>
      <c r="L13" s="17">
        <v>1231303</v>
      </c>
      <c r="M13" s="18">
        <f t="shared" si="2"/>
        <v>48.648873962860527</v>
      </c>
      <c r="N13" s="17">
        <v>1301885</v>
      </c>
      <c r="O13" s="17"/>
      <c r="P13" s="17"/>
      <c r="Q13" s="17"/>
      <c r="R13" s="18">
        <v>0</v>
      </c>
      <c r="S13" s="17"/>
      <c r="T13" s="17">
        <v>354000</v>
      </c>
      <c r="U13" s="17">
        <v>354000</v>
      </c>
      <c r="V13" s="17">
        <v>144679</v>
      </c>
      <c r="W13" s="18">
        <f t="shared" si="6"/>
        <v>40.869774011299434</v>
      </c>
      <c r="X13" s="17">
        <v>174627</v>
      </c>
    </row>
    <row r="14" spans="1:24" s="7" customFormat="1" ht="9.75" x14ac:dyDescent="0.2">
      <c r="A14" s="99" t="s">
        <v>31</v>
      </c>
      <c r="B14" s="100" t="s">
        <v>32</v>
      </c>
      <c r="C14" s="100"/>
      <c r="D14" s="101" t="s">
        <v>16</v>
      </c>
      <c r="E14" s="102">
        <f t="shared" si="11"/>
        <v>0</v>
      </c>
      <c r="F14" s="102">
        <f t="shared" si="11"/>
        <v>-10600</v>
      </c>
      <c r="G14" s="102">
        <f t="shared" si="11"/>
        <v>-10600</v>
      </c>
      <c r="H14" s="103">
        <f t="shared" si="0"/>
        <v>100</v>
      </c>
      <c r="I14" s="102">
        <f t="shared" si="11"/>
        <v>0</v>
      </c>
      <c r="J14" s="104"/>
      <c r="K14" s="102">
        <v>-10600</v>
      </c>
      <c r="L14" s="102">
        <v>-10600</v>
      </c>
      <c r="M14" s="103">
        <f t="shared" si="2"/>
        <v>100</v>
      </c>
      <c r="N14" s="102"/>
      <c r="O14" s="102"/>
      <c r="P14" s="102"/>
      <c r="Q14" s="102"/>
      <c r="R14" s="103">
        <v>0</v>
      </c>
      <c r="S14" s="102"/>
      <c r="T14" s="102"/>
      <c r="U14" s="102"/>
      <c r="V14" s="102"/>
      <c r="W14" s="103">
        <v>0</v>
      </c>
      <c r="X14" s="102"/>
    </row>
    <row r="15" spans="1:24" s="7" customFormat="1" ht="9.75" x14ac:dyDescent="0.2">
      <c r="A15" s="15" t="s">
        <v>33</v>
      </c>
      <c r="B15" s="750" t="s">
        <v>34</v>
      </c>
      <c r="C15" s="750"/>
      <c r="D15" s="16" t="s">
        <v>16</v>
      </c>
      <c r="E15" s="17">
        <f t="shared" si="11"/>
        <v>669000</v>
      </c>
      <c r="F15" s="17">
        <f t="shared" si="11"/>
        <v>638000</v>
      </c>
      <c r="G15" s="17">
        <f t="shared" si="11"/>
        <v>301894</v>
      </c>
      <c r="H15" s="18">
        <f t="shared" si="0"/>
        <v>47.318808777429467</v>
      </c>
      <c r="I15" s="17">
        <f t="shared" si="11"/>
        <v>117494</v>
      </c>
      <c r="J15" s="44">
        <v>669000</v>
      </c>
      <c r="K15" s="17">
        <f>669000-31000</f>
        <v>638000</v>
      </c>
      <c r="L15" s="17">
        <v>301894</v>
      </c>
      <c r="M15" s="18">
        <f t="shared" si="2"/>
        <v>47.318808777429467</v>
      </c>
      <c r="N15" s="17">
        <v>117494</v>
      </c>
      <c r="O15" s="17"/>
      <c r="P15" s="17"/>
      <c r="Q15" s="17"/>
      <c r="R15" s="18">
        <v>0</v>
      </c>
      <c r="S15" s="17"/>
      <c r="T15" s="17">
        <v>50000</v>
      </c>
      <c r="U15" s="17">
        <v>50000</v>
      </c>
      <c r="V15" s="17">
        <v>43871</v>
      </c>
      <c r="W15" s="18">
        <f t="shared" si="6"/>
        <v>87.742000000000004</v>
      </c>
      <c r="X15" s="17">
        <v>5880</v>
      </c>
    </row>
    <row r="16" spans="1:24" s="7" customFormat="1" ht="9.75" x14ac:dyDescent="0.2">
      <c r="A16" s="15" t="s">
        <v>35</v>
      </c>
      <c r="B16" s="750" t="s">
        <v>36</v>
      </c>
      <c r="C16" s="750"/>
      <c r="D16" s="16" t="s">
        <v>16</v>
      </c>
      <c r="E16" s="17">
        <f t="shared" si="11"/>
        <v>96000</v>
      </c>
      <c r="F16" s="17">
        <f t="shared" si="11"/>
        <v>96000</v>
      </c>
      <c r="G16" s="17">
        <f t="shared" si="11"/>
        <v>83329</v>
      </c>
      <c r="H16" s="18">
        <f t="shared" si="0"/>
        <v>86.801041666666663</v>
      </c>
      <c r="I16" s="17">
        <f t="shared" si="11"/>
        <v>70746</v>
      </c>
      <c r="J16" s="44">
        <v>6000</v>
      </c>
      <c r="K16" s="17">
        <v>6000</v>
      </c>
      <c r="L16" s="17">
        <v>1494</v>
      </c>
      <c r="M16" s="18">
        <f t="shared" si="2"/>
        <v>24.9</v>
      </c>
      <c r="N16" s="17">
        <v>5777</v>
      </c>
      <c r="O16" s="17">
        <v>90000</v>
      </c>
      <c r="P16" s="17">
        <v>90000</v>
      </c>
      <c r="Q16" s="17">
        <v>81835</v>
      </c>
      <c r="R16" s="18">
        <f t="shared" si="4"/>
        <v>90.927777777777777</v>
      </c>
      <c r="S16" s="17">
        <v>64969</v>
      </c>
      <c r="T16" s="17"/>
      <c r="U16" s="17"/>
      <c r="V16" s="17"/>
      <c r="W16" s="18">
        <v>0</v>
      </c>
      <c r="X16" s="17"/>
    </row>
    <row r="17" spans="1:24" s="7" customFormat="1" ht="9.75" x14ac:dyDescent="0.2">
      <c r="A17" s="15" t="s">
        <v>37</v>
      </c>
      <c r="B17" s="21" t="s">
        <v>38</v>
      </c>
      <c r="C17" s="21"/>
      <c r="D17" s="16" t="s">
        <v>16</v>
      </c>
      <c r="E17" s="17">
        <f t="shared" si="11"/>
        <v>8000</v>
      </c>
      <c r="F17" s="17">
        <f t="shared" si="11"/>
        <v>8000</v>
      </c>
      <c r="G17" s="17">
        <f t="shared" si="11"/>
        <v>4754</v>
      </c>
      <c r="H17" s="18">
        <f t="shared" si="0"/>
        <v>59.424999999999997</v>
      </c>
      <c r="I17" s="17">
        <f t="shared" si="11"/>
        <v>3765</v>
      </c>
      <c r="J17" s="44">
        <v>8000</v>
      </c>
      <c r="K17" s="17">
        <v>8000</v>
      </c>
      <c r="L17" s="17">
        <v>4754</v>
      </c>
      <c r="M17" s="18">
        <f t="shared" si="2"/>
        <v>59.424999999999997</v>
      </c>
      <c r="N17" s="17">
        <v>3765</v>
      </c>
      <c r="O17" s="17"/>
      <c r="P17" s="17"/>
      <c r="Q17" s="17"/>
      <c r="R17" s="18">
        <v>0</v>
      </c>
      <c r="S17" s="17"/>
      <c r="T17" s="17"/>
      <c r="U17" s="17"/>
      <c r="V17" s="17"/>
      <c r="W17" s="18">
        <v>0</v>
      </c>
      <c r="X17" s="17"/>
    </row>
    <row r="18" spans="1:24" s="7" customFormat="1" ht="9.75" x14ac:dyDescent="0.2">
      <c r="A18" s="15" t="s">
        <v>39</v>
      </c>
      <c r="B18" s="750" t="s">
        <v>40</v>
      </c>
      <c r="C18" s="750"/>
      <c r="D18" s="16" t="s">
        <v>16</v>
      </c>
      <c r="E18" s="17">
        <f t="shared" si="11"/>
        <v>692000</v>
      </c>
      <c r="F18" s="17">
        <f t="shared" si="11"/>
        <v>692000</v>
      </c>
      <c r="G18" s="17">
        <f t="shared" si="11"/>
        <v>368126</v>
      </c>
      <c r="H18" s="18">
        <f t="shared" si="0"/>
        <v>53.197398843930635</v>
      </c>
      <c r="I18" s="17">
        <f t="shared" si="11"/>
        <v>297851</v>
      </c>
      <c r="J18" s="44">
        <v>602000</v>
      </c>
      <c r="K18" s="17">
        <v>602000</v>
      </c>
      <c r="L18" s="17">
        <v>298377</v>
      </c>
      <c r="M18" s="18">
        <f t="shared" si="2"/>
        <v>49.564285714285717</v>
      </c>
      <c r="N18" s="17">
        <v>266521</v>
      </c>
      <c r="O18" s="17">
        <v>90000</v>
      </c>
      <c r="P18" s="17">
        <v>90000</v>
      </c>
      <c r="Q18" s="17">
        <v>69749</v>
      </c>
      <c r="R18" s="18">
        <f t="shared" si="4"/>
        <v>77.498888888888885</v>
      </c>
      <c r="S18" s="17">
        <v>31330</v>
      </c>
      <c r="T18" s="17">
        <v>56000</v>
      </c>
      <c r="U18" s="17">
        <v>56000</v>
      </c>
      <c r="V18" s="17">
        <v>26831</v>
      </c>
      <c r="W18" s="18">
        <f t="shared" si="6"/>
        <v>47.912500000000001</v>
      </c>
      <c r="X18" s="17">
        <v>20300</v>
      </c>
    </row>
    <row r="19" spans="1:24" s="28" customFormat="1" ht="9.75" x14ac:dyDescent="0.2">
      <c r="A19" s="99" t="s">
        <v>41</v>
      </c>
      <c r="B19" s="1142" t="s">
        <v>42</v>
      </c>
      <c r="C19" s="1142"/>
      <c r="D19" s="101" t="s">
        <v>16</v>
      </c>
      <c r="E19" s="102">
        <f t="shared" si="11"/>
        <v>30685650</v>
      </c>
      <c r="F19" s="102">
        <f t="shared" si="11"/>
        <v>31586885</v>
      </c>
      <c r="G19" s="102">
        <f t="shared" si="11"/>
        <v>15916461</v>
      </c>
      <c r="H19" s="103">
        <f t="shared" si="0"/>
        <v>50.389460689143604</v>
      </c>
      <c r="I19" s="102">
        <f t="shared" si="11"/>
        <v>13485631</v>
      </c>
      <c r="J19" s="105">
        <v>263150</v>
      </c>
      <c r="K19" s="102">
        <v>263150</v>
      </c>
      <c r="L19" s="102">
        <v>189051</v>
      </c>
      <c r="M19" s="103">
        <f t="shared" si="2"/>
        <v>71.84153524605739</v>
      </c>
      <c r="N19" s="102">
        <v>172042</v>
      </c>
      <c r="O19" s="102">
        <v>30422500</v>
      </c>
      <c r="P19" s="102">
        <v>31323735</v>
      </c>
      <c r="Q19" s="102">
        <v>15727410</v>
      </c>
      <c r="R19" s="103">
        <f t="shared" si="4"/>
        <v>50.209242288635117</v>
      </c>
      <c r="S19" s="102">
        <v>13313589</v>
      </c>
      <c r="T19" s="106">
        <v>72000</v>
      </c>
      <c r="U19" s="106">
        <v>72000</v>
      </c>
      <c r="V19" s="106">
        <v>50802</v>
      </c>
      <c r="W19" s="103">
        <f t="shared" si="6"/>
        <v>70.558333333333337</v>
      </c>
      <c r="X19" s="106">
        <v>39652</v>
      </c>
    </row>
    <row r="20" spans="1:24" s="7" customFormat="1" ht="9.75" x14ac:dyDescent="0.2">
      <c r="A20" s="99" t="s">
        <v>43</v>
      </c>
      <c r="B20" s="1142" t="s">
        <v>44</v>
      </c>
      <c r="C20" s="1142"/>
      <c r="D20" s="101" t="s">
        <v>16</v>
      </c>
      <c r="E20" s="102">
        <f t="shared" si="11"/>
        <v>10337800</v>
      </c>
      <c r="F20" s="102">
        <f t="shared" si="11"/>
        <v>10361800</v>
      </c>
      <c r="G20" s="102">
        <f t="shared" si="11"/>
        <v>5373726</v>
      </c>
      <c r="H20" s="103">
        <f t="shared" si="0"/>
        <v>51.860931498388311</v>
      </c>
      <c r="I20" s="102">
        <f t="shared" si="11"/>
        <v>4558327</v>
      </c>
      <c r="J20" s="104">
        <v>35600</v>
      </c>
      <c r="K20" s="102">
        <v>35600</v>
      </c>
      <c r="L20" s="102">
        <v>32282</v>
      </c>
      <c r="M20" s="103">
        <f t="shared" si="2"/>
        <v>90.67977528089888</v>
      </c>
      <c r="N20" s="102">
        <v>17070</v>
      </c>
      <c r="O20" s="102">
        <f>10175200+127000</f>
        <v>10302200</v>
      </c>
      <c r="P20" s="102">
        <v>10326200</v>
      </c>
      <c r="Q20" s="102">
        <v>5341444</v>
      </c>
      <c r="R20" s="103">
        <f t="shared" si="4"/>
        <v>51.727101934884075</v>
      </c>
      <c r="S20" s="102">
        <v>4541257</v>
      </c>
      <c r="T20" s="102"/>
      <c r="U20" s="102"/>
      <c r="V20" s="102"/>
      <c r="W20" s="103">
        <v>0</v>
      </c>
      <c r="X20" s="102"/>
    </row>
    <row r="21" spans="1:24" s="7" customFormat="1" ht="9.75" x14ac:dyDescent="0.2">
      <c r="A21" s="99" t="s">
        <v>45</v>
      </c>
      <c r="B21" s="1142" t="s">
        <v>46</v>
      </c>
      <c r="C21" s="1142"/>
      <c r="D21" s="101" t="s">
        <v>16</v>
      </c>
      <c r="E21" s="102">
        <f t="shared" si="11"/>
        <v>680500</v>
      </c>
      <c r="F21" s="102">
        <f t="shared" si="11"/>
        <v>656500</v>
      </c>
      <c r="G21" s="102">
        <f t="shared" si="11"/>
        <v>327668</v>
      </c>
      <c r="H21" s="103">
        <f t="shared" si="0"/>
        <v>49.911348057882712</v>
      </c>
      <c r="I21" s="102">
        <f t="shared" si="11"/>
        <v>287471</v>
      </c>
      <c r="J21" s="104">
        <v>10500</v>
      </c>
      <c r="K21" s="102">
        <v>10500</v>
      </c>
      <c r="L21" s="102">
        <v>4409</v>
      </c>
      <c r="M21" s="103">
        <f t="shared" si="2"/>
        <v>41.990476190476187</v>
      </c>
      <c r="N21" s="102">
        <v>5875</v>
      </c>
      <c r="O21" s="102">
        <v>670000</v>
      </c>
      <c r="P21" s="102">
        <v>646000</v>
      </c>
      <c r="Q21" s="102">
        <v>323259</v>
      </c>
      <c r="R21" s="103">
        <f t="shared" si="4"/>
        <v>50.040092879256967</v>
      </c>
      <c r="S21" s="102">
        <v>281596</v>
      </c>
      <c r="T21" s="102"/>
      <c r="U21" s="102"/>
      <c r="V21" s="102"/>
      <c r="W21" s="103">
        <v>0</v>
      </c>
      <c r="X21" s="102"/>
    </row>
    <row r="22" spans="1:24" s="7" customFormat="1" ht="9.75" x14ac:dyDescent="0.2">
      <c r="A22" s="15" t="s">
        <v>47</v>
      </c>
      <c r="B22" s="750" t="s">
        <v>48</v>
      </c>
      <c r="C22" s="750"/>
      <c r="D22" s="16" t="s">
        <v>16</v>
      </c>
      <c r="E22" s="17">
        <f t="shared" si="11"/>
        <v>0</v>
      </c>
      <c r="F22" s="17">
        <f t="shared" si="11"/>
        <v>0</v>
      </c>
      <c r="G22" s="17">
        <f t="shared" si="11"/>
        <v>0</v>
      </c>
      <c r="H22" s="18">
        <v>0</v>
      </c>
      <c r="I22" s="17">
        <f t="shared" si="11"/>
        <v>0</v>
      </c>
      <c r="J22" s="44"/>
      <c r="K22" s="17"/>
      <c r="L22" s="17"/>
      <c r="M22" s="18">
        <v>0</v>
      </c>
      <c r="N22" s="17"/>
      <c r="O22" s="17"/>
      <c r="P22" s="17"/>
      <c r="Q22" s="17"/>
      <c r="R22" s="18">
        <v>0</v>
      </c>
      <c r="S22" s="17"/>
      <c r="T22" s="17"/>
      <c r="U22" s="17"/>
      <c r="V22" s="17"/>
      <c r="W22" s="18">
        <v>0</v>
      </c>
      <c r="X22" s="17"/>
    </row>
    <row r="23" spans="1:24" s="7" customFormat="1" ht="9.75" x14ac:dyDescent="0.2">
      <c r="A23" s="15" t="s">
        <v>49</v>
      </c>
      <c r="B23" s="21" t="s">
        <v>50</v>
      </c>
      <c r="C23" s="21"/>
      <c r="D23" s="16" t="s">
        <v>16</v>
      </c>
      <c r="E23" s="17">
        <f t="shared" si="11"/>
        <v>0</v>
      </c>
      <c r="F23" s="17">
        <f t="shared" si="11"/>
        <v>0</v>
      </c>
      <c r="G23" s="17">
        <f t="shared" si="11"/>
        <v>0</v>
      </c>
      <c r="H23" s="18">
        <v>0</v>
      </c>
      <c r="I23" s="17">
        <f t="shared" si="11"/>
        <v>0</v>
      </c>
      <c r="J23" s="44"/>
      <c r="K23" s="17"/>
      <c r="L23" s="17"/>
      <c r="M23" s="18">
        <v>0</v>
      </c>
      <c r="N23" s="17"/>
      <c r="O23" s="17"/>
      <c r="P23" s="17"/>
      <c r="Q23" s="17"/>
      <c r="R23" s="18">
        <v>0</v>
      </c>
      <c r="S23" s="17"/>
      <c r="T23" s="17"/>
      <c r="U23" s="17"/>
      <c r="V23" s="17"/>
      <c r="W23" s="18">
        <v>0</v>
      </c>
      <c r="X23" s="17"/>
    </row>
    <row r="24" spans="1:24" s="7" customFormat="1" ht="9.75" x14ac:dyDescent="0.2">
      <c r="A24" s="15" t="s">
        <v>51</v>
      </c>
      <c r="B24" s="21" t="s">
        <v>52</v>
      </c>
      <c r="C24" s="21"/>
      <c r="D24" s="16" t="s">
        <v>16</v>
      </c>
      <c r="E24" s="17">
        <f t="shared" si="11"/>
        <v>0</v>
      </c>
      <c r="F24" s="17">
        <f t="shared" si="11"/>
        <v>0</v>
      </c>
      <c r="G24" s="17">
        <f t="shared" si="11"/>
        <v>0</v>
      </c>
      <c r="H24" s="18">
        <v>0</v>
      </c>
      <c r="I24" s="17">
        <f t="shared" si="11"/>
        <v>0</v>
      </c>
      <c r="J24" s="44"/>
      <c r="K24" s="17"/>
      <c r="L24" s="17"/>
      <c r="M24" s="18">
        <v>0</v>
      </c>
      <c r="N24" s="17"/>
      <c r="O24" s="17"/>
      <c r="P24" s="17"/>
      <c r="Q24" s="17"/>
      <c r="R24" s="18">
        <v>0</v>
      </c>
      <c r="S24" s="17"/>
      <c r="T24" s="17"/>
      <c r="U24" s="17"/>
      <c r="V24" s="17"/>
      <c r="W24" s="18">
        <v>0</v>
      </c>
      <c r="X24" s="17"/>
    </row>
    <row r="25" spans="1:24" s="7" customFormat="1" ht="9.75" x14ac:dyDescent="0.2">
      <c r="A25" s="15" t="s">
        <v>53</v>
      </c>
      <c r="B25" s="21" t="s">
        <v>54</v>
      </c>
      <c r="C25" s="21"/>
      <c r="D25" s="16" t="s">
        <v>16</v>
      </c>
      <c r="E25" s="17">
        <f t="shared" si="11"/>
        <v>25000</v>
      </c>
      <c r="F25" s="17">
        <f t="shared" si="11"/>
        <v>25000</v>
      </c>
      <c r="G25" s="17">
        <f t="shared" si="11"/>
        <v>9265</v>
      </c>
      <c r="H25" s="18">
        <f t="shared" ref="H25" si="12">G25/F25*100</f>
        <v>37.059999999999995</v>
      </c>
      <c r="I25" s="17">
        <f t="shared" si="11"/>
        <v>10570</v>
      </c>
      <c r="J25" s="44">
        <v>25000</v>
      </c>
      <c r="K25" s="25">
        <v>25000</v>
      </c>
      <c r="L25" s="25">
        <v>9265</v>
      </c>
      <c r="M25" s="18">
        <f t="shared" ref="M25" si="13">L25/K25*100</f>
        <v>37.059999999999995</v>
      </c>
      <c r="N25" s="25">
        <v>10570</v>
      </c>
      <c r="O25" s="25"/>
      <c r="P25" s="25"/>
      <c r="Q25" s="25"/>
      <c r="R25" s="18">
        <v>0</v>
      </c>
      <c r="S25" s="25"/>
      <c r="T25" s="25"/>
      <c r="U25" s="25"/>
      <c r="V25" s="25"/>
      <c r="W25" s="18">
        <v>0</v>
      </c>
      <c r="X25" s="25"/>
    </row>
    <row r="26" spans="1:24" s="30" customFormat="1" ht="9.75" x14ac:dyDescent="0.2">
      <c r="A26" s="99" t="s">
        <v>55</v>
      </c>
      <c r="B26" s="1142" t="s">
        <v>56</v>
      </c>
      <c r="C26" s="1142"/>
      <c r="D26" s="101" t="s">
        <v>16</v>
      </c>
      <c r="E26" s="102">
        <f t="shared" si="11"/>
        <v>1039000</v>
      </c>
      <c r="F26" s="102">
        <f t="shared" si="11"/>
        <v>1039000</v>
      </c>
      <c r="G26" s="102">
        <f t="shared" si="11"/>
        <v>531923</v>
      </c>
      <c r="H26" s="107">
        <f>G26/F26*100</f>
        <v>51.195668912415783</v>
      </c>
      <c r="I26" s="102">
        <f>SUM(N26,S26)</f>
        <v>517002</v>
      </c>
      <c r="J26" s="104">
        <v>1039000</v>
      </c>
      <c r="K26" s="102">
        <v>1039000</v>
      </c>
      <c r="L26" s="102">
        <v>531923</v>
      </c>
      <c r="M26" s="103">
        <f>L26/K26*100</f>
        <v>51.195668912415783</v>
      </c>
      <c r="N26" s="102">
        <v>517002</v>
      </c>
      <c r="O26" s="102"/>
      <c r="P26" s="102"/>
      <c r="Q26" s="102"/>
      <c r="R26" s="18">
        <v>0</v>
      </c>
      <c r="S26" s="102"/>
      <c r="T26" s="108">
        <v>117000</v>
      </c>
      <c r="U26" s="108">
        <v>117000</v>
      </c>
      <c r="V26" s="108">
        <v>52756</v>
      </c>
      <c r="W26" s="103">
        <f>V26/U26*100</f>
        <v>45.090598290598287</v>
      </c>
      <c r="X26" s="108">
        <v>54138</v>
      </c>
    </row>
    <row r="27" spans="1:24" s="30" customFormat="1" ht="9.75" x14ac:dyDescent="0.2">
      <c r="A27" s="99" t="s">
        <v>57</v>
      </c>
      <c r="B27" s="100" t="s">
        <v>58</v>
      </c>
      <c r="C27" s="100"/>
      <c r="D27" s="101" t="s">
        <v>16</v>
      </c>
      <c r="E27" s="102">
        <f t="shared" si="11"/>
        <v>0</v>
      </c>
      <c r="F27" s="102">
        <f t="shared" si="11"/>
        <v>0</v>
      </c>
      <c r="G27" s="102">
        <f t="shared" si="11"/>
        <v>0</v>
      </c>
      <c r="H27" s="107">
        <v>0</v>
      </c>
      <c r="I27" s="102">
        <f t="shared" si="11"/>
        <v>0</v>
      </c>
      <c r="J27" s="104"/>
      <c r="K27" s="102"/>
      <c r="L27" s="102"/>
      <c r="M27" s="103">
        <v>0</v>
      </c>
      <c r="N27" s="102"/>
      <c r="O27" s="102"/>
      <c r="P27" s="102"/>
      <c r="Q27" s="102"/>
      <c r="R27" s="18">
        <v>0</v>
      </c>
      <c r="S27" s="102"/>
      <c r="T27" s="109"/>
      <c r="U27" s="109"/>
      <c r="V27" s="109"/>
      <c r="W27" s="103">
        <v>0</v>
      </c>
      <c r="X27" s="109"/>
    </row>
    <row r="28" spans="1:24" s="30" customFormat="1" ht="9.75" x14ac:dyDescent="0.2">
      <c r="A28" s="99" t="s">
        <v>59</v>
      </c>
      <c r="B28" s="100" t="s">
        <v>60</v>
      </c>
      <c r="C28" s="100"/>
      <c r="D28" s="101" t="s">
        <v>16</v>
      </c>
      <c r="E28" s="102">
        <f>SUM(J28,O28)</f>
        <v>436000</v>
      </c>
      <c r="F28" s="102">
        <f>SUM(K28,P28)</f>
        <v>436000</v>
      </c>
      <c r="G28" s="102">
        <f>SUM(L28,Q28)</f>
        <v>151496</v>
      </c>
      <c r="H28" s="107">
        <f>G28/F28*100</f>
        <v>34.746788990825692</v>
      </c>
      <c r="I28" s="102">
        <f>SUM(N28,S28)</f>
        <v>115955</v>
      </c>
      <c r="J28" s="104">
        <v>236000</v>
      </c>
      <c r="K28" s="102">
        <v>236000</v>
      </c>
      <c r="L28" s="102">
        <v>151496</v>
      </c>
      <c r="M28" s="103">
        <f>L28/K28*100</f>
        <v>64.193220338983053</v>
      </c>
      <c r="N28" s="102">
        <v>95966</v>
      </c>
      <c r="O28" s="102">
        <v>200000</v>
      </c>
      <c r="P28" s="102">
        <v>200000</v>
      </c>
      <c r="Q28" s="102"/>
      <c r="R28" s="18">
        <v>0</v>
      </c>
      <c r="S28" s="102">
        <v>19989</v>
      </c>
      <c r="T28" s="109"/>
      <c r="U28" s="109"/>
      <c r="V28" s="109"/>
      <c r="W28" s="103">
        <v>0</v>
      </c>
      <c r="X28" s="109"/>
    </row>
    <row r="29" spans="1:24" s="31" customFormat="1" ht="9.75" x14ac:dyDescent="0.2">
      <c r="A29" s="15" t="s">
        <v>61</v>
      </c>
      <c r="B29" s="21" t="s">
        <v>62</v>
      </c>
      <c r="C29" s="21"/>
      <c r="D29" s="16" t="s">
        <v>16</v>
      </c>
      <c r="E29" s="17">
        <f t="shared" si="11"/>
        <v>1600</v>
      </c>
      <c r="F29" s="17">
        <f t="shared" si="11"/>
        <v>32600</v>
      </c>
      <c r="G29" s="17">
        <f t="shared" si="11"/>
        <v>32462</v>
      </c>
      <c r="H29" s="29">
        <f t="shared" si="0"/>
        <v>99.576687116564415</v>
      </c>
      <c r="I29" s="17">
        <f t="shared" si="11"/>
        <v>50069</v>
      </c>
      <c r="J29" s="44">
        <v>1600</v>
      </c>
      <c r="K29" s="26">
        <f>1600+31000</f>
        <v>32600</v>
      </c>
      <c r="L29" s="26">
        <v>32462</v>
      </c>
      <c r="M29" s="18">
        <f t="shared" si="2"/>
        <v>99.576687116564415</v>
      </c>
      <c r="N29" s="26">
        <v>50069</v>
      </c>
      <c r="O29" s="26"/>
      <c r="P29" s="26"/>
      <c r="Q29" s="26"/>
      <c r="R29" s="18">
        <v>0</v>
      </c>
      <c r="S29" s="26"/>
      <c r="T29" s="46"/>
      <c r="U29" s="46"/>
      <c r="V29" s="46"/>
      <c r="W29" s="18">
        <v>0</v>
      </c>
      <c r="X29" s="46"/>
    </row>
    <row r="30" spans="1:24" s="7" customFormat="1" ht="9.75" x14ac:dyDescent="0.2">
      <c r="A30" s="15" t="s">
        <v>63</v>
      </c>
      <c r="B30" s="21" t="s">
        <v>64</v>
      </c>
      <c r="C30" s="21"/>
      <c r="D30" s="16" t="s">
        <v>16</v>
      </c>
      <c r="E30" s="17">
        <f t="shared" ref="E30:G31" si="14">SUM(J30,O30)</f>
        <v>0</v>
      </c>
      <c r="F30" s="17">
        <f t="shared" si="14"/>
        <v>0</v>
      </c>
      <c r="G30" s="17">
        <f t="shared" si="14"/>
        <v>0</v>
      </c>
      <c r="H30" s="29">
        <v>0</v>
      </c>
      <c r="I30" s="17">
        <f>SUM(N30,S30)</f>
        <v>0</v>
      </c>
      <c r="J30" s="44"/>
      <c r="K30" s="26"/>
      <c r="L30" s="26"/>
      <c r="M30" s="18">
        <v>0</v>
      </c>
      <c r="N30" s="26"/>
      <c r="O30" s="26"/>
      <c r="P30" s="26"/>
      <c r="Q30" s="26"/>
      <c r="R30" s="18">
        <v>0</v>
      </c>
      <c r="S30" s="26"/>
      <c r="T30" s="46"/>
      <c r="U30" s="46"/>
      <c r="V30" s="46"/>
      <c r="W30" s="18">
        <v>0</v>
      </c>
      <c r="X30" s="46"/>
    </row>
    <row r="31" spans="1:24" s="34" customFormat="1" ht="9.75" x14ac:dyDescent="0.2">
      <c r="A31" s="15" t="s">
        <v>65</v>
      </c>
      <c r="B31" s="21" t="s">
        <v>66</v>
      </c>
      <c r="C31" s="21"/>
      <c r="D31" s="16" t="s">
        <v>16</v>
      </c>
      <c r="E31" s="17">
        <f t="shared" si="14"/>
        <v>0</v>
      </c>
      <c r="F31" s="17">
        <f t="shared" si="14"/>
        <v>0</v>
      </c>
      <c r="G31" s="17">
        <f t="shared" si="14"/>
        <v>0</v>
      </c>
      <c r="H31" s="29">
        <v>0</v>
      </c>
      <c r="I31" s="17">
        <f>SUM(N31,S31)</f>
        <v>0</v>
      </c>
      <c r="J31" s="44"/>
      <c r="K31" s="32"/>
      <c r="L31" s="32"/>
      <c r="M31" s="18">
        <v>0</v>
      </c>
      <c r="N31" s="32"/>
      <c r="O31" s="32"/>
      <c r="P31" s="32"/>
      <c r="Q31" s="32"/>
      <c r="R31" s="18">
        <v>0</v>
      </c>
      <c r="S31" s="32"/>
      <c r="T31" s="33"/>
      <c r="U31" s="33"/>
      <c r="V31" s="33"/>
      <c r="W31" s="18">
        <v>0</v>
      </c>
      <c r="X31" s="33"/>
    </row>
    <row r="32" spans="1:24" s="34" customFormat="1" ht="9.75" x14ac:dyDescent="0.2">
      <c r="A32" s="15" t="s">
        <v>67</v>
      </c>
      <c r="B32" s="21" t="s">
        <v>68</v>
      </c>
      <c r="C32" s="21"/>
      <c r="D32" s="16" t="s">
        <v>16</v>
      </c>
      <c r="E32" s="17">
        <f>SUM(J32,O32)</f>
        <v>0</v>
      </c>
      <c r="F32" s="17">
        <f>SUM(K32,P32)</f>
        <v>500</v>
      </c>
      <c r="G32" s="17">
        <f>SUM(L32,Q32)</f>
        <v>213</v>
      </c>
      <c r="H32" s="29">
        <f t="shared" si="0"/>
        <v>42.6</v>
      </c>
      <c r="I32" s="17">
        <f>SUM(N32,S32)</f>
        <v>363</v>
      </c>
      <c r="J32" s="47">
        <v>0</v>
      </c>
      <c r="K32" s="33">
        <v>500</v>
      </c>
      <c r="L32" s="33">
        <v>213</v>
      </c>
      <c r="M32" s="18">
        <f t="shared" si="2"/>
        <v>42.6</v>
      </c>
      <c r="N32" s="33">
        <v>363</v>
      </c>
      <c r="O32" s="33"/>
      <c r="P32" s="33"/>
      <c r="Q32" s="33"/>
      <c r="R32" s="18">
        <v>0</v>
      </c>
      <c r="S32" s="33"/>
      <c r="T32" s="33"/>
      <c r="U32" s="33"/>
      <c r="V32" s="33"/>
      <c r="W32" s="18">
        <v>0</v>
      </c>
      <c r="X32" s="33">
        <v>3009</v>
      </c>
    </row>
    <row r="33" spans="1:24" s="34" customFormat="1" ht="9.75" x14ac:dyDescent="0.2">
      <c r="A33" s="11" t="s">
        <v>69</v>
      </c>
      <c r="B33" s="35" t="s">
        <v>70</v>
      </c>
      <c r="C33" s="35"/>
      <c r="D33" s="12" t="s">
        <v>16</v>
      </c>
      <c r="E33" s="13">
        <f>E6-E11</f>
        <v>0</v>
      </c>
      <c r="F33" s="13">
        <f>F6-F11</f>
        <v>0</v>
      </c>
      <c r="G33" s="13">
        <f>G6-G11</f>
        <v>-21092</v>
      </c>
      <c r="H33" s="36">
        <v>0</v>
      </c>
      <c r="I33" s="13">
        <f>I6-I11</f>
        <v>236244</v>
      </c>
      <c r="J33" s="13">
        <f>J6-J11</f>
        <v>0</v>
      </c>
      <c r="K33" s="13">
        <f>K6-K11</f>
        <v>0</v>
      </c>
      <c r="L33" s="13">
        <f>L6-L11</f>
        <v>-21092</v>
      </c>
      <c r="M33" s="14">
        <v>0</v>
      </c>
      <c r="N33" s="13">
        <f>N6-N11</f>
        <v>236244</v>
      </c>
      <c r="O33" s="13">
        <f>O6-O11</f>
        <v>0</v>
      </c>
      <c r="P33" s="13">
        <f>P6-P11</f>
        <v>0</v>
      </c>
      <c r="Q33" s="13">
        <f>Q6-Q11</f>
        <v>0</v>
      </c>
      <c r="R33" s="14">
        <v>0</v>
      </c>
      <c r="S33" s="13">
        <f>S6-S11</f>
        <v>0</v>
      </c>
      <c r="T33" s="13">
        <f>T6-T11</f>
        <v>110000</v>
      </c>
      <c r="U33" s="13">
        <f>U6-U11</f>
        <v>110000</v>
      </c>
      <c r="V33" s="13">
        <f>V6-V11</f>
        <v>224902</v>
      </c>
      <c r="W33" s="14">
        <f t="shared" si="6"/>
        <v>204.45636363636365</v>
      </c>
      <c r="X33" s="13">
        <f>X6-X11</f>
        <v>259487</v>
      </c>
    </row>
    <row r="34" spans="1:24" s="1" customFormat="1" ht="9.75" x14ac:dyDescent="0.2">
      <c r="A34" s="37" t="s">
        <v>71</v>
      </c>
      <c r="B34" s="749" t="s">
        <v>72</v>
      </c>
      <c r="C34" s="749"/>
      <c r="D34" s="38" t="s">
        <v>16</v>
      </c>
      <c r="E34" s="48">
        <f>E19/E35/12</f>
        <v>27794.972826086956</v>
      </c>
      <c r="F34" s="48">
        <f t="shared" ref="F34" si="15">F19/F35/12</f>
        <v>28611.308876811596</v>
      </c>
      <c r="G34" s="48">
        <f>G19/G35/6</f>
        <v>28834.168478260868</v>
      </c>
      <c r="H34" s="29">
        <f t="shared" si="0"/>
        <v>100.77892137828721</v>
      </c>
      <c r="I34" s="48">
        <f>I19/I35/6</f>
        <v>26134.943798449614</v>
      </c>
      <c r="J34" s="39">
        <v>0</v>
      </c>
      <c r="K34" s="39">
        <v>0</v>
      </c>
      <c r="L34" s="39">
        <v>0</v>
      </c>
      <c r="M34" s="14">
        <v>0</v>
      </c>
      <c r="N34" s="48"/>
      <c r="O34" s="48">
        <f>O19/O35/12</f>
        <v>27556.61231884058</v>
      </c>
      <c r="P34" s="48">
        <f t="shared" ref="P34" si="16">P19/P35/12</f>
        <v>28372.948369565216</v>
      </c>
      <c r="Q34" s="48">
        <f>Q19/Q35/6</f>
        <v>28491.684782608692</v>
      </c>
      <c r="R34" s="14">
        <f t="shared" si="4"/>
        <v>100.41848457727023</v>
      </c>
      <c r="S34" s="48">
        <f>S19/S35/6</f>
        <v>25801.529069767439</v>
      </c>
      <c r="T34" s="39"/>
      <c r="U34" s="39"/>
      <c r="V34" s="39"/>
      <c r="W34" s="14">
        <v>0</v>
      </c>
      <c r="X34" s="39"/>
    </row>
    <row r="35" spans="1:24" s="1" customFormat="1" ht="9.75" x14ac:dyDescent="0.2">
      <c r="A35" s="40" t="s">
        <v>73</v>
      </c>
      <c r="B35" s="751" t="s">
        <v>74</v>
      </c>
      <c r="C35" s="751"/>
      <c r="D35" s="40" t="s">
        <v>75</v>
      </c>
      <c r="E35" s="48">
        <v>92</v>
      </c>
      <c r="F35" s="48">
        <v>92</v>
      </c>
      <c r="G35" s="48">
        <v>92</v>
      </c>
      <c r="H35" s="29">
        <f t="shared" si="0"/>
        <v>100</v>
      </c>
      <c r="I35" s="48">
        <v>86</v>
      </c>
      <c r="J35" s="39">
        <v>0</v>
      </c>
      <c r="K35" s="49">
        <v>0</v>
      </c>
      <c r="L35" s="39">
        <v>0</v>
      </c>
      <c r="M35" s="14">
        <v>0</v>
      </c>
      <c r="N35" s="48"/>
      <c r="O35" s="48">
        <v>92</v>
      </c>
      <c r="P35" s="48">
        <v>92</v>
      </c>
      <c r="Q35" s="48">
        <v>92</v>
      </c>
      <c r="R35" s="14">
        <f t="shared" si="4"/>
        <v>100</v>
      </c>
      <c r="S35" s="48">
        <v>86</v>
      </c>
      <c r="T35" s="39"/>
      <c r="U35" s="39"/>
      <c r="V35" s="39"/>
      <c r="W35" s="14">
        <v>0</v>
      </c>
      <c r="X35" s="39"/>
    </row>
    <row r="36" spans="1:24" s="1" customFormat="1" ht="9.75" x14ac:dyDescent="0.2">
      <c r="A36" s="37" t="s">
        <v>76</v>
      </c>
      <c r="B36" s="749" t="s">
        <v>77</v>
      </c>
      <c r="C36" s="749"/>
      <c r="D36" s="38" t="s">
        <v>75</v>
      </c>
      <c r="E36" s="48">
        <v>96</v>
      </c>
      <c r="F36" s="48">
        <v>96</v>
      </c>
      <c r="G36" s="48">
        <v>96</v>
      </c>
      <c r="H36" s="29">
        <f t="shared" si="0"/>
        <v>100</v>
      </c>
      <c r="I36" s="48">
        <v>89</v>
      </c>
      <c r="J36" s="39">
        <v>0</v>
      </c>
      <c r="K36" s="39">
        <v>0</v>
      </c>
      <c r="L36" s="39">
        <v>0</v>
      </c>
      <c r="M36" s="14">
        <v>0</v>
      </c>
      <c r="N36" s="48"/>
      <c r="O36" s="48">
        <v>96</v>
      </c>
      <c r="P36" s="48">
        <v>96</v>
      </c>
      <c r="Q36" s="48">
        <v>96</v>
      </c>
      <c r="R36" s="14">
        <f t="shared" si="4"/>
        <v>100</v>
      </c>
      <c r="S36" s="48">
        <v>89</v>
      </c>
      <c r="T36" s="39"/>
      <c r="U36" s="39"/>
      <c r="V36" s="39"/>
      <c r="W36" s="14">
        <v>0</v>
      </c>
      <c r="X36" s="39"/>
    </row>
  </sheetData>
  <mergeCells count="38">
    <mergeCell ref="A1:X1"/>
    <mergeCell ref="A3:A5"/>
    <mergeCell ref="B3:C5"/>
    <mergeCell ref="D3:D5"/>
    <mergeCell ref="E3:I3"/>
    <mergeCell ref="J3:N3"/>
    <mergeCell ref="O3:S3"/>
    <mergeCell ref="T3:X3"/>
    <mergeCell ref="E4:E5"/>
    <mergeCell ref="F4:H4"/>
    <mergeCell ref="I4:I5"/>
    <mergeCell ref="J4:J5"/>
    <mergeCell ref="X4:X5"/>
    <mergeCell ref="B6:C6"/>
    <mergeCell ref="O4:O5"/>
    <mergeCell ref="P4:R4"/>
    <mergeCell ref="B12:C12"/>
    <mergeCell ref="K4:M4"/>
    <mergeCell ref="N4:N5"/>
    <mergeCell ref="S4:S5"/>
    <mergeCell ref="T4:T5"/>
    <mergeCell ref="U4:W4"/>
    <mergeCell ref="B8:C8"/>
    <mergeCell ref="B10:C10"/>
    <mergeCell ref="B11:C11"/>
    <mergeCell ref="B7:C7"/>
    <mergeCell ref="B13:C13"/>
    <mergeCell ref="B26:C26"/>
    <mergeCell ref="B34:C34"/>
    <mergeCell ref="B35:C35"/>
    <mergeCell ref="B15:C15"/>
    <mergeCell ref="B36:C36"/>
    <mergeCell ref="B16:C16"/>
    <mergeCell ref="B18:C18"/>
    <mergeCell ref="B19:C19"/>
    <mergeCell ref="B20:C20"/>
    <mergeCell ref="B21:C21"/>
    <mergeCell ref="B22:C22"/>
  </mergeCells>
  <pageMargins left="0.70866141732283472" right="0.70866141732283472" top="0.78740157480314965" bottom="0.78740157480314965" header="0.31496062992125984" footer="0.31496062992125984"/>
  <pageSetup paperSize="9" scale="85" firstPageNumber="119" orientation="landscape" useFirstPageNumber="1" r:id="rId1"/>
  <headerFooter>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6"/>
  <sheetViews>
    <sheetView topLeftCell="A43" workbookViewId="0">
      <selection activeCell="C51" sqref="C51"/>
    </sheetView>
  </sheetViews>
  <sheetFormatPr defaultRowHeight="12.75" x14ac:dyDescent="0.2"/>
  <cols>
    <col min="1" max="1" width="33.140625" style="4" customWidth="1"/>
    <col min="2" max="2" width="19.140625" style="4" customWidth="1"/>
    <col min="3" max="5" width="14.7109375" style="4" customWidth="1"/>
    <col min="6" max="7" width="13" style="4" customWidth="1"/>
    <col min="8" max="8" width="18.42578125" style="4" customWidth="1"/>
    <col min="9" max="16384" width="9.140625" style="4"/>
  </cols>
  <sheetData>
    <row r="1" spans="1:9" s="168" customFormat="1" ht="18.75" x14ac:dyDescent="0.3">
      <c r="A1" s="818" t="s">
        <v>86</v>
      </c>
      <c r="B1" s="818"/>
      <c r="C1" s="818"/>
      <c r="D1" s="818"/>
      <c r="E1" s="818"/>
      <c r="F1" s="818"/>
      <c r="G1" s="818"/>
      <c r="H1" s="818"/>
      <c r="I1" s="818"/>
    </row>
    <row r="3" spans="1:9" s="169" customFormat="1" ht="10.5" x14ac:dyDescent="0.15">
      <c r="A3" s="781" t="s">
        <v>99</v>
      </c>
      <c r="B3" s="781"/>
      <c r="C3" s="781"/>
      <c r="D3" s="781"/>
      <c r="E3" s="781"/>
      <c r="F3" s="781"/>
      <c r="G3" s="781"/>
      <c r="H3" s="781"/>
      <c r="I3" s="781"/>
    </row>
    <row r="4" spans="1:9" s="170" customFormat="1" ht="11.25" x14ac:dyDescent="0.2"/>
    <row r="5" spans="1:9" s="172" customFormat="1" ht="9.75" x14ac:dyDescent="0.2">
      <c r="A5" s="819" t="s">
        <v>100</v>
      </c>
      <c r="B5" s="820"/>
      <c r="C5" s="171" t="s">
        <v>16</v>
      </c>
      <c r="D5" s="805" t="s">
        <v>101</v>
      </c>
      <c r="E5" s="805"/>
      <c r="F5" s="805"/>
      <c r="G5" s="805"/>
      <c r="H5" s="805"/>
      <c r="I5" s="805"/>
    </row>
    <row r="6" spans="1:9" s="170" customFormat="1" ht="117" customHeight="1" x14ac:dyDescent="0.2">
      <c r="A6" s="821" t="s">
        <v>102</v>
      </c>
      <c r="B6" s="822"/>
      <c r="C6" s="173">
        <v>-21092.02</v>
      </c>
      <c r="D6" s="1158" t="s">
        <v>399</v>
      </c>
      <c r="E6" s="1159"/>
      <c r="F6" s="1159"/>
      <c r="G6" s="1159"/>
      <c r="H6" s="1159"/>
      <c r="I6" s="1160"/>
    </row>
    <row r="7" spans="1:9" s="174" customFormat="1" ht="72.75" customHeight="1" x14ac:dyDescent="0.15">
      <c r="A7" s="821" t="s">
        <v>103</v>
      </c>
      <c r="B7" s="822"/>
      <c r="C7" s="173">
        <v>224901.71</v>
      </c>
      <c r="D7" s="826" t="s">
        <v>400</v>
      </c>
      <c r="E7" s="1161"/>
      <c r="F7" s="1161"/>
      <c r="G7" s="1161"/>
      <c r="H7" s="1161"/>
      <c r="I7" s="1162"/>
    </row>
    <row r="8" spans="1:9" s="174" customFormat="1" ht="15" customHeight="1" x14ac:dyDescent="0.15">
      <c r="A8" s="829" t="s">
        <v>105</v>
      </c>
      <c r="B8" s="830"/>
      <c r="C8" s="175"/>
      <c r="D8" s="831"/>
      <c r="E8" s="832"/>
      <c r="F8" s="832"/>
      <c r="G8" s="832"/>
      <c r="H8" s="832"/>
      <c r="I8" s="833"/>
    </row>
    <row r="9" spans="1:9" s="170" customFormat="1" ht="24.75" customHeight="1" x14ac:dyDescent="0.2">
      <c r="C9" s="176"/>
    </row>
    <row r="10" spans="1:9" s="177" customFormat="1" ht="21.75" customHeight="1" x14ac:dyDescent="0.2">
      <c r="A10" s="781" t="s">
        <v>106</v>
      </c>
      <c r="B10" s="781"/>
      <c r="C10" s="781"/>
      <c r="D10" s="781"/>
      <c r="E10" s="781"/>
      <c r="F10" s="781"/>
      <c r="G10" s="781"/>
      <c r="H10" s="781"/>
      <c r="I10" s="781"/>
    </row>
    <row r="11" spans="1:9" s="170" customFormat="1" ht="30.75" customHeight="1" thickBot="1" x14ac:dyDescent="0.25">
      <c r="C11" s="176"/>
    </row>
    <row r="12" spans="1:9" s="181" customFormat="1" ht="21" x14ac:dyDescent="0.15">
      <c r="A12" s="178" t="s">
        <v>107</v>
      </c>
      <c r="B12" s="178" t="s">
        <v>108</v>
      </c>
      <c r="C12" s="179" t="s">
        <v>109</v>
      </c>
      <c r="D12" s="180" t="s">
        <v>110</v>
      </c>
      <c r="E12" s="179" t="s">
        <v>111</v>
      </c>
      <c r="F12" s="814" t="s">
        <v>112</v>
      </c>
      <c r="G12" s="815"/>
      <c r="H12" s="816" t="s">
        <v>113</v>
      </c>
      <c r="I12" s="817"/>
    </row>
    <row r="13" spans="1:9" s="181" customFormat="1" ht="133.5" customHeight="1" x14ac:dyDescent="0.15">
      <c r="A13" s="334" t="s">
        <v>114</v>
      </c>
      <c r="B13" s="335">
        <v>145316.28</v>
      </c>
      <c r="C13" s="336">
        <v>182074.37</v>
      </c>
      <c r="D13" s="337">
        <v>63267.93</v>
      </c>
      <c r="E13" s="338">
        <f>B13+C13-D13</f>
        <v>264122.72000000003</v>
      </c>
      <c r="F13" s="1156">
        <f>E13</f>
        <v>264122.72000000003</v>
      </c>
      <c r="G13" s="1157"/>
      <c r="H13" s="890" t="s">
        <v>401</v>
      </c>
      <c r="I13" s="891"/>
    </row>
    <row r="14" spans="1:9" s="288" customFormat="1" ht="43.5" customHeight="1" x14ac:dyDescent="0.15">
      <c r="A14" s="339"/>
      <c r="B14" s="340"/>
      <c r="C14" s="340"/>
      <c r="D14" s="341"/>
      <c r="E14" s="341"/>
      <c r="F14" s="341"/>
      <c r="G14" s="341"/>
      <c r="H14" s="342"/>
      <c r="I14" s="343"/>
    </row>
    <row r="15" spans="1:9" s="181" customFormat="1" ht="20.25" customHeight="1" x14ac:dyDescent="0.15">
      <c r="A15" s="344" t="s">
        <v>107</v>
      </c>
      <c r="B15" s="344" t="s">
        <v>108</v>
      </c>
      <c r="C15" s="345" t="s">
        <v>109</v>
      </c>
      <c r="D15" s="346" t="s">
        <v>110</v>
      </c>
      <c r="E15" s="345" t="s">
        <v>111</v>
      </c>
      <c r="F15" s="1150" t="s">
        <v>112</v>
      </c>
      <c r="G15" s="1151"/>
      <c r="H15" s="1152" t="s">
        <v>113</v>
      </c>
      <c r="I15" s="1153"/>
    </row>
    <row r="16" spans="1:9" s="181" customFormat="1" ht="237.75" customHeight="1" x14ac:dyDescent="0.15">
      <c r="A16" s="182" t="s">
        <v>115</v>
      </c>
      <c r="B16" s="183">
        <v>1098325.19</v>
      </c>
      <c r="C16" s="184">
        <v>13224</v>
      </c>
      <c r="D16" s="185">
        <v>680215.64</v>
      </c>
      <c r="E16" s="184">
        <f t="shared" ref="E16:E20" si="0">B16+C16-D16</f>
        <v>431333.54999999993</v>
      </c>
      <c r="F16" s="810">
        <f>E16</f>
        <v>431333.54999999993</v>
      </c>
      <c r="G16" s="811"/>
      <c r="H16" s="890" t="s">
        <v>402</v>
      </c>
      <c r="I16" s="892"/>
    </row>
    <row r="17" spans="1:9" s="181" customFormat="1" ht="171" customHeight="1" x14ac:dyDescent="0.15">
      <c r="A17" s="186" t="s">
        <v>116</v>
      </c>
      <c r="B17" s="187">
        <v>618674.41</v>
      </c>
      <c r="C17" s="188">
        <v>619959.93000000005</v>
      </c>
      <c r="D17" s="189">
        <v>465099.93</v>
      </c>
      <c r="E17" s="184">
        <f t="shared" si="0"/>
        <v>773534.41000000015</v>
      </c>
      <c r="F17" s="810">
        <f t="shared" ref="F17:F18" si="1">E17</f>
        <v>773534.41000000015</v>
      </c>
      <c r="G17" s="811"/>
      <c r="H17" s="890" t="s">
        <v>403</v>
      </c>
      <c r="I17" s="891"/>
    </row>
    <row r="18" spans="1:9" s="181" customFormat="1" ht="110.25" customHeight="1" x14ac:dyDescent="0.15">
      <c r="A18" s="190" t="s">
        <v>117</v>
      </c>
      <c r="B18" s="191">
        <v>68584</v>
      </c>
      <c r="C18" s="192">
        <v>30000</v>
      </c>
      <c r="D18" s="193">
        <v>70100</v>
      </c>
      <c r="E18" s="184">
        <f t="shared" si="0"/>
        <v>28484</v>
      </c>
      <c r="F18" s="810">
        <f t="shared" si="1"/>
        <v>28484</v>
      </c>
      <c r="G18" s="811"/>
      <c r="H18" s="890" t="s">
        <v>404</v>
      </c>
      <c r="I18" s="891"/>
    </row>
    <row r="19" spans="1:9" s="181" customFormat="1" ht="21" customHeight="1" x14ac:dyDescent="0.15">
      <c r="A19" s="344" t="s">
        <v>107</v>
      </c>
      <c r="B19" s="344" t="s">
        <v>108</v>
      </c>
      <c r="C19" s="345" t="s">
        <v>109</v>
      </c>
      <c r="D19" s="346" t="s">
        <v>110</v>
      </c>
      <c r="E19" s="345" t="s">
        <v>111</v>
      </c>
      <c r="F19" s="1150" t="s">
        <v>112</v>
      </c>
      <c r="G19" s="1151"/>
      <c r="H19" s="1152" t="s">
        <v>113</v>
      </c>
      <c r="I19" s="1153"/>
    </row>
    <row r="20" spans="1:9" s="181" customFormat="1" ht="277.5" customHeight="1" x14ac:dyDescent="0.15">
      <c r="A20" s="194" t="s">
        <v>118</v>
      </c>
      <c r="B20" s="195">
        <v>395483.9</v>
      </c>
      <c r="C20" s="196">
        <v>314373</v>
      </c>
      <c r="D20" s="197">
        <v>278622</v>
      </c>
      <c r="E20" s="184">
        <f t="shared" si="0"/>
        <v>431234.9</v>
      </c>
      <c r="F20" s="1154">
        <v>516664.9</v>
      </c>
      <c r="G20" s="1155"/>
      <c r="H20" s="890" t="s">
        <v>405</v>
      </c>
      <c r="I20" s="891"/>
    </row>
    <row r="21" spans="1:9" s="181" customFormat="1" thickBot="1" x14ac:dyDescent="0.2">
      <c r="A21" s="198" t="s">
        <v>120</v>
      </c>
      <c r="B21" s="199">
        <f>SUM(B13:B20)</f>
        <v>2326383.7799999998</v>
      </c>
      <c r="C21" s="200">
        <f>SUM(C13:C20)</f>
        <v>1159631.3</v>
      </c>
      <c r="D21" s="201">
        <f>SUM(D13:D20)</f>
        <v>1557305.5</v>
      </c>
      <c r="E21" s="200">
        <f>SUM(E13:E20)</f>
        <v>1928709.58</v>
      </c>
      <c r="F21" s="804">
        <f>SUM(F13:G20)</f>
        <v>2014139.58</v>
      </c>
      <c r="G21" s="804"/>
      <c r="H21" s="202"/>
      <c r="I21" s="203"/>
    </row>
    <row r="22" spans="1:9" s="204" customFormat="1" ht="11.25" x14ac:dyDescent="0.2">
      <c r="C22" s="205"/>
    </row>
    <row r="23" spans="1:9" s="177" customFormat="1" ht="11.25" x14ac:dyDescent="0.2">
      <c r="A23" s="781" t="s">
        <v>121</v>
      </c>
      <c r="B23" s="781"/>
      <c r="C23" s="781"/>
      <c r="D23" s="781"/>
      <c r="E23" s="781"/>
      <c r="F23" s="781"/>
      <c r="G23" s="781"/>
      <c r="H23" s="781"/>
      <c r="I23" s="781"/>
    </row>
    <row r="24" spans="1:9" s="170" customFormat="1" ht="24" customHeight="1" x14ac:dyDescent="0.2">
      <c r="A24" s="170" t="s">
        <v>406</v>
      </c>
      <c r="C24" s="176"/>
    </row>
    <row r="25" spans="1:9" s="204" customFormat="1" ht="11.25" x14ac:dyDescent="0.2">
      <c r="C25" s="205"/>
    </row>
    <row r="26" spans="1:9" s="177" customFormat="1" ht="11.25" x14ac:dyDescent="0.2">
      <c r="A26" s="781" t="s">
        <v>126</v>
      </c>
      <c r="B26" s="781"/>
      <c r="C26" s="781"/>
      <c r="D26" s="781"/>
      <c r="E26" s="781"/>
      <c r="F26" s="781"/>
      <c r="G26" s="781"/>
      <c r="H26" s="781"/>
      <c r="I26" s="781"/>
    </row>
    <row r="27" spans="1:9" s="170" customFormat="1" ht="23.25" customHeight="1" x14ac:dyDescent="0.2">
      <c r="A27" s="170" t="s">
        <v>407</v>
      </c>
      <c r="C27" s="176"/>
    </row>
    <row r="28" spans="1:9" s="170" customFormat="1" ht="11.25" x14ac:dyDescent="0.2">
      <c r="C28" s="176"/>
    </row>
    <row r="29" spans="1:9" s="170" customFormat="1" ht="11.25" x14ac:dyDescent="0.2">
      <c r="C29" s="176"/>
    </row>
    <row r="30" spans="1:9" s="177" customFormat="1" ht="11.25" x14ac:dyDescent="0.2">
      <c r="A30" s="781" t="s">
        <v>129</v>
      </c>
      <c r="B30" s="781"/>
      <c r="C30" s="781"/>
      <c r="D30" s="781"/>
      <c r="E30" s="781"/>
      <c r="F30" s="781"/>
      <c r="G30" s="781"/>
      <c r="H30" s="781"/>
      <c r="I30" s="781"/>
    </row>
    <row r="31" spans="1:9" s="170" customFormat="1" ht="11.25" x14ac:dyDescent="0.2">
      <c r="C31" s="212"/>
    </row>
    <row r="32" spans="1:9" s="170" customFormat="1" ht="11.25" x14ac:dyDescent="0.2">
      <c r="A32" s="171" t="s">
        <v>130</v>
      </c>
      <c r="B32" s="206" t="s">
        <v>131</v>
      </c>
      <c r="C32" s="785" t="s">
        <v>132</v>
      </c>
      <c r="D32" s="785"/>
      <c r="E32" s="785"/>
      <c r="F32" s="785"/>
      <c r="G32" s="785"/>
      <c r="H32" s="785"/>
      <c r="I32" s="786"/>
    </row>
    <row r="33" spans="1:9" s="170" customFormat="1" ht="11.25" x14ac:dyDescent="0.2">
      <c r="A33" s="213">
        <v>13224</v>
      </c>
      <c r="B33" s="213">
        <v>13224</v>
      </c>
      <c r="C33" s="854" t="s">
        <v>408</v>
      </c>
      <c r="D33" s="854"/>
      <c r="E33" s="854"/>
      <c r="F33" s="854"/>
      <c r="G33" s="854"/>
      <c r="H33" s="854"/>
      <c r="I33" s="854"/>
    </row>
    <row r="34" spans="1:9" s="174" customFormat="1" ht="10.5" x14ac:dyDescent="0.15">
      <c r="A34" s="214">
        <f>SUM(A33:A33)</f>
        <v>13224</v>
      </c>
      <c r="B34" s="214">
        <f>SUM(B33:B33)</f>
        <v>13224</v>
      </c>
      <c r="C34" s="788" t="s">
        <v>120</v>
      </c>
      <c r="D34" s="789"/>
      <c r="E34" s="789"/>
      <c r="F34" s="789"/>
      <c r="G34" s="789"/>
      <c r="H34" s="789"/>
      <c r="I34" s="790"/>
    </row>
    <row r="35" spans="1:9" s="170" customFormat="1" ht="11.25" x14ac:dyDescent="0.2">
      <c r="C35" s="212"/>
    </row>
    <row r="36" spans="1:9" s="170" customFormat="1" ht="11.25" x14ac:dyDescent="0.2">
      <c r="C36" s="212"/>
    </row>
    <row r="37" spans="1:9" s="170" customFormat="1" ht="11.25" x14ac:dyDescent="0.2">
      <c r="A37" s="781" t="s">
        <v>177</v>
      </c>
      <c r="B37" s="766"/>
      <c r="C37" s="766"/>
      <c r="D37" s="766"/>
      <c r="E37" s="766"/>
      <c r="F37" s="766"/>
      <c r="G37" s="766"/>
      <c r="H37" s="766"/>
      <c r="I37" s="766"/>
    </row>
    <row r="38" spans="1:9" s="170" customFormat="1" ht="11.25" x14ac:dyDescent="0.2">
      <c r="C38" s="212"/>
    </row>
    <row r="39" spans="1:9" s="216" customFormat="1" ht="31.5" x14ac:dyDescent="0.25">
      <c r="A39" s="767" t="s">
        <v>135</v>
      </c>
      <c r="B39" s="768"/>
      <c r="C39" s="215" t="s">
        <v>136</v>
      </c>
      <c r="D39" s="215" t="s">
        <v>137</v>
      </c>
      <c r="E39" s="215" t="s">
        <v>138</v>
      </c>
      <c r="F39" s="215" t="s">
        <v>139</v>
      </c>
      <c r="G39" s="215" t="s">
        <v>140</v>
      </c>
    </row>
    <row r="40" spans="1:9" s="351" customFormat="1" ht="23.25" customHeight="1" x14ac:dyDescent="0.2">
      <c r="A40" s="1148" t="s">
        <v>409</v>
      </c>
      <c r="B40" s="1149"/>
      <c r="C40" s="347" t="s">
        <v>410</v>
      </c>
      <c r="D40" s="348"/>
      <c r="E40" s="349">
        <v>10600</v>
      </c>
      <c r="F40" s="350">
        <v>43191</v>
      </c>
      <c r="G40" s="350">
        <v>43191</v>
      </c>
    </row>
    <row r="41" spans="1:9" s="351" customFormat="1" ht="21" customHeight="1" x14ac:dyDescent="0.2">
      <c r="A41" s="1148" t="s">
        <v>411</v>
      </c>
      <c r="B41" s="1149"/>
      <c r="C41" s="347" t="s">
        <v>412</v>
      </c>
      <c r="D41" s="348"/>
      <c r="E41" s="349">
        <v>-10600</v>
      </c>
      <c r="F41" s="350"/>
      <c r="G41" s="350"/>
    </row>
    <row r="42" spans="1:9" s="355" customFormat="1" ht="21.75" customHeight="1" x14ac:dyDescent="0.2">
      <c r="A42" s="1148" t="s">
        <v>413</v>
      </c>
      <c r="B42" s="1149"/>
      <c r="C42" s="352" t="s">
        <v>414</v>
      </c>
      <c r="D42" s="353">
        <v>500</v>
      </c>
      <c r="E42" s="354"/>
      <c r="F42" s="350">
        <v>43252</v>
      </c>
      <c r="G42" s="350">
        <v>43252</v>
      </c>
    </row>
    <row r="43" spans="1:9" s="355" customFormat="1" ht="20.25" customHeight="1" x14ac:dyDescent="0.2">
      <c r="A43" s="1148" t="s">
        <v>415</v>
      </c>
      <c r="B43" s="1149"/>
      <c r="C43" s="352" t="s">
        <v>416</v>
      </c>
      <c r="D43" s="353"/>
      <c r="E43" s="354">
        <v>500</v>
      </c>
      <c r="F43" s="356"/>
      <c r="G43" s="356"/>
    </row>
    <row r="44" spans="1:9" s="355" customFormat="1" ht="19.5" customHeight="1" x14ac:dyDescent="0.2">
      <c r="A44" s="1148" t="s">
        <v>417</v>
      </c>
      <c r="B44" s="1149"/>
      <c r="C44" s="352" t="s">
        <v>418</v>
      </c>
      <c r="D44" s="353"/>
      <c r="E44" s="354">
        <v>-31000</v>
      </c>
      <c r="F44" s="356">
        <v>43252</v>
      </c>
      <c r="G44" s="356">
        <v>43252</v>
      </c>
    </row>
    <row r="45" spans="1:9" s="355" customFormat="1" ht="18.75" customHeight="1" x14ac:dyDescent="0.2">
      <c r="A45" s="1148" t="s">
        <v>419</v>
      </c>
      <c r="B45" s="1149"/>
      <c r="C45" s="352" t="s">
        <v>420</v>
      </c>
      <c r="D45" s="353"/>
      <c r="E45" s="354">
        <v>31000</v>
      </c>
      <c r="F45" s="356"/>
      <c r="G45" s="356"/>
    </row>
    <row r="46" spans="1:9" s="355" customFormat="1" ht="27.75" customHeight="1" x14ac:dyDescent="0.2">
      <c r="A46" s="1144" t="s">
        <v>421</v>
      </c>
      <c r="B46" s="1145"/>
      <c r="C46" s="347" t="s">
        <v>422</v>
      </c>
      <c r="D46" s="348">
        <v>60000</v>
      </c>
      <c r="E46" s="349"/>
      <c r="F46" s="350">
        <v>43249</v>
      </c>
      <c r="G46" s="350">
        <v>43257</v>
      </c>
    </row>
    <row r="47" spans="1:9" s="355" customFormat="1" ht="21" customHeight="1" x14ac:dyDescent="0.2">
      <c r="A47" s="1144" t="s">
        <v>423</v>
      </c>
      <c r="B47" s="1145"/>
      <c r="C47" s="347" t="s">
        <v>424</v>
      </c>
      <c r="D47" s="348"/>
      <c r="E47" s="349">
        <v>60000</v>
      </c>
      <c r="F47" s="350"/>
      <c r="G47" s="350"/>
    </row>
    <row r="48" spans="1:9" s="170" customFormat="1" ht="24" customHeight="1" x14ac:dyDescent="0.2">
      <c r="A48" s="773" t="s">
        <v>178</v>
      </c>
      <c r="B48" s="1146"/>
      <c r="C48" s="233"/>
      <c r="D48" s="234">
        <f>SUM(D40:D47)</f>
        <v>60500</v>
      </c>
      <c r="E48" s="234">
        <f>SUM(E40:E47)</f>
        <v>60500</v>
      </c>
      <c r="F48" s="795"/>
      <c r="G48" s="796"/>
    </row>
    <row r="49" spans="1:9" s="170" customFormat="1" ht="11.25" x14ac:dyDescent="0.2">
      <c r="A49" s="782"/>
      <c r="B49" s="782"/>
      <c r="C49" s="212"/>
    </row>
    <row r="50" spans="1:9" s="170" customFormat="1" ht="15" customHeight="1" x14ac:dyDescent="0.2">
      <c r="A50" s="235"/>
      <c r="C50" s="212"/>
    </row>
    <row r="51" spans="1:9" s="170" customFormat="1" ht="26.25" customHeight="1" x14ac:dyDescent="0.2">
      <c r="A51" s="766" t="s">
        <v>180</v>
      </c>
      <c r="B51" s="766"/>
      <c r="C51" s="766"/>
      <c r="D51" s="766"/>
      <c r="E51" s="766"/>
      <c r="F51" s="766"/>
      <c r="G51" s="766"/>
      <c r="H51" s="766"/>
      <c r="I51" s="766"/>
    </row>
    <row r="52" spans="1:9" s="170" customFormat="1" ht="20.25" customHeight="1" x14ac:dyDescent="0.2">
      <c r="A52" s="170" t="s">
        <v>425</v>
      </c>
      <c r="C52" s="212"/>
    </row>
    <row r="53" spans="1:9" s="170" customFormat="1" ht="11.25" x14ac:dyDescent="0.2">
      <c r="C53" s="212"/>
    </row>
    <row r="54" spans="1:9" s="177" customFormat="1" ht="17.25" customHeight="1" x14ac:dyDescent="0.2">
      <c r="A54" s="777" t="s">
        <v>238</v>
      </c>
      <c r="B54" s="777"/>
      <c r="C54" s="777"/>
      <c r="D54" s="777"/>
      <c r="E54" s="777"/>
      <c r="F54" s="777"/>
      <c r="G54" s="777"/>
      <c r="H54" s="777"/>
      <c r="I54" s="777"/>
    </row>
    <row r="55" spans="1:9" s="170" customFormat="1" ht="35.25" customHeight="1" x14ac:dyDescent="0.2">
      <c r="A55" s="1004" t="s">
        <v>426</v>
      </c>
      <c r="B55" s="1004"/>
      <c r="C55" s="1004"/>
      <c r="D55" s="1004"/>
      <c r="E55" s="1004"/>
      <c r="F55" s="1004"/>
      <c r="G55" s="1004"/>
    </row>
    <row r="56" spans="1:9" s="357" customFormat="1" ht="39" customHeight="1" x14ac:dyDescent="0.2">
      <c r="A56" s="1004" t="s">
        <v>427</v>
      </c>
      <c r="B56" s="1004"/>
      <c r="C56" s="1004"/>
      <c r="D56" s="1004"/>
      <c r="E56" s="1004"/>
      <c r="F56" s="1004"/>
      <c r="G56" s="1004"/>
    </row>
    <row r="57" spans="1:9" s="170" customFormat="1" ht="14.25" customHeight="1" x14ac:dyDescent="0.2"/>
    <row r="58" spans="1:9" s="287" customFormat="1" ht="19.5" customHeight="1" x14ac:dyDescent="0.2">
      <c r="A58" s="1004"/>
      <c r="B58" s="1004"/>
      <c r="C58" s="1004"/>
      <c r="D58" s="1004"/>
      <c r="E58" s="1004"/>
      <c r="F58" s="1004"/>
      <c r="G58" s="1004"/>
      <c r="H58" s="1004"/>
      <c r="I58" s="1004"/>
    </row>
    <row r="59" spans="1:9" s="170" customFormat="1" ht="11.25" x14ac:dyDescent="0.2"/>
    <row r="60" spans="1:9" s="169" customFormat="1" ht="15.75" customHeight="1" x14ac:dyDescent="0.15">
      <c r="A60" s="781" t="s">
        <v>165</v>
      </c>
      <c r="B60" s="781"/>
      <c r="C60" s="781"/>
      <c r="D60" s="781"/>
      <c r="E60" s="781"/>
      <c r="F60" s="781"/>
      <c r="G60" s="781"/>
      <c r="H60" s="781"/>
      <c r="I60" s="781"/>
    </row>
    <row r="61" spans="1:9" s="329" customFormat="1" ht="24" customHeight="1" x14ac:dyDescent="0.2">
      <c r="A61" s="358" t="s">
        <v>428</v>
      </c>
      <c r="B61" s="358"/>
      <c r="C61" s="358"/>
      <c r="D61" s="358"/>
      <c r="E61" s="358"/>
      <c r="F61" s="358"/>
      <c r="G61" s="358"/>
      <c r="H61" s="358"/>
      <c r="I61" s="358"/>
    </row>
    <row r="62" spans="1:9" s="329" customFormat="1" ht="19.5" customHeight="1" x14ac:dyDescent="0.2">
      <c r="A62" s="1147" t="s">
        <v>429</v>
      </c>
      <c r="B62" s="1147"/>
      <c r="C62" s="1147"/>
      <c r="D62" s="1147"/>
      <c r="E62" s="1147"/>
      <c r="F62" s="1147"/>
      <c r="G62" s="1147"/>
      <c r="H62" s="1147"/>
      <c r="I62" s="1147"/>
    </row>
    <row r="63" spans="1:9" s="170" customFormat="1" ht="18.75" customHeight="1" x14ac:dyDescent="0.2">
      <c r="A63" s="1143"/>
      <c r="B63" s="1143"/>
      <c r="C63" s="1143"/>
      <c r="D63" s="1143"/>
      <c r="E63" s="1143"/>
      <c r="F63" s="1143"/>
      <c r="G63" s="1143"/>
      <c r="H63" s="1143"/>
      <c r="I63" s="1143"/>
    </row>
    <row r="64" spans="1:9" x14ac:dyDescent="0.2">
      <c r="A64" s="4" t="s">
        <v>430</v>
      </c>
    </row>
    <row r="65" spans="1:1" ht="14.25" customHeight="1" x14ac:dyDescent="0.2">
      <c r="A65" s="246" t="s">
        <v>431</v>
      </c>
    </row>
    <row r="66" spans="1:1" ht="13.5" customHeight="1" x14ac:dyDescent="0.2">
      <c r="A66" s="246"/>
    </row>
  </sheetData>
  <mergeCells count="55">
    <mergeCell ref="F12:G12"/>
    <mergeCell ref="H12:I12"/>
    <mergeCell ref="A1:I1"/>
    <mergeCell ref="A3:I3"/>
    <mergeCell ref="A5:B5"/>
    <mergeCell ref="D5:I5"/>
    <mergeCell ref="A6:B6"/>
    <mergeCell ref="D6:I6"/>
    <mergeCell ref="A7:B7"/>
    <mergeCell ref="D7:I7"/>
    <mergeCell ref="A8:B8"/>
    <mergeCell ref="D8:I8"/>
    <mergeCell ref="A10:I10"/>
    <mergeCell ref="F13:G13"/>
    <mergeCell ref="H13:I13"/>
    <mergeCell ref="F15:G15"/>
    <mergeCell ref="H15:I15"/>
    <mergeCell ref="F16:G16"/>
    <mergeCell ref="H16:I16"/>
    <mergeCell ref="A30:I30"/>
    <mergeCell ref="F17:G17"/>
    <mergeCell ref="H17:I17"/>
    <mergeCell ref="F18:G18"/>
    <mergeCell ref="H18:I18"/>
    <mergeCell ref="F19:G19"/>
    <mergeCell ref="H19:I19"/>
    <mergeCell ref="F20:G20"/>
    <mergeCell ref="H20:I20"/>
    <mergeCell ref="F21:G21"/>
    <mergeCell ref="A23:I23"/>
    <mergeCell ref="A26:I26"/>
    <mergeCell ref="A46:B46"/>
    <mergeCell ref="C32:I32"/>
    <mergeCell ref="C33:I33"/>
    <mergeCell ref="C34:I34"/>
    <mergeCell ref="A37:I37"/>
    <mergeCell ref="A39:B39"/>
    <mergeCell ref="A40:B40"/>
    <mergeCell ref="A41:B41"/>
    <mergeCell ref="A42:B42"/>
    <mergeCell ref="A43:B43"/>
    <mergeCell ref="A44:B44"/>
    <mergeCell ref="A45:B45"/>
    <mergeCell ref="A63:I63"/>
    <mergeCell ref="A47:B47"/>
    <mergeCell ref="A48:B48"/>
    <mergeCell ref="F48:G48"/>
    <mergeCell ref="A49:B49"/>
    <mergeCell ref="A51:I51"/>
    <mergeCell ref="A54:I54"/>
    <mergeCell ref="A55:G55"/>
    <mergeCell ref="A56:G56"/>
    <mergeCell ref="A58:I58"/>
    <mergeCell ref="A60:I60"/>
    <mergeCell ref="A62:I62"/>
  </mergeCells>
  <pageMargins left="0.70866141732283472" right="0.70866141732283472" top="0.78740157480314965" bottom="0.78740157480314965" header="0.31496062992125984" footer="0.31496062992125984"/>
  <pageSetup paperSize="9" scale="58" firstPageNumber="120" fitToHeight="2" orientation="portrait" useFirstPageNumber="1" r:id="rId1"/>
  <headerFooter>
    <oddFooter>&amp;C&amp;P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6"/>
  <sheetViews>
    <sheetView workbookViewId="0">
      <selection activeCell="C51" sqref="C51"/>
    </sheetView>
  </sheetViews>
  <sheetFormatPr defaultColWidth="3.7109375" defaultRowHeight="15" x14ac:dyDescent="0.25"/>
  <cols>
    <col min="1" max="1" width="3.140625" style="2" customWidth="1"/>
    <col min="2" max="2" width="3.7109375" style="3" customWidth="1"/>
    <col min="3" max="3" width="21" style="3" customWidth="1"/>
    <col min="4" max="4" width="4.85546875" style="3" customWidth="1"/>
    <col min="5" max="7" width="6.28515625" style="3" customWidth="1"/>
    <col min="8" max="8" width="5" style="3" customWidth="1"/>
    <col min="9" max="12" width="6.28515625" style="3" customWidth="1"/>
    <col min="13" max="13" width="5" style="3" customWidth="1"/>
    <col min="14" max="17" width="6.28515625" style="3" customWidth="1"/>
    <col min="18" max="18" width="5" style="3" customWidth="1"/>
    <col min="19" max="22" width="6.28515625" style="3" customWidth="1"/>
    <col min="23" max="23" width="5" style="3" customWidth="1"/>
    <col min="24" max="24" width="6.28515625" style="3" customWidth="1"/>
    <col min="25" max="16384" width="3.7109375" style="3"/>
  </cols>
  <sheetData>
    <row r="1" spans="1:24" s="6" customFormat="1" ht="15.75" x14ac:dyDescent="0.25">
      <c r="A1" s="759" t="s">
        <v>98</v>
      </c>
      <c r="B1" s="759"/>
      <c r="C1" s="759"/>
      <c r="D1" s="759"/>
      <c r="E1" s="759"/>
      <c r="F1" s="759"/>
      <c r="G1" s="759"/>
      <c r="H1" s="759"/>
      <c r="I1" s="759"/>
      <c r="J1" s="759"/>
      <c r="K1" s="759"/>
      <c r="L1" s="759"/>
      <c r="M1" s="759"/>
      <c r="N1" s="759"/>
      <c r="O1" s="759"/>
      <c r="P1" s="759"/>
      <c r="Q1" s="759"/>
      <c r="R1" s="759"/>
      <c r="S1" s="759"/>
      <c r="T1" s="759"/>
      <c r="U1" s="759"/>
      <c r="V1" s="759"/>
      <c r="W1" s="759"/>
      <c r="X1" s="759"/>
    </row>
    <row r="3" spans="1:24" s="7" customFormat="1" ht="9.75" customHeight="1" x14ac:dyDescent="0.2">
      <c r="A3" s="752" t="s">
        <v>1</v>
      </c>
      <c r="B3" s="761" t="s">
        <v>2</v>
      </c>
      <c r="C3" s="760"/>
      <c r="D3" s="761" t="s">
        <v>3</v>
      </c>
      <c r="E3" s="762" t="s">
        <v>4</v>
      </c>
      <c r="F3" s="762"/>
      <c r="G3" s="762"/>
      <c r="H3" s="762"/>
      <c r="I3" s="762"/>
      <c r="J3" s="762" t="s">
        <v>5</v>
      </c>
      <c r="K3" s="762"/>
      <c r="L3" s="762"/>
      <c r="M3" s="762"/>
      <c r="N3" s="762"/>
      <c r="O3" s="762" t="s">
        <v>6</v>
      </c>
      <c r="P3" s="762"/>
      <c r="Q3" s="762"/>
      <c r="R3" s="762"/>
      <c r="S3" s="762"/>
      <c r="T3" s="762" t="s">
        <v>7</v>
      </c>
      <c r="U3" s="762"/>
      <c r="V3" s="762"/>
      <c r="W3" s="762"/>
      <c r="X3" s="762"/>
    </row>
    <row r="4" spans="1:24" s="8" customFormat="1" ht="9.75" customHeight="1" x14ac:dyDescent="0.2">
      <c r="A4" s="760"/>
      <c r="B4" s="760"/>
      <c r="C4" s="760"/>
      <c r="D4" s="761"/>
      <c r="E4" s="754" t="s">
        <v>8</v>
      </c>
      <c r="F4" s="755" t="s">
        <v>9</v>
      </c>
      <c r="G4" s="755"/>
      <c r="H4" s="755"/>
      <c r="I4" s="752" t="s">
        <v>10</v>
      </c>
      <c r="J4" s="754" t="s">
        <v>8</v>
      </c>
      <c r="K4" s="755" t="s">
        <v>9</v>
      </c>
      <c r="L4" s="755"/>
      <c r="M4" s="755"/>
      <c r="N4" s="752" t="s">
        <v>10</v>
      </c>
      <c r="O4" s="754" t="s">
        <v>8</v>
      </c>
      <c r="P4" s="755" t="s">
        <v>9</v>
      </c>
      <c r="Q4" s="755"/>
      <c r="R4" s="755"/>
      <c r="S4" s="752" t="s">
        <v>10</v>
      </c>
      <c r="T4" s="754" t="s">
        <v>8</v>
      </c>
      <c r="U4" s="755" t="s">
        <v>9</v>
      </c>
      <c r="V4" s="755"/>
      <c r="W4" s="755"/>
      <c r="X4" s="752" t="s">
        <v>10</v>
      </c>
    </row>
    <row r="5" spans="1:24" s="10" customFormat="1" ht="9.75" customHeight="1" x14ac:dyDescent="0.2">
      <c r="A5" s="760"/>
      <c r="B5" s="760"/>
      <c r="C5" s="760"/>
      <c r="D5" s="761"/>
      <c r="E5" s="754"/>
      <c r="F5" s="9" t="s">
        <v>11</v>
      </c>
      <c r="G5" s="9" t="s">
        <v>12</v>
      </c>
      <c r="H5" s="9" t="s">
        <v>13</v>
      </c>
      <c r="I5" s="752"/>
      <c r="J5" s="754"/>
      <c r="K5" s="9" t="s">
        <v>11</v>
      </c>
      <c r="L5" s="9" t="s">
        <v>12</v>
      </c>
      <c r="M5" s="9" t="s">
        <v>13</v>
      </c>
      <c r="N5" s="752"/>
      <c r="O5" s="754"/>
      <c r="P5" s="9" t="s">
        <v>11</v>
      </c>
      <c r="Q5" s="9" t="s">
        <v>12</v>
      </c>
      <c r="R5" s="9" t="s">
        <v>13</v>
      </c>
      <c r="S5" s="752"/>
      <c r="T5" s="754"/>
      <c r="U5" s="9" t="s">
        <v>11</v>
      </c>
      <c r="V5" s="9" t="s">
        <v>12</v>
      </c>
      <c r="W5" s="9" t="s">
        <v>13</v>
      </c>
      <c r="X5" s="752"/>
    </row>
    <row r="6" spans="1:24" s="7" customFormat="1" ht="9.75" customHeight="1" x14ac:dyDescent="0.2">
      <c r="A6" s="11" t="s">
        <v>14</v>
      </c>
      <c r="B6" s="753" t="s">
        <v>15</v>
      </c>
      <c r="C6" s="753"/>
      <c r="D6" s="12" t="s">
        <v>16</v>
      </c>
      <c r="E6" s="13">
        <f>SUM(E7:E9)</f>
        <v>34223790</v>
      </c>
      <c r="F6" s="13">
        <f>SUM(F7:F9)</f>
        <v>34289789</v>
      </c>
      <c r="G6" s="13">
        <f>SUM(G7:G9)</f>
        <v>17545780.48</v>
      </c>
      <c r="H6" s="14">
        <f t="shared" ref="H6:H29" si="0">G6/F6*100</f>
        <v>51.169111830930191</v>
      </c>
      <c r="I6" s="13">
        <f>SUM(I7:I9)</f>
        <v>16719733</v>
      </c>
      <c r="J6" s="13">
        <f>SUM(J7:J9)</f>
        <v>5059000</v>
      </c>
      <c r="K6" s="13">
        <f>SUM(K7:K9)</f>
        <v>5124999</v>
      </c>
      <c r="L6" s="13">
        <f t="shared" ref="L6:V6" si="1">SUM(L7:L9)</f>
        <v>2963880.48</v>
      </c>
      <c r="M6" s="14">
        <f t="shared" ref="M6:M29" si="2">L6/K6*100</f>
        <v>57.831825528161076</v>
      </c>
      <c r="N6" s="13">
        <f t="shared" ref="N6" si="3">SUM(N7:N9)</f>
        <v>3152383</v>
      </c>
      <c r="O6" s="13">
        <f t="shared" si="1"/>
        <v>29164790</v>
      </c>
      <c r="P6" s="13">
        <f t="shared" si="1"/>
        <v>29164790</v>
      </c>
      <c r="Q6" s="13">
        <f t="shared" si="1"/>
        <v>14581900</v>
      </c>
      <c r="R6" s="14">
        <f t="shared" ref="R6:R36" si="4">Q6/P6*100</f>
        <v>49.998302747936812</v>
      </c>
      <c r="S6" s="13">
        <f t="shared" ref="S6" si="5">SUM(S7:S9)</f>
        <v>13567350</v>
      </c>
      <c r="T6" s="13">
        <f t="shared" si="1"/>
        <v>108717</v>
      </c>
      <c r="U6" s="13">
        <f t="shared" si="1"/>
        <v>108717</v>
      </c>
      <c r="V6" s="13">
        <f t="shared" si="1"/>
        <v>61563</v>
      </c>
      <c r="W6" s="14">
        <f t="shared" ref="W6:W36" si="6">V6/U6*100</f>
        <v>56.626838488920775</v>
      </c>
      <c r="X6" s="13">
        <f t="shared" ref="X6" si="7">SUM(X7:X9)</f>
        <v>62197</v>
      </c>
    </row>
    <row r="7" spans="1:24" s="7" customFormat="1" ht="9.75" x14ac:dyDescent="0.2">
      <c r="A7" s="15" t="s">
        <v>17</v>
      </c>
      <c r="B7" s="750" t="s">
        <v>18</v>
      </c>
      <c r="C7" s="750"/>
      <c r="D7" s="16" t="s">
        <v>16</v>
      </c>
      <c r="E7" s="17">
        <f t="shared" ref="E7:G10" si="8">SUM(J7,O7)</f>
        <v>3643000</v>
      </c>
      <c r="F7" s="17">
        <f t="shared" si="8"/>
        <v>3708999</v>
      </c>
      <c r="G7" s="17">
        <f t="shared" si="8"/>
        <v>2255845.6</v>
      </c>
      <c r="H7" s="18">
        <f t="shared" si="0"/>
        <v>60.820873772141759</v>
      </c>
      <c r="I7" s="17">
        <f>SUM(N7,S7)</f>
        <v>2389419</v>
      </c>
      <c r="J7" s="42">
        <v>3643000</v>
      </c>
      <c r="K7" s="42">
        <v>3708999</v>
      </c>
      <c r="L7" s="19">
        <v>2255845.6</v>
      </c>
      <c r="M7" s="18">
        <f t="shared" si="2"/>
        <v>60.820873772141759</v>
      </c>
      <c r="N7" s="19">
        <v>2389419</v>
      </c>
      <c r="O7" s="19"/>
      <c r="P7" s="19"/>
      <c r="Q7" s="19"/>
      <c r="R7" s="18">
        <v>0</v>
      </c>
      <c r="S7" s="19"/>
      <c r="T7" s="19">
        <v>108717</v>
      </c>
      <c r="U7" s="19">
        <v>108717</v>
      </c>
      <c r="V7" s="19">
        <v>61563</v>
      </c>
      <c r="W7" s="18">
        <f t="shared" si="6"/>
        <v>56.626838488920775</v>
      </c>
      <c r="X7" s="159">
        <v>62197</v>
      </c>
    </row>
    <row r="8" spans="1:24" s="7" customFormat="1" ht="9.75" x14ac:dyDescent="0.2">
      <c r="A8" s="20" t="s">
        <v>19</v>
      </c>
      <c r="B8" s="758" t="s">
        <v>20</v>
      </c>
      <c r="C8" s="758"/>
      <c r="D8" s="16" t="s">
        <v>16</v>
      </c>
      <c r="E8" s="17">
        <f t="shared" si="8"/>
        <v>1000</v>
      </c>
      <c r="F8" s="17">
        <f t="shared" si="8"/>
        <v>1000</v>
      </c>
      <c r="G8" s="17">
        <f t="shared" si="8"/>
        <v>534.88</v>
      </c>
      <c r="H8" s="18">
        <f t="shared" si="0"/>
        <v>53.488</v>
      </c>
      <c r="I8" s="17">
        <f>SUM(N8,S8)</f>
        <v>464</v>
      </c>
      <c r="J8" s="43">
        <v>1000</v>
      </c>
      <c r="K8" s="43">
        <v>1000</v>
      </c>
      <c r="L8" s="17">
        <v>534.88</v>
      </c>
      <c r="M8" s="18">
        <f t="shared" si="2"/>
        <v>53.488</v>
      </c>
      <c r="N8" s="17">
        <v>464</v>
      </c>
      <c r="O8" s="17"/>
      <c r="P8" s="17"/>
      <c r="Q8" s="17"/>
      <c r="R8" s="18">
        <v>0</v>
      </c>
      <c r="S8" s="17"/>
      <c r="T8" s="17"/>
      <c r="U8" s="17"/>
      <c r="V8" s="17"/>
      <c r="W8" s="18">
        <v>0</v>
      </c>
      <c r="X8" s="160"/>
    </row>
    <row r="9" spans="1:24" s="7" customFormat="1" ht="9.75" x14ac:dyDescent="0.2">
      <c r="A9" s="20" t="s">
        <v>21</v>
      </c>
      <c r="B9" s="21" t="s">
        <v>22</v>
      </c>
      <c r="C9" s="22"/>
      <c r="D9" s="16" t="s">
        <v>16</v>
      </c>
      <c r="E9" s="17">
        <f t="shared" si="8"/>
        <v>30579790</v>
      </c>
      <c r="F9" s="17">
        <f t="shared" si="8"/>
        <v>30579790</v>
      </c>
      <c r="G9" s="17">
        <f t="shared" si="8"/>
        <v>15289400</v>
      </c>
      <c r="H9" s="18">
        <f t="shared" si="0"/>
        <v>49.998381283847927</v>
      </c>
      <c r="I9" s="17">
        <f>SUM(N9,S9)</f>
        <v>14329850</v>
      </c>
      <c r="J9" s="43">
        <v>1415000</v>
      </c>
      <c r="K9" s="43">
        <v>1415000</v>
      </c>
      <c r="L9" s="17">
        <v>707500</v>
      </c>
      <c r="M9" s="18">
        <f t="shared" si="2"/>
        <v>50</v>
      </c>
      <c r="N9" s="17">
        <v>762500</v>
      </c>
      <c r="O9" s="17">
        <v>29164790</v>
      </c>
      <c r="P9" s="17">
        <v>29164790</v>
      </c>
      <c r="Q9" s="17">
        <v>14581900</v>
      </c>
      <c r="R9" s="18">
        <f t="shared" si="4"/>
        <v>49.998302747936812</v>
      </c>
      <c r="S9" s="17">
        <v>13567350</v>
      </c>
      <c r="T9" s="17"/>
      <c r="U9" s="17"/>
      <c r="V9" s="17"/>
      <c r="W9" s="18">
        <v>0</v>
      </c>
      <c r="X9" s="161"/>
    </row>
    <row r="10" spans="1:24" s="7" customFormat="1" ht="9.75" x14ac:dyDescent="0.2">
      <c r="A10" s="11" t="s">
        <v>23</v>
      </c>
      <c r="B10" s="753" t="s">
        <v>24</v>
      </c>
      <c r="C10" s="753"/>
      <c r="D10" s="12" t="s">
        <v>16</v>
      </c>
      <c r="E10" s="23">
        <f t="shared" si="8"/>
        <v>0</v>
      </c>
      <c r="F10" s="23">
        <f t="shared" si="8"/>
        <v>0</v>
      </c>
      <c r="G10" s="23">
        <f t="shared" si="8"/>
        <v>0</v>
      </c>
      <c r="H10" s="14">
        <v>0</v>
      </c>
      <c r="I10" s="23">
        <f>SUM(N10,S10)</f>
        <v>0</v>
      </c>
      <c r="J10" s="24"/>
      <c r="K10" s="24"/>
      <c r="L10" s="23"/>
      <c r="M10" s="14">
        <v>0</v>
      </c>
      <c r="N10" s="23"/>
      <c r="O10" s="23"/>
      <c r="P10" s="23"/>
      <c r="Q10" s="23"/>
      <c r="R10" s="14">
        <v>0</v>
      </c>
      <c r="S10" s="23"/>
      <c r="T10" s="23"/>
      <c r="U10" s="23"/>
      <c r="V10" s="23"/>
      <c r="W10" s="14">
        <v>0</v>
      </c>
      <c r="X10" s="23"/>
    </row>
    <row r="11" spans="1:24" s="7" customFormat="1" ht="9.75" x14ac:dyDescent="0.2">
      <c r="A11" s="11" t="s">
        <v>25</v>
      </c>
      <c r="B11" s="753" t="s">
        <v>26</v>
      </c>
      <c r="C11" s="753"/>
      <c r="D11" s="12" t="s">
        <v>16</v>
      </c>
      <c r="E11" s="13">
        <f>SUM(E12:E31)</f>
        <v>34223790</v>
      </c>
      <c r="F11" s="13">
        <f>SUM(F12:F31)</f>
        <v>34289789</v>
      </c>
      <c r="G11" s="13">
        <f>SUM(G12:G31)</f>
        <v>16775843.25</v>
      </c>
      <c r="H11" s="14">
        <f t="shared" si="0"/>
        <v>48.923728431224816</v>
      </c>
      <c r="I11" s="13">
        <f>SUM(I12:I31)</f>
        <v>15854547</v>
      </c>
      <c r="J11" s="13">
        <f>SUM(J12:J31)</f>
        <v>5059000</v>
      </c>
      <c r="K11" s="13">
        <f>SUM(K12:K31)</f>
        <v>5124999</v>
      </c>
      <c r="L11" s="13">
        <f>SUM(L12:L31)</f>
        <v>2424290.25</v>
      </c>
      <c r="M11" s="14">
        <f t="shared" si="2"/>
        <v>47.303233620143146</v>
      </c>
      <c r="N11" s="13">
        <f>SUM(N12:N31)</f>
        <v>2591192</v>
      </c>
      <c r="O11" s="13">
        <f>SUM(O12:O31)</f>
        <v>29164790</v>
      </c>
      <c r="P11" s="13">
        <f>SUM(P12:P31)</f>
        <v>29164790</v>
      </c>
      <c r="Q11" s="13">
        <f>SUM(Q12:Q31)</f>
        <v>14351553</v>
      </c>
      <c r="R11" s="14">
        <f t="shared" si="4"/>
        <v>49.208490786321448</v>
      </c>
      <c r="S11" s="13">
        <f>SUM(S12:S31)</f>
        <v>13263355</v>
      </c>
      <c r="T11" s="13">
        <f>SUM(T12:T31)</f>
        <v>80000</v>
      </c>
      <c r="U11" s="13">
        <f>SUM(U12:U31)</f>
        <v>80000</v>
      </c>
      <c r="V11" s="13">
        <f>SUM(V12:V31)</f>
        <v>3926</v>
      </c>
      <c r="W11" s="14">
        <f t="shared" si="6"/>
        <v>4.9074999999999998</v>
      </c>
      <c r="X11" s="13">
        <f>SUM(X12:X31)</f>
        <v>4560</v>
      </c>
    </row>
    <row r="12" spans="1:24" s="7" customFormat="1" ht="9.75" x14ac:dyDescent="0.2">
      <c r="A12" s="15" t="s">
        <v>27</v>
      </c>
      <c r="B12" s="750" t="s">
        <v>28</v>
      </c>
      <c r="C12" s="750"/>
      <c r="D12" s="16" t="s">
        <v>16</v>
      </c>
      <c r="E12" s="17">
        <f t="shared" ref="E12:I29" si="9">SUM(J12,O12)</f>
        <v>873000</v>
      </c>
      <c r="F12" s="17">
        <f t="shared" si="9"/>
        <v>861500</v>
      </c>
      <c r="G12" s="17">
        <f t="shared" si="9"/>
        <v>411365.97</v>
      </c>
      <c r="H12" s="18">
        <f t="shared" si="0"/>
        <v>47.74996749854904</v>
      </c>
      <c r="I12" s="17">
        <f t="shared" si="9"/>
        <v>332023</v>
      </c>
      <c r="J12" s="44">
        <v>873000</v>
      </c>
      <c r="K12" s="44">
        <v>861500</v>
      </c>
      <c r="L12" s="25">
        <v>411365.97</v>
      </c>
      <c r="M12" s="18">
        <f t="shared" si="2"/>
        <v>47.74996749854904</v>
      </c>
      <c r="N12" s="25">
        <v>332023</v>
      </c>
      <c r="O12" s="25"/>
      <c r="P12" s="25"/>
      <c r="Q12" s="25"/>
      <c r="R12" s="18">
        <v>0</v>
      </c>
      <c r="S12" s="25"/>
      <c r="T12" s="25">
        <v>2000</v>
      </c>
      <c r="U12" s="25">
        <v>2000</v>
      </c>
      <c r="V12" s="25">
        <v>0</v>
      </c>
      <c r="W12" s="18">
        <f t="shared" si="6"/>
        <v>0</v>
      </c>
      <c r="X12" s="162">
        <v>0</v>
      </c>
    </row>
    <row r="13" spans="1:24" s="7" customFormat="1" ht="9.75" x14ac:dyDescent="0.2">
      <c r="A13" s="15" t="s">
        <v>29</v>
      </c>
      <c r="B13" s="750" t="s">
        <v>30</v>
      </c>
      <c r="C13" s="750"/>
      <c r="D13" s="16" t="s">
        <v>16</v>
      </c>
      <c r="E13" s="17">
        <f t="shared" si="9"/>
        <v>910000</v>
      </c>
      <c r="F13" s="17">
        <f t="shared" si="9"/>
        <v>910000</v>
      </c>
      <c r="G13" s="17">
        <f t="shared" si="9"/>
        <v>373488.5</v>
      </c>
      <c r="H13" s="18">
        <f t="shared" si="0"/>
        <v>41.042692307692306</v>
      </c>
      <c r="I13" s="17">
        <f t="shared" si="9"/>
        <v>436706</v>
      </c>
      <c r="J13" s="44">
        <v>910000</v>
      </c>
      <c r="K13" s="44">
        <v>910000</v>
      </c>
      <c r="L13" s="17">
        <v>373488.5</v>
      </c>
      <c r="M13" s="18">
        <f t="shared" si="2"/>
        <v>41.042692307692306</v>
      </c>
      <c r="N13" s="17">
        <v>436706</v>
      </c>
      <c r="O13" s="17"/>
      <c r="P13" s="17"/>
      <c r="Q13" s="17"/>
      <c r="R13" s="18">
        <v>0</v>
      </c>
      <c r="S13" s="17"/>
      <c r="T13" s="17">
        <v>55000</v>
      </c>
      <c r="U13" s="17">
        <v>55000</v>
      </c>
      <c r="V13" s="17">
        <v>3926</v>
      </c>
      <c r="W13" s="18">
        <f t="shared" si="6"/>
        <v>7.1381818181818186</v>
      </c>
      <c r="X13" s="160">
        <v>4560</v>
      </c>
    </row>
    <row r="14" spans="1:24" s="7" customFormat="1" ht="9.75" x14ac:dyDescent="0.2">
      <c r="A14" s="15" t="s">
        <v>31</v>
      </c>
      <c r="B14" s="21" t="s">
        <v>32</v>
      </c>
      <c r="C14" s="21"/>
      <c r="D14" s="16" t="s">
        <v>16</v>
      </c>
      <c r="E14" s="17">
        <f t="shared" si="9"/>
        <v>0</v>
      </c>
      <c r="F14" s="17">
        <f t="shared" si="9"/>
        <v>0</v>
      </c>
      <c r="G14" s="17">
        <f t="shared" si="9"/>
        <v>0</v>
      </c>
      <c r="H14" s="18">
        <v>0</v>
      </c>
      <c r="I14" s="17">
        <f t="shared" si="9"/>
        <v>0</v>
      </c>
      <c r="J14" s="44"/>
      <c r="K14" s="44"/>
      <c r="L14" s="17"/>
      <c r="M14" s="18">
        <v>0</v>
      </c>
      <c r="N14" s="17"/>
      <c r="O14" s="17"/>
      <c r="P14" s="17"/>
      <c r="Q14" s="17"/>
      <c r="R14" s="18">
        <v>0</v>
      </c>
      <c r="S14" s="17"/>
      <c r="T14" s="17"/>
      <c r="U14" s="17"/>
      <c r="V14" s="17"/>
      <c r="W14" s="18">
        <v>0</v>
      </c>
      <c r="X14" s="160"/>
    </row>
    <row r="15" spans="1:24" s="7" customFormat="1" ht="9.75" x14ac:dyDescent="0.2">
      <c r="A15" s="15" t="s">
        <v>33</v>
      </c>
      <c r="B15" s="750" t="s">
        <v>34</v>
      </c>
      <c r="C15" s="750"/>
      <c r="D15" s="16" t="s">
        <v>16</v>
      </c>
      <c r="E15" s="17">
        <f t="shared" si="9"/>
        <v>510000</v>
      </c>
      <c r="F15" s="17">
        <f t="shared" si="9"/>
        <v>510000</v>
      </c>
      <c r="G15" s="17">
        <f t="shared" si="9"/>
        <v>69502</v>
      </c>
      <c r="H15" s="18">
        <f t="shared" si="0"/>
        <v>13.627843137254903</v>
      </c>
      <c r="I15" s="17">
        <f t="shared" si="9"/>
        <v>42707</v>
      </c>
      <c r="J15" s="44">
        <v>510000</v>
      </c>
      <c r="K15" s="44">
        <v>510000</v>
      </c>
      <c r="L15" s="17">
        <v>69502</v>
      </c>
      <c r="M15" s="18">
        <f t="shared" si="2"/>
        <v>13.627843137254903</v>
      </c>
      <c r="N15" s="17">
        <v>42707</v>
      </c>
      <c r="O15" s="17"/>
      <c r="P15" s="17"/>
      <c r="Q15" s="17"/>
      <c r="R15" s="18">
        <v>0</v>
      </c>
      <c r="S15" s="17"/>
      <c r="T15" s="17">
        <v>10000</v>
      </c>
      <c r="U15" s="17">
        <v>10000</v>
      </c>
      <c r="V15" s="17">
        <v>0</v>
      </c>
      <c r="W15" s="18">
        <f t="shared" si="6"/>
        <v>0</v>
      </c>
      <c r="X15" s="160">
        <v>0</v>
      </c>
    </row>
    <row r="16" spans="1:24" s="7" customFormat="1" ht="9.75" x14ac:dyDescent="0.2">
      <c r="A16" s="15" t="s">
        <v>35</v>
      </c>
      <c r="B16" s="750" t="s">
        <v>36</v>
      </c>
      <c r="C16" s="750"/>
      <c r="D16" s="16" t="s">
        <v>16</v>
      </c>
      <c r="E16" s="17">
        <f t="shared" si="9"/>
        <v>30000</v>
      </c>
      <c r="F16" s="17">
        <f t="shared" si="9"/>
        <v>30000</v>
      </c>
      <c r="G16" s="17">
        <f t="shared" si="9"/>
        <v>13475</v>
      </c>
      <c r="H16" s="18">
        <f t="shared" si="0"/>
        <v>44.916666666666664</v>
      </c>
      <c r="I16" s="17">
        <f t="shared" si="9"/>
        <v>50647</v>
      </c>
      <c r="J16" s="44">
        <v>30000</v>
      </c>
      <c r="K16" s="44">
        <v>30000</v>
      </c>
      <c r="L16" s="17">
        <v>13475</v>
      </c>
      <c r="M16" s="18">
        <f t="shared" si="2"/>
        <v>44.916666666666664</v>
      </c>
      <c r="N16" s="17">
        <v>50647</v>
      </c>
      <c r="O16" s="17"/>
      <c r="P16" s="17"/>
      <c r="Q16" s="17"/>
      <c r="R16" s="18">
        <v>0</v>
      </c>
      <c r="S16" s="17"/>
      <c r="T16" s="17"/>
      <c r="U16" s="17"/>
      <c r="V16" s="17"/>
      <c r="W16" s="18">
        <v>0</v>
      </c>
      <c r="X16" s="160"/>
    </row>
    <row r="17" spans="1:24" s="7" customFormat="1" ht="9.75" x14ac:dyDescent="0.2">
      <c r="A17" s="15" t="s">
        <v>37</v>
      </c>
      <c r="B17" s="21" t="s">
        <v>38</v>
      </c>
      <c r="C17" s="21"/>
      <c r="D17" s="16" t="s">
        <v>16</v>
      </c>
      <c r="E17" s="17">
        <f t="shared" si="9"/>
        <v>25000</v>
      </c>
      <c r="F17" s="17">
        <f t="shared" si="9"/>
        <v>35000</v>
      </c>
      <c r="G17" s="17">
        <f t="shared" si="9"/>
        <v>29834</v>
      </c>
      <c r="H17" s="18">
        <f t="shared" si="0"/>
        <v>85.240000000000009</v>
      </c>
      <c r="I17" s="17">
        <f t="shared" si="9"/>
        <v>15909</v>
      </c>
      <c r="J17" s="44">
        <v>25000</v>
      </c>
      <c r="K17" s="44">
        <v>35000</v>
      </c>
      <c r="L17" s="17">
        <v>29834</v>
      </c>
      <c r="M17" s="18">
        <f t="shared" si="2"/>
        <v>85.240000000000009</v>
      </c>
      <c r="N17" s="17">
        <v>15909</v>
      </c>
      <c r="O17" s="17"/>
      <c r="P17" s="17"/>
      <c r="Q17" s="17"/>
      <c r="R17" s="18">
        <v>0</v>
      </c>
      <c r="S17" s="17"/>
      <c r="T17" s="17"/>
      <c r="U17" s="17"/>
      <c r="V17" s="17"/>
      <c r="W17" s="18">
        <v>0</v>
      </c>
      <c r="X17" s="160"/>
    </row>
    <row r="18" spans="1:24" s="7" customFormat="1" ht="9.75" x14ac:dyDescent="0.2">
      <c r="A18" s="15" t="s">
        <v>39</v>
      </c>
      <c r="B18" s="750" t="s">
        <v>40</v>
      </c>
      <c r="C18" s="750"/>
      <c r="D18" s="16" t="s">
        <v>16</v>
      </c>
      <c r="E18" s="17">
        <f t="shared" si="9"/>
        <v>1100000</v>
      </c>
      <c r="F18" s="17">
        <f t="shared" si="9"/>
        <v>1100000</v>
      </c>
      <c r="G18" s="17">
        <f t="shared" si="9"/>
        <v>602990.78</v>
      </c>
      <c r="H18" s="18">
        <f t="shared" si="0"/>
        <v>54.817343636363638</v>
      </c>
      <c r="I18" s="17">
        <f t="shared" si="9"/>
        <v>896848</v>
      </c>
      <c r="J18" s="44">
        <v>1100000</v>
      </c>
      <c r="K18" s="44">
        <v>1100000</v>
      </c>
      <c r="L18" s="17">
        <v>602990.78</v>
      </c>
      <c r="M18" s="18">
        <f t="shared" si="2"/>
        <v>54.817343636363638</v>
      </c>
      <c r="N18" s="17">
        <v>896848</v>
      </c>
      <c r="O18" s="17"/>
      <c r="P18" s="17"/>
      <c r="Q18" s="17"/>
      <c r="R18" s="18">
        <v>0</v>
      </c>
      <c r="S18" s="17"/>
      <c r="T18" s="17">
        <v>13000</v>
      </c>
      <c r="U18" s="17">
        <v>13000</v>
      </c>
      <c r="V18" s="17">
        <v>0</v>
      </c>
      <c r="W18" s="18">
        <f t="shared" si="6"/>
        <v>0</v>
      </c>
      <c r="X18" s="160">
        <v>0</v>
      </c>
    </row>
    <row r="19" spans="1:24" s="28" customFormat="1" ht="9.75" x14ac:dyDescent="0.2">
      <c r="A19" s="15" t="s">
        <v>41</v>
      </c>
      <c r="B19" s="750" t="s">
        <v>42</v>
      </c>
      <c r="C19" s="750"/>
      <c r="D19" s="16" t="s">
        <v>16</v>
      </c>
      <c r="E19" s="17">
        <f t="shared" si="9"/>
        <v>21369400</v>
      </c>
      <c r="F19" s="17">
        <f t="shared" si="9"/>
        <v>21369400</v>
      </c>
      <c r="G19" s="17">
        <f t="shared" si="9"/>
        <v>10565278</v>
      </c>
      <c r="H19" s="18">
        <f t="shared" si="0"/>
        <v>49.441154173725046</v>
      </c>
      <c r="I19" s="17">
        <f t="shared" si="9"/>
        <v>9764858</v>
      </c>
      <c r="J19" s="45"/>
      <c r="K19" s="45"/>
      <c r="L19" s="17"/>
      <c r="M19" s="18">
        <v>0</v>
      </c>
      <c r="N19" s="17"/>
      <c r="O19" s="17">
        <v>21369400</v>
      </c>
      <c r="P19" s="17">
        <v>21369400</v>
      </c>
      <c r="Q19" s="17">
        <v>10565278</v>
      </c>
      <c r="R19" s="18">
        <f t="shared" si="4"/>
        <v>49.441154173725046</v>
      </c>
      <c r="S19" s="17">
        <v>9764858</v>
      </c>
      <c r="T19" s="27"/>
      <c r="U19" s="27"/>
      <c r="V19" s="27"/>
      <c r="W19" s="18">
        <v>0</v>
      </c>
      <c r="X19" s="163"/>
    </row>
    <row r="20" spans="1:24" s="7" customFormat="1" ht="9.75" x14ac:dyDescent="0.2">
      <c r="A20" s="15" t="s">
        <v>43</v>
      </c>
      <c r="B20" s="750" t="s">
        <v>44</v>
      </c>
      <c r="C20" s="750"/>
      <c r="D20" s="16" t="s">
        <v>16</v>
      </c>
      <c r="E20" s="17">
        <f t="shared" si="9"/>
        <v>7469802</v>
      </c>
      <c r="F20" s="17">
        <f t="shared" si="9"/>
        <v>7469802</v>
      </c>
      <c r="G20" s="17">
        <f t="shared" si="9"/>
        <v>3597041</v>
      </c>
      <c r="H20" s="18">
        <f t="shared" si="0"/>
        <v>48.154435686514852</v>
      </c>
      <c r="I20" s="17">
        <f t="shared" si="9"/>
        <v>3304016</v>
      </c>
      <c r="J20" s="44">
        <v>100000</v>
      </c>
      <c r="K20" s="44">
        <v>100000</v>
      </c>
      <c r="L20" s="17">
        <v>21175</v>
      </c>
      <c r="M20" s="18">
        <f t="shared" si="2"/>
        <v>21.175000000000001</v>
      </c>
      <c r="N20" s="17"/>
      <c r="O20" s="17">
        <v>7369802</v>
      </c>
      <c r="P20" s="17">
        <v>7369802</v>
      </c>
      <c r="Q20" s="17">
        <v>3575866</v>
      </c>
      <c r="R20" s="18">
        <f t="shared" si="4"/>
        <v>48.520516562046033</v>
      </c>
      <c r="S20" s="17">
        <v>3304016</v>
      </c>
      <c r="T20" s="17"/>
      <c r="U20" s="17"/>
      <c r="V20" s="17"/>
      <c r="W20" s="18">
        <v>0</v>
      </c>
      <c r="X20" s="160"/>
    </row>
    <row r="21" spans="1:24" s="7" customFormat="1" ht="9.75" x14ac:dyDescent="0.2">
      <c r="A21" s="15" t="s">
        <v>45</v>
      </c>
      <c r="B21" s="750" t="s">
        <v>46</v>
      </c>
      <c r="C21" s="750"/>
      <c r="D21" s="16" t="s">
        <v>16</v>
      </c>
      <c r="E21" s="17">
        <f t="shared" si="9"/>
        <v>450588</v>
      </c>
      <c r="F21" s="17">
        <f t="shared" si="9"/>
        <v>450588</v>
      </c>
      <c r="G21" s="17">
        <f t="shared" si="9"/>
        <v>212959</v>
      </c>
      <c r="H21" s="18">
        <f t="shared" si="0"/>
        <v>47.262465933402574</v>
      </c>
      <c r="I21" s="17">
        <f t="shared" si="9"/>
        <v>197930</v>
      </c>
      <c r="J21" s="44">
        <v>25000</v>
      </c>
      <c r="K21" s="44">
        <v>25000</v>
      </c>
      <c r="L21" s="17">
        <v>2550</v>
      </c>
      <c r="M21" s="18">
        <f t="shared" si="2"/>
        <v>10.199999999999999</v>
      </c>
      <c r="N21" s="17">
        <v>3449</v>
      </c>
      <c r="O21" s="17">
        <v>425588</v>
      </c>
      <c r="P21" s="17">
        <v>425588</v>
      </c>
      <c r="Q21" s="17">
        <v>210409</v>
      </c>
      <c r="R21" s="18">
        <f t="shared" si="4"/>
        <v>49.439598860870134</v>
      </c>
      <c r="S21" s="17">
        <v>194481</v>
      </c>
      <c r="T21" s="17"/>
      <c r="U21" s="17"/>
      <c r="V21" s="17"/>
      <c r="W21" s="18">
        <v>0</v>
      </c>
      <c r="X21" s="160"/>
    </row>
    <row r="22" spans="1:24" s="7" customFormat="1" ht="9.75" x14ac:dyDescent="0.2">
      <c r="A22" s="15" t="s">
        <v>47</v>
      </c>
      <c r="B22" s="750" t="s">
        <v>48</v>
      </c>
      <c r="C22" s="750"/>
      <c r="D22" s="16" t="s">
        <v>16</v>
      </c>
      <c r="E22" s="17">
        <f t="shared" si="9"/>
        <v>0</v>
      </c>
      <c r="F22" s="17">
        <f t="shared" si="9"/>
        <v>1500</v>
      </c>
      <c r="G22" s="17">
        <f t="shared" si="9"/>
        <v>1500</v>
      </c>
      <c r="H22" s="18">
        <f t="shared" si="0"/>
        <v>100</v>
      </c>
      <c r="I22" s="17">
        <f t="shared" si="9"/>
        <v>0</v>
      </c>
      <c r="J22" s="44"/>
      <c r="K22" s="44">
        <v>1500</v>
      </c>
      <c r="L22" s="17">
        <v>1500</v>
      </c>
      <c r="M22" s="18">
        <f t="shared" si="2"/>
        <v>100</v>
      </c>
      <c r="N22" s="17"/>
      <c r="O22" s="17"/>
      <c r="P22" s="17"/>
      <c r="Q22" s="17"/>
      <c r="R22" s="18">
        <v>0</v>
      </c>
      <c r="S22" s="17"/>
      <c r="T22" s="17"/>
      <c r="U22" s="17"/>
      <c r="V22" s="17"/>
      <c r="W22" s="18">
        <v>0</v>
      </c>
      <c r="X22" s="160"/>
    </row>
    <row r="23" spans="1:24" s="7" customFormat="1" ht="9.75" x14ac:dyDescent="0.2">
      <c r="A23" s="15" t="s">
        <v>49</v>
      </c>
      <c r="B23" s="21" t="s">
        <v>50</v>
      </c>
      <c r="C23" s="21"/>
      <c r="D23" s="16" t="s">
        <v>16</v>
      </c>
      <c r="E23" s="17">
        <f t="shared" si="9"/>
        <v>0</v>
      </c>
      <c r="F23" s="17">
        <f t="shared" si="9"/>
        <v>699</v>
      </c>
      <c r="G23" s="17">
        <f t="shared" si="9"/>
        <v>699</v>
      </c>
      <c r="H23" s="18">
        <f t="shared" si="0"/>
        <v>100</v>
      </c>
      <c r="I23" s="17">
        <f t="shared" si="9"/>
        <v>0</v>
      </c>
      <c r="J23" s="44"/>
      <c r="K23" s="44">
        <v>699</v>
      </c>
      <c r="L23" s="17">
        <v>699</v>
      </c>
      <c r="M23" s="18">
        <f t="shared" si="2"/>
        <v>100</v>
      </c>
      <c r="N23" s="17"/>
      <c r="O23" s="17"/>
      <c r="P23" s="17"/>
      <c r="Q23" s="17"/>
      <c r="R23" s="18">
        <v>0</v>
      </c>
      <c r="S23" s="17"/>
      <c r="T23" s="17"/>
      <c r="U23" s="17"/>
      <c r="V23" s="17"/>
      <c r="W23" s="18">
        <v>0</v>
      </c>
      <c r="X23" s="160"/>
    </row>
    <row r="24" spans="1:24" s="7" customFormat="1" ht="9.75" x14ac:dyDescent="0.2">
      <c r="A24" s="15" t="s">
        <v>51</v>
      </c>
      <c r="B24" s="21" t="s">
        <v>52</v>
      </c>
      <c r="C24" s="21"/>
      <c r="D24" s="16" t="s">
        <v>16</v>
      </c>
      <c r="E24" s="17">
        <f t="shared" si="9"/>
        <v>0</v>
      </c>
      <c r="F24" s="17">
        <f t="shared" si="9"/>
        <v>0</v>
      </c>
      <c r="G24" s="17">
        <f t="shared" si="9"/>
        <v>0</v>
      </c>
      <c r="H24" s="18">
        <v>0</v>
      </c>
      <c r="I24" s="17">
        <f t="shared" si="9"/>
        <v>0</v>
      </c>
      <c r="J24" s="44"/>
      <c r="K24" s="44"/>
      <c r="L24" s="17"/>
      <c r="M24" s="18">
        <v>0</v>
      </c>
      <c r="N24" s="17"/>
      <c r="O24" s="17"/>
      <c r="P24" s="17"/>
      <c r="Q24" s="17"/>
      <c r="R24" s="18">
        <v>0</v>
      </c>
      <c r="S24" s="17"/>
      <c r="T24" s="17"/>
      <c r="U24" s="17"/>
      <c r="V24" s="17"/>
      <c r="W24" s="18">
        <v>0</v>
      </c>
      <c r="X24" s="160"/>
    </row>
    <row r="25" spans="1:24" s="7" customFormat="1" ht="9.75" x14ac:dyDescent="0.2">
      <c r="A25" s="15" t="s">
        <v>53</v>
      </c>
      <c r="B25" s="21" t="s">
        <v>54</v>
      </c>
      <c r="C25" s="21"/>
      <c r="D25" s="16" t="s">
        <v>16</v>
      </c>
      <c r="E25" s="17">
        <f t="shared" si="9"/>
        <v>0</v>
      </c>
      <c r="F25" s="17">
        <f t="shared" si="9"/>
        <v>0</v>
      </c>
      <c r="G25" s="17">
        <f t="shared" si="9"/>
        <v>0</v>
      </c>
      <c r="H25" s="18">
        <v>0</v>
      </c>
      <c r="I25" s="17">
        <f t="shared" si="9"/>
        <v>0</v>
      </c>
      <c r="J25" s="44"/>
      <c r="K25" s="44"/>
      <c r="L25" s="25"/>
      <c r="M25" s="18">
        <v>0</v>
      </c>
      <c r="N25" s="25"/>
      <c r="O25" s="25"/>
      <c r="P25" s="25"/>
      <c r="Q25" s="25"/>
      <c r="R25" s="18">
        <v>0</v>
      </c>
      <c r="S25" s="25"/>
      <c r="T25" s="25"/>
      <c r="U25" s="25"/>
      <c r="V25" s="25"/>
      <c r="W25" s="18">
        <v>0</v>
      </c>
      <c r="X25" s="164"/>
    </row>
    <row r="26" spans="1:24" s="30" customFormat="1" ht="9.75" x14ac:dyDescent="0.2">
      <c r="A26" s="15" t="s">
        <v>55</v>
      </c>
      <c r="B26" s="750" t="s">
        <v>56</v>
      </c>
      <c r="C26" s="750"/>
      <c r="D26" s="16" t="s">
        <v>16</v>
      </c>
      <c r="E26" s="17">
        <f t="shared" si="9"/>
        <v>723258</v>
      </c>
      <c r="F26" s="17">
        <f t="shared" si="9"/>
        <v>723258</v>
      </c>
      <c r="G26" s="17">
        <f t="shared" si="9"/>
        <v>362391</v>
      </c>
      <c r="H26" s="29">
        <f>G26/F26*100</f>
        <v>50.105356594742126</v>
      </c>
      <c r="I26" s="17">
        <f>SUM(N26,S26)</f>
        <v>365883</v>
      </c>
      <c r="J26" s="44">
        <v>723258</v>
      </c>
      <c r="K26" s="44">
        <v>723258</v>
      </c>
      <c r="L26" s="26">
        <v>362391</v>
      </c>
      <c r="M26" s="18">
        <f>L26/K26*100</f>
        <v>50.105356594742126</v>
      </c>
      <c r="N26" s="26">
        <v>365883</v>
      </c>
      <c r="O26" s="26"/>
      <c r="P26" s="26"/>
      <c r="Q26" s="26"/>
      <c r="R26" s="18">
        <v>0</v>
      </c>
      <c r="S26" s="26"/>
      <c r="T26" s="46"/>
      <c r="U26" s="46"/>
      <c r="V26" s="46"/>
      <c r="W26" s="18">
        <v>0</v>
      </c>
      <c r="X26" s="165"/>
    </row>
    <row r="27" spans="1:24" s="30" customFormat="1" ht="9.75" x14ac:dyDescent="0.2">
      <c r="A27" s="15" t="s">
        <v>57</v>
      </c>
      <c r="B27" s="21" t="s">
        <v>58</v>
      </c>
      <c r="C27" s="21"/>
      <c r="D27" s="16" t="s">
        <v>16</v>
      </c>
      <c r="E27" s="17">
        <f t="shared" si="9"/>
        <v>0</v>
      </c>
      <c r="F27" s="17">
        <f t="shared" si="9"/>
        <v>0</v>
      </c>
      <c r="G27" s="17">
        <f t="shared" si="9"/>
        <v>0</v>
      </c>
      <c r="H27" s="29">
        <v>0</v>
      </c>
      <c r="I27" s="17">
        <f t="shared" si="9"/>
        <v>0</v>
      </c>
      <c r="J27" s="44"/>
      <c r="K27" s="44"/>
      <c r="L27" s="26"/>
      <c r="M27" s="18">
        <v>0</v>
      </c>
      <c r="N27" s="26"/>
      <c r="O27" s="26"/>
      <c r="P27" s="26"/>
      <c r="Q27" s="26"/>
      <c r="R27" s="18">
        <v>0</v>
      </c>
      <c r="S27" s="26"/>
      <c r="T27" s="46"/>
      <c r="U27" s="46"/>
      <c r="V27" s="46"/>
      <c r="W27" s="18">
        <v>0</v>
      </c>
      <c r="X27" s="165"/>
    </row>
    <row r="28" spans="1:24" s="30" customFormat="1" ht="9.75" x14ac:dyDescent="0.2">
      <c r="A28" s="15" t="s">
        <v>59</v>
      </c>
      <c r="B28" s="21" t="s">
        <v>60</v>
      </c>
      <c r="C28" s="21"/>
      <c r="D28" s="16" t="s">
        <v>16</v>
      </c>
      <c r="E28" s="17">
        <f>SUM(J28,O28)</f>
        <v>667742</v>
      </c>
      <c r="F28" s="17">
        <f>SUM(K28,P28)</f>
        <v>733042</v>
      </c>
      <c r="G28" s="17">
        <f>SUM(L28,Q28)</f>
        <v>519385</v>
      </c>
      <c r="H28" s="29">
        <f>G28/F28*100</f>
        <v>70.853375386403499</v>
      </c>
      <c r="I28" s="17">
        <f>SUM(N28,S28)</f>
        <v>366690</v>
      </c>
      <c r="J28" s="44">
        <v>667742</v>
      </c>
      <c r="K28" s="44">
        <v>733042</v>
      </c>
      <c r="L28" s="26">
        <v>519385</v>
      </c>
      <c r="M28" s="18">
        <f>L28/K28*100</f>
        <v>70.853375386403499</v>
      </c>
      <c r="N28" s="26">
        <v>366690</v>
      </c>
      <c r="O28" s="26"/>
      <c r="P28" s="26"/>
      <c r="Q28" s="26"/>
      <c r="R28" s="18">
        <v>0</v>
      </c>
      <c r="S28" s="26"/>
      <c r="T28" s="46"/>
      <c r="U28" s="46"/>
      <c r="V28" s="46"/>
      <c r="W28" s="18">
        <v>0</v>
      </c>
      <c r="X28" s="165"/>
    </row>
    <row r="29" spans="1:24" s="31" customFormat="1" ht="9.75" x14ac:dyDescent="0.2">
      <c r="A29" s="15" t="s">
        <v>61</v>
      </c>
      <c r="B29" s="21" t="s">
        <v>62</v>
      </c>
      <c r="C29" s="21"/>
      <c r="D29" s="16" t="s">
        <v>16</v>
      </c>
      <c r="E29" s="17">
        <f t="shared" si="9"/>
        <v>95000</v>
      </c>
      <c r="F29" s="17">
        <f t="shared" si="9"/>
        <v>95000</v>
      </c>
      <c r="G29" s="17">
        <f t="shared" si="9"/>
        <v>15934</v>
      </c>
      <c r="H29" s="29">
        <f t="shared" si="0"/>
        <v>16.772631578947369</v>
      </c>
      <c r="I29" s="17">
        <f t="shared" si="9"/>
        <v>80330</v>
      </c>
      <c r="J29" s="44">
        <v>95000</v>
      </c>
      <c r="K29" s="44">
        <v>95000</v>
      </c>
      <c r="L29" s="26">
        <v>15934</v>
      </c>
      <c r="M29" s="18">
        <f t="shared" si="2"/>
        <v>16.772631578947369</v>
      </c>
      <c r="N29" s="26">
        <v>80330</v>
      </c>
      <c r="O29" s="26"/>
      <c r="P29" s="26"/>
      <c r="Q29" s="26"/>
      <c r="R29" s="18">
        <v>0</v>
      </c>
      <c r="S29" s="26"/>
      <c r="T29" s="46"/>
      <c r="U29" s="46"/>
      <c r="V29" s="46"/>
      <c r="W29" s="18">
        <v>0</v>
      </c>
      <c r="X29" s="165"/>
    </row>
    <row r="30" spans="1:24" s="7" customFormat="1" ht="9.75" x14ac:dyDescent="0.2">
      <c r="A30" s="15" t="s">
        <v>63</v>
      </c>
      <c r="B30" s="21" t="s">
        <v>64</v>
      </c>
      <c r="C30" s="21"/>
      <c r="D30" s="16" t="s">
        <v>16</v>
      </c>
      <c r="E30" s="17">
        <f t="shared" ref="E30:G31" si="10">SUM(J30,O30)</f>
        <v>0</v>
      </c>
      <c r="F30" s="17">
        <f t="shared" si="10"/>
        <v>0</v>
      </c>
      <c r="G30" s="17">
        <f t="shared" si="10"/>
        <v>0</v>
      </c>
      <c r="H30" s="29">
        <v>0</v>
      </c>
      <c r="I30" s="17">
        <f>SUM(N30,S30)</f>
        <v>0</v>
      </c>
      <c r="J30" s="44"/>
      <c r="K30" s="44"/>
      <c r="L30" s="26"/>
      <c r="M30" s="18">
        <v>0</v>
      </c>
      <c r="N30" s="26"/>
      <c r="O30" s="26"/>
      <c r="P30" s="26"/>
      <c r="Q30" s="26"/>
      <c r="R30" s="18">
        <v>0</v>
      </c>
      <c r="S30" s="26"/>
      <c r="T30" s="46"/>
      <c r="U30" s="46"/>
      <c r="V30" s="46"/>
      <c r="W30" s="18">
        <v>0</v>
      </c>
      <c r="X30" s="165"/>
    </row>
    <row r="31" spans="1:24" s="34" customFormat="1" ht="9.75" x14ac:dyDescent="0.2">
      <c r="A31" s="15" t="s">
        <v>65</v>
      </c>
      <c r="B31" s="21" t="s">
        <v>66</v>
      </c>
      <c r="C31" s="21"/>
      <c r="D31" s="16" t="s">
        <v>16</v>
      </c>
      <c r="E31" s="17">
        <f t="shared" si="10"/>
        <v>0</v>
      </c>
      <c r="F31" s="17">
        <f t="shared" si="10"/>
        <v>0</v>
      </c>
      <c r="G31" s="17">
        <f t="shared" si="10"/>
        <v>0</v>
      </c>
      <c r="H31" s="29">
        <v>0</v>
      </c>
      <c r="I31" s="17">
        <f>SUM(N31,S31)</f>
        <v>0</v>
      </c>
      <c r="J31" s="44"/>
      <c r="K31" s="44"/>
      <c r="L31" s="32"/>
      <c r="M31" s="18">
        <v>0</v>
      </c>
      <c r="N31" s="32"/>
      <c r="O31" s="32"/>
      <c r="P31" s="32"/>
      <c r="Q31" s="32"/>
      <c r="R31" s="18">
        <v>0</v>
      </c>
      <c r="S31" s="32"/>
      <c r="T31" s="33"/>
      <c r="U31" s="33"/>
      <c r="V31" s="33"/>
      <c r="W31" s="18">
        <v>0</v>
      </c>
      <c r="X31" s="166"/>
    </row>
    <row r="32" spans="1:24" s="34" customFormat="1" ht="9.75" x14ac:dyDescent="0.2">
      <c r="A32" s="15" t="s">
        <v>67</v>
      </c>
      <c r="B32" s="21" t="s">
        <v>68</v>
      </c>
      <c r="C32" s="21"/>
      <c r="D32" s="16" t="s">
        <v>16</v>
      </c>
      <c r="E32" s="17">
        <f>SUM(J32,O32)</f>
        <v>0</v>
      </c>
      <c r="F32" s="17">
        <f>SUM(K32,P32)</f>
        <v>0</v>
      </c>
      <c r="G32" s="17">
        <f>SUM(L32,Q32)</f>
        <v>0</v>
      </c>
      <c r="H32" s="29">
        <v>0</v>
      </c>
      <c r="I32" s="17">
        <f>SUM(N32,S32)</f>
        <v>0</v>
      </c>
      <c r="J32" s="47"/>
      <c r="K32" s="47"/>
      <c r="L32" s="33"/>
      <c r="M32" s="18">
        <v>0</v>
      </c>
      <c r="N32" s="33"/>
      <c r="O32" s="33"/>
      <c r="P32" s="33"/>
      <c r="Q32" s="33"/>
      <c r="R32" s="18">
        <v>0</v>
      </c>
      <c r="S32" s="33"/>
      <c r="T32" s="33"/>
      <c r="U32" s="33"/>
      <c r="V32" s="33"/>
      <c r="W32" s="18">
        <v>0</v>
      </c>
      <c r="X32" s="167"/>
    </row>
    <row r="33" spans="1:24" s="34" customFormat="1" ht="9.75" x14ac:dyDescent="0.2">
      <c r="A33" s="11" t="s">
        <v>69</v>
      </c>
      <c r="B33" s="35" t="s">
        <v>70</v>
      </c>
      <c r="C33" s="35"/>
      <c r="D33" s="12" t="s">
        <v>16</v>
      </c>
      <c r="E33" s="13">
        <f>E6-E11</f>
        <v>0</v>
      </c>
      <c r="F33" s="13">
        <f>F6-F11</f>
        <v>0</v>
      </c>
      <c r="G33" s="13">
        <f>G6-G11</f>
        <v>769937.23000000045</v>
      </c>
      <c r="H33" s="36">
        <v>0</v>
      </c>
      <c r="I33" s="13">
        <f>I6-I11</f>
        <v>865186</v>
      </c>
      <c r="J33" s="13">
        <f>J6-J11</f>
        <v>0</v>
      </c>
      <c r="K33" s="13">
        <f>K6-K11</f>
        <v>0</v>
      </c>
      <c r="L33" s="13">
        <f>L6-L11</f>
        <v>539590.23</v>
      </c>
      <c r="M33" s="14">
        <v>0</v>
      </c>
      <c r="N33" s="13">
        <f>N6-N11</f>
        <v>561191</v>
      </c>
      <c r="O33" s="13">
        <f>O6-O11</f>
        <v>0</v>
      </c>
      <c r="P33" s="13">
        <f>P6-P11</f>
        <v>0</v>
      </c>
      <c r="Q33" s="13">
        <f>Q6-Q11</f>
        <v>230347</v>
      </c>
      <c r="R33" s="14">
        <v>0</v>
      </c>
      <c r="S33" s="13">
        <f>S6-S11</f>
        <v>303995</v>
      </c>
      <c r="T33" s="13">
        <f>T6-T11</f>
        <v>28717</v>
      </c>
      <c r="U33" s="13">
        <f>U6-U11</f>
        <v>28717</v>
      </c>
      <c r="V33" s="13">
        <f>V6-V11</f>
        <v>57637</v>
      </c>
      <c r="W33" s="14">
        <f t="shared" si="6"/>
        <v>200.70689835289198</v>
      </c>
      <c r="X33" s="13">
        <f>X6-X11</f>
        <v>57637</v>
      </c>
    </row>
    <row r="34" spans="1:24" s="1" customFormat="1" ht="9.75" x14ac:dyDescent="0.2">
      <c r="A34" s="37" t="s">
        <v>71</v>
      </c>
      <c r="B34" s="749" t="s">
        <v>72</v>
      </c>
      <c r="C34" s="749"/>
      <c r="D34" s="38" t="s">
        <v>16</v>
      </c>
      <c r="E34" s="48">
        <v>32960</v>
      </c>
      <c r="F34" s="48">
        <v>32960</v>
      </c>
      <c r="G34" s="48">
        <v>32960</v>
      </c>
      <c r="H34" s="29">
        <v>100</v>
      </c>
      <c r="I34" s="48">
        <v>31526</v>
      </c>
      <c r="J34" s="39">
        <v>0</v>
      </c>
      <c r="K34" s="39">
        <v>0</v>
      </c>
      <c r="L34" s="39">
        <v>0</v>
      </c>
      <c r="M34" s="14">
        <v>0</v>
      </c>
      <c r="N34" s="39">
        <v>0</v>
      </c>
      <c r="O34" s="39">
        <v>32960</v>
      </c>
      <c r="P34" s="39">
        <v>32960</v>
      </c>
      <c r="Q34" s="39">
        <v>32960</v>
      </c>
      <c r="R34" s="14">
        <f t="shared" si="4"/>
        <v>100</v>
      </c>
      <c r="S34" s="39">
        <v>31526</v>
      </c>
      <c r="T34" s="39">
        <v>0</v>
      </c>
      <c r="U34" s="39">
        <v>0</v>
      </c>
      <c r="V34" s="39">
        <v>0</v>
      </c>
      <c r="W34" s="14" t="e">
        <f t="shared" si="6"/>
        <v>#DIV/0!</v>
      </c>
      <c r="X34" s="39">
        <v>0</v>
      </c>
    </row>
    <row r="35" spans="1:24" s="1" customFormat="1" ht="9.75" x14ac:dyDescent="0.2">
      <c r="A35" s="40" t="s">
        <v>73</v>
      </c>
      <c r="B35" s="751" t="s">
        <v>74</v>
      </c>
      <c r="C35" s="751"/>
      <c r="D35" s="40" t="s">
        <v>75</v>
      </c>
      <c r="E35" s="48">
        <v>49</v>
      </c>
      <c r="F35" s="48">
        <v>49</v>
      </c>
      <c r="G35" s="48">
        <v>49</v>
      </c>
      <c r="H35" s="29">
        <v>100</v>
      </c>
      <c r="I35" s="48">
        <v>49</v>
      </c>
      <c r="J35" s="39">
        <v>0</v>
      </c>
      <c r="K35" s="49">
        <v>0</v>
      </c>
      <c r="L35" s="39">
        <v>0</v>
      </c>
      <c r="M35" s="14">
        <v>0</v>
      </c>
      <c r="N35" s="39">
        <v>0</v>
      </c>
      <c r="O35" s="39">
        <v>49</v>
      </c>
      <c r="P35" s="39">
        <v>49</v>
      </c>
      <c r="Q35" s="39">
        <v>49</v>
      </c>
      <c r="R35" s="14">
        <f t="shared" si="4"/>
        <v>100</v>
      </c>
      <c r="S35" s="39">
        <v>49</v>
      </c>
      <c r="T35" s="39">
        <v>0</v>
      </c>
      <c r="U35" s="39">
        <v>0</v>
      </c>
      <c r="V35" s="39">
        <v>0</v>
      </c>
      <c r="W35" s="14" t="e">
        <f t="shared" si="6"/>
        <v>#DIV/0!</v>
      </c>
      <c r="X35" s="39">
        <v>0</v>
      </c>
    </row>
    <row r="36" spans="1:24" s="1" customFormat="1" ht="9.75" x14ac:dyDescent="0.2">
      <c r="A36" s="37" t="s">
        <v>76</v>
      </c>
      <c r="B36" s="749" t="s">
        <v>77</v>
      </c>
      <c r="C36" s="749"/>
      <c r="D36" s="38" t="s">
        <v>75</v>
      </c>
      <c r="E36" s="48">
        <v>52</v>
      </c>
      <c r="F36" s="48">
        <v>52</v>
      </c>
      <c r="G36" s="48">
        <v>52</v>
      </c>
      <c r="H36" s="29">
        <v>100</v>
      </c>
      <c r="I36" s="48">
        <v>51</v>
      </c>
      <c r="J36" s="39">
        <v>0</v>
      </c>
      <c r="K36" s="39">
        <v>0</v>
      </c>
      <c r="L36" s="39">
        <v>0</v>
      </c>
      <c r="M36" s="14">
        <v>0</v>
      </c>
      <c r="N36" s="39">
        <v>0</v>
      </c>
      <c r="O36" s="39">
        <v>52</v>
      </c>
      <c r="P36" s="39">
        <v>52</v>
      </c>
      <c r="Q36" s="39">
        <v>52</v>
      </c>
      <c r="R36" s="14">
        <f t="shared" si="4"/>
        <v>100</v>
      </c>
      <c r="S36" s="39">
        <v>51</v>
      </c>
      <c r="T36" s="39">
        <v>0</v>
      </c>
      <c r="U36" s="39">
        <v>0</v>
      </c>
      <c r="V36" s="39">
        <v>0</v>
      </c>
      <c r="W36" s="14" t="e">
        <f t="shared" si="6"/>
        <v>#DIV/0!</v>
      </c>
      <c r="X36" s="39">
        <v>0</v>
      </c>
    </row>
  </sheetData>
  <mergeCells count="38">
    <mergeCell ref="A1:X1"/>
    <mergeCell ref="A3:A5"/>
    <mergeCell ref="B3:C5"/>
    <mergeCell ref="D3:D5"/>
    <mergeCell ref="E3:I3"/>
    <mergeCell ref="J3:N3"/>
    <mergeCell ref="O3:S3"/>
    <mergeCell ref="T3:X3"/>
    <mergeCell ref="E4:E5"/>
    <mergeCell ref="F4:H4"/>
    <mergeCell ref="I4:I5"/>
    <mergeCell ref="J4:J5"/>
    <mergeCell ref="X4:X5"/>
    <mergeCell ref="B6:C6"/>
    <mergeCell ref="O4:O5"/>
    <mergeCell ref="P4:R4"/>
    <mergeCell ref="B12:C12"/>
    <mergeCell ref="K4:M4"/>
    <mergeCell ref="N4:N5"/>
    <mergeCell ref="S4:S5"/>
    <mergeCell ref="T4:T5"/>
    <mergeCell ref="U4:W4"/>
    <mergeCell ref="B8:C8"/>
    <mergeCell ref="B10:C10"/>
    <mergeCell ref="B11:C11"/>
    <mergeCell ref="B7:C7"/>
    <mergeCell ref="B13:C13"/>
    <mergeCell ref="B26:C26"/>
    <mergeCell ref="B34:C34"/>
    <mergeCell ref="B35:C35"/>
    <mergeCell ref="B15:C15"/>
    <mergeCell ref="B36:C36"/>
    <mergeCell ref="B16:C16"/>
    <mergeCell ref="B18:C18"/>
    <mergeCell ref="B19:C19"/>
    <mergeCell ref="B20:C20"/>
    <mergeCell ref="B21:C21"/>
    <mergeCell ref="B22:C22"/>
  </mergeCells>
  <pageMargins left="0.70866141732283472" right="0.70866141732283472" top="0.78740157480314965" bottom="0.78740157480314965" header="0.31496062992125984" footer="0.31496062992125984"/>
  <pageSetup paperSize="9" scale="85" firstPageNumber="122" orientation="landscape" useFirstPageNumber="1" r:id="rId1"/>
  <headerFooter>
    <oddFooter>&amp;C&amp;P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4"/>
  <sheetViews>
    <sheetView topLeftCell="A31" workbookViewId="0">
      <selection activeCell="C51" sqref="C51"/>
    </sheetView>
  </sheetViews>
  <sheetFormatPr defaultColWidth="9.140625" defaultRowHeight="12.75" x14ac:dyDescent="0.2"/>
  <cols>
    <col min="1" max="1" width="33.140625" style="4" customWidth="1"/>
    <col min="2" max="2" width="19.140625" style="4" customWidth="1"/>
    <col min="3" max="5" width="14.7109375" style="4" customWidth="1"/>
    <col min="6" max="7" width="13" style="4" customWidth="1"/>
    <col min="8" max="8" width="18.42578125" style="4" customWidth="1"/>
    <col min="9" max="16384" width="9.140625" style="4"/>
  </cols>
  <sheetData>
    <row r="1" spans="1:9" s="168" customFormat="1" ht="18.75" x14ac:dyDescent="0.3">
      <c r="A1" s="818" t="s">
        <v>98</v>
      </c>
      <c r="B1" s="818"/>
      <c r="C1" s="818"/>
      <c r="D1" s="818"/>
      <c r="E1" s="818"/>
      <c r="F1" s="818"/>
      <c r="G1" s="818"/>
      <c r="H1" s="818"/>
      <c r="I1" s="818"/>
    </row>
    <row r="3" spans="1:9" s="169" customFormat="1" ht="10.5" x14ac:dyDescent="0.15">
      <c r="A3" s="781" t="s">
        <v>99</v>
      </c>
      <c r="B3" s="781"/>
      <c r="C3" s="781"/>
      <c r="D3" s="781"/>
      <c r="E3" s="781"/>
      <c r="F3" s="781"/>
      <c r="G3" s="781"/>
      <c r="H3" s="781"/>
      <c r="I3" s="781"/>
    </row>
    <row r="4" spans="1:9" s="170" customFormat="1" ht="11.25" x14ac:dyDescent="0.2"/>
    <row r="5" spans="1:9" s="172" customFormat="1" ht="9.75" x14ac:dyDescent="0.2">
      <c r="A5" s="819" t="s">
        <v>100</v>
      </c>
      <c r="B5" s="820"/>
      <c r="C5" s="171" t="s">
        <v>16</v>
      </c>
      <c r="D5" s="805" t="s">
        <v>101</v>
      </c>
      <c r="E5" s="805"/>
      <c r="F5" s="805"/>
      <c r="G5" s="805"/>
      <c r="H5" s="805"/>
      <c r="I5" s="805"/>
    </row>
    <row r="6" spans="1:9" s="170" customFormat="1" ht="51" customHeight="1" x14ac:dyDescent="0.2">
      <c r="A6" s="821" t="s">
        <v>102</v>
      </c>
      <c r="B6" s="822"/>
      <c r="C6" s="173">
        <v>539590.03</v>
      </c>
      <c r="D6" s="823" t="s">
        <v>704</v>
      </c>
      <c r="E6" s="824"/>
      <c r="F6" s="824"/>
      <c r="G6" s="824"/>
      <c r="H6" s="824"/>
      <c r="I6" s="825"/>
    </row>
    <row r="7" spans="1:9" s="174" customFormat="1" ht="24.75" customHeight="1" x14ac:dyDescent="0.15">
      <c r="A7" s="821" t="s">
        <v>103</v>
      </c>
      <c r="B7" s="822"/>
      <c r="C7" s="173">
        <v>57637</v>
      </c>
      <c r="D7" s="826" t="s">
        <v>705</v>
      </c>
      <c r="E7" s="827"/>
      <c r="F7" s="827"/>
      <c r="G7" s="827"/>
      <c r="H7" s="827"/>
      <c r="I7" s="828"/>
    </row>
    <row r="8" spans="1:9" s="174" customFormat="1" ht="15" customHeight="1" x14ac:dyDescent="0.15">
      <c r="A8" s="829" t="s">
        <v>105</v>
      </c>
      <c r="B8" s="830"/>
      <c r="C8" s="175">
        <v>230247</v>
      </c>
      <c r="D8" s="831"/>
      <c r="E8" s="832"/>
      <c r="F8" s="832"/>
      <c r="G8" s="832"/>
      <c r="H8" s="832"/>
      <c r="I8" s="833"/>
    </row>
    <row r="9" spans="1:9" s="170" customFormat="1" ht="11.25" x14ac:dyDescent="0.2">
      <c r="C9" s="176"/>
    </row>
    <row r="10" spans="1:9" s="177" customFormat="1" ht="11.25" x14ac:dyDescent="0.2">
      <c r="A10" s="781" t="s">
        <v>106</v>
      </c>
      <c r="B10" s="781"/>
      <c r="C10" s="781"/>
      <c r="D10" s="781"/>
      <c r="E10" s="781"/>
      <c r="F10" s="781"/>
      <c r="G10" s="781"/>
      <c r="H10" s="781"/>
      <c r="I10" s="781"/>
    </row>
    <row r="11" spans="1:9" s="170" customFormat="1" ht="12" thickBot="1" x14ac:dyDescent="0.25">
      <c r="C11" s="176"/>
    </row>
    <row r="12" spans="1:9" s="181" customFormat="1" ht="21" x14ac:dyDescent="0.15">
      <c r="A12" s="178" t="s">
        <v>107</v>
      </c>
      <c r="B12" s="178" t="s">
        <v>108</v>
      </c>
      <c r="C12" s="179" t="s">
        <v>109</v>
      </c>
      <c r="D12" s="180" t="s">
        <v>110</v>
      </c>
      <c r="E12" s="179" t="s">
        <v>111</v>
      </c>
      <c r="F12" s="814" t="s">
        <v>112</v>
      </c>
      <c r="G12" s="815"/>
      <c r="H12" s="816" t="s">
        <v>113</v>
      </c>
      <c r="I12" s="817"/>
    </row>
    <row r="13" spans="1:9" s="181" customFormat="1" ht="43.5" customHeight="1" x14ac:dyDescent="0.15">
      <c r="A13" s="182" t="s">
        <v>114</v>
      </c>
      <c r="B13" s="183">
        <v>141270.76</v>
      </c>
      <c r="C13" s="184">
        <v>138893.91</v>
      </c>
      <c r="D13" s="185">
        <v>0</v>
      </c>
      <c r="E13" s="184">
        <f>B13+C13-D13</f>
        <v>280164.67000000004</v>
      </c>
      <c r="F13" s="809">
        <v>280164.67</v>
      </c>
      <c r="G13" s="809"/>
      <c r="H13" s="801" t="s">
        <v>706</v>
      </c>
      <c r="I13" s="802"/>
    </row>
    <row r="14" spans="1:9" s="181" customFormat="1" ht="43.5" customHeight="1" x14ac:dyDescent="0.15">
      <c r="A14" s="182" t="s">
        <v>115</v>
      </c>
      <c r="B14" s="183">
        <v>0</v>
      </c>
      <c r="C14" s="184">
        <v>0</v>
      </c>
      <c r="D14" s="185">
        <v>0</v>
      </c>
      <c r="E14" s="184">
        <f t="shared" ref="E14:E17" si="0">B14+C14-D14</f>
        <v>0</v>
      </c>
      <c r="F14" s="810">
        <v>0</v>
      </c>
      <c r="G14" s="811"/>
      <c r="H14" s="801">
        <v>0</v>
      </c>
      <c r="I14" s="812"/>
    </row>
    <row r="15" spans="1:9" s="181" customFormat="1" ht="48" customHeight="1" x14ac:dyDescent="0.15">
      <c r="A15" s="186" t="s">
        <v>116</v>
      </c>
      <c r="B15" s="187">
        <v>189187.76</v>
      </c>
      <c r="C15" s="188">
        <v>362391</v>
      </c>
      <c r="D15" s="189">
        <v>369912</v>
      </c>
      <c r="E15" s="184">
        <f t="shared" si="0"/>
        <v>181666.76</v>
      </c>
      <c r="F15" s="813">
        <v>181666.76</v>
      </c>
      <c r="G15" s="813"/>
      <c r="H15" s="801" t="s">
        <v>707</v>
      </c>
      <c r="I15" s="802"/>
    </row>
    <row r="16" spans="1:9" s="181" customFormat="1" ht="35.25" customHeight="1" x14ac:dyDescent="0.15">
      <c r="A16" s="190" t="s">
        <v>117</v>
      </c>
      <c r="B16" s="191">
        <v>3500.77</v>
      </c>
      <c r="C16" s="192">
        <v>35000</v>
      </c>
      <c r="D16" s="193">
        <v>0</v>
      </c>
      <c r="E16" s="184">
        <f t="shared" si="0"/>
        <v>38500.769999999997</v>
      </c>
      <c r="F16" s="800">
        <v>38500.769999999997</v>
      </c>
      <c r="G16" s="800"/>
      <c r="H16" s="801" t="s">
        <v>192</v>
      </c>
      <c r="I16" s="802"/>
    </row>
    <row r="17" spans="1:9" s="181" customFormat="1" ht="51" customHeight="1" x14ac:dyDescent="0.15">
      <c r="A17" s="194" t="s">
        <v>118</v>
      </c>
      <c r="B17" s="195">
        <v>235433.12</v>
      </c>
      <c r="C17" s="196">
        <v>175345</v>
      </c>
      <c r="D17" s="197">
        <v>125924.21</v>
      </c>
      <c r="E17" s="184">
        <f t="shared" si="0"/>
        <v>284853.90999999997</v>
      </c>
      <c r="F17" s="803">
        <v>284860.05</v>
      </c>
      <c r="G17" s="803"/>
      <c r="H17" s="801" t="s">
        <v>708</v>
      </c>
      <c r="I17" s="802"/>
    </row>
    <row r="18" spans="1:9" s="181" customFormat="1" thickBot="1" x14ac:dyDescent="0.2">
      <c r="A18" s="198" t="s">
        <v>120</v>
      </c>
      <c r="B18" s="199">
        <f>SUM(B13:B17)</f>
        <v>569392.41</v>
      </c>
      <c r="C18" s="200">
        <f>SUM(C13:C17)</f>
        <v>711629.91</v>
      </c>
      <c r="D18" s="201">
        <f>SUM(D13:D17)</f>
        <v>495836.21</v>
      </c>
      <c r="E18" s="200">
        <f>SUM(E13:E17)</f>
        <v>785186.1100000001</v>
      </c>
      <c r="F18" s="804">
        <f>SUM(F13:G17)</f>
        <v>785192.25</v>
      </c>
      <c r="G18" s="804"/>
      <c r="H18" s="202"/>
      <c r="I18" s="203"/>
    </row>
    <row r="19" spans="1:9" s="204" customFormat="1" ht="11.25" x14ac:dyDescent="0.2">
      <c r="C19" s="205"/>
    </row>
    <row r="20" spans="1:9" s="177" customFormat="1" ht="11.25" x14ac:dyDescent="0.2">
      <c r="A20" s="781" t="s">
        <v>121</v>
      </c>
      <c r="B20" s="781"/>
      <c r="C20" s="781"/>
      <c r="D20" s="781"/>
      <c r="E20" s="781"/>
      <c r="F20" s="781"/>
      <c r="G20" s="781"/>
      <c r="H20" s="781"/>
      <c r="I20" s="781"/>
    </row>
    <row r="21" spans="1:9" s="170" customFormat="1" ht="11.25" x14ac:dyDescent="0.2">
      <c r="C21" s="176"/>
    </row>
    <row r="22" spans="1:9" s="170" customFormat="1" ht="11.25" x14ac:dyDescent="0.2">
      <c r="A22" s="171" t="s">
        <v>122</v>
      </c>
      <c r="B22" s="171" t="s">
        <v>16</v>
      </c>
      <c r="C22" s="206" t="s">
        <v>123</v>
      </c>
      <c r="D22" s="805" t="s">
        <v>124</v>
      </c>
      <c r="E22" s="805"/>
      <c r="F22" s="805"/>
      <c r="G22" s="805"/>
      <c r="H22" s="805"/>
      <c r="I22" s="805"/>
    </row>
    <row r="23" spans="1:9" s="170" customFormat="1" ht="11.25" customHeight="1" x14ac:dyDescent="0.2">
      <c r="A23" s="207"/>
      <c r="B23" s="208"/>
      <c r="C23" s="209"/>
      <c r="D23" s="797"/>
      <c r="E23" s="798"/>
      <c r="F23" s="798"/>
      <c r="G23" s="798"/>
      <c r="H23" s="798"/>
      <c r="I23" s="799"/>
    </row>
    <row r="24" spans="1:9" s="174" customFormat="1" ht="11.25" x14ac:dyDescent="0.2">
      <c r="A24" s="210" t="s">
        <v>120</v>
      </c>
      <c r="B24" s="211">
        <f>SUM(B23:B23)</f>
        <v>0</v>
      </c>
      <c r="C24" s="806"/>
      <c r="D24" s="806"/>
      <c r="E24" s="806"/>
      <c r="F24" s="806"/>
      <c r="G24" s="806"/>
      <c r="H24" s="806"/>
      <c r="I24" s="807"/>
    </row>
    <row r="25" spans="1:9" s="204" customFormat="1" ht="11.25" x14ac:dyDescent="0.2">
      <c r="A25" s="619" t="s">
        <v>174</v>
      </c>
      <c r="C25" s="205"/>
    </row>
    <row r="26" spans="1:9" s="204" customFormat="1" ht="11.25" x14ac:dyDescent="0.2">
      <c r="C26" s="205"/>
    </row>
    <row r="27" spans="1:9" s="177" customFormat="1" ht="11.25" x14ac:dyDescent="0.2">
      <c r="A27" s="781" t="s">
        <v>126</v>
      </c>
      <c r="B27" s="781"/>
      <c r="C27" s="781"/>
      <c r="D27" s="781"/>
      <c r="E27" s="781"/>
      <c r="F27" s="781"/>
      <c r="G27" s="781"/>
      <c r="H27" s="781"/>
      <c r="I27" s="781"/>
    </row>
    <row r="28" spans="1:9" s="170" customFormat="1" ht="11.25" x14ac:dyDescent="0.2">
      <c r="C28" s="176"/>
    </row>
    <row r="29" spans="1:9" s="170" customFormat="1" ht="11.25" x14ac:dyDescent="0.2">
      <c r="A29" s="171" t="s">
        <v>122</v>
      </c>
      <c r="B29" s="171" t="s">
        <v>16</v>
      </c>
      <c r="C29" s="206" t="s">
        <v>123</v>
      </c>
      <c r="D29" s="805" t="s">
        <v>127</v>
      </c>
      <c r="E29" s="805"/>
      <c r="F29" s="805"/>
      <c r="G29" s="805"/>
      <c r="H29" s="805"/>
      <c r="I29" s="808"/>
    </row>
    <row r="30" spans="1:9" s="170" customFormat="1" ht="11.25" customHeight="1" x14ac:dyDescent="0.2">
      <c r="A30" s="207"/>
      <c r="B30" s="208"/>
      <c r="C30" s="209"/>
      <c r="D30" s="797"/>
      <c r="E30" s="798"/>
      <c r="F30" s="798"/>
      <c r="G30" s="798"/>
      <c r="H30" s="798"/>
      <c r="I30" s="799"/>
    </row>
    <row r="31" spans="1:9" s="174" customFormat="1" ht="10.5" x14ac:dyDescent="0.15">
      <c r="A31" s="210" t="s">
        <v>120</v>
      </c>
      <c r="B31" s="211">
        <f>SUM(B30:B30)</f>
        <v>0</v>
      </c>
      <c r="C31" s="784"/>
      <c r="D31" s="784"/>
      <c r="E31" s="784"/>
      <c r="F31" s="784"/>
      <c r="G31" s="784"/>
      <c r="H31" s="784"/>
      <c r="I31" s="784"/>
    </row>
    <row r="32" spans="1:9" s="170" customFormat="1" ht="11.25" x14ac:dyDescent="0.2">
      <c r="A32" s="174" t="s">
        <v>175</v>
      </c>
      <c r="C32" s="176"/>
    </row>
    <row r="33" spans="1:9" s="170" customFormat="1" ht="11.25" x14ac:dyDescent="0.2">
      <c r="C33" s="176"/>
    </row>
    <row r="34" spans="1:9" s="177" customFormat="1" ht="11.25" x14ac:dyDescent="0.2">
      <c r="A34" s="781" t="s">
        <v>129</v>
      </c>
      <c r="B34" s="781"/>
      <c r="C34" s="781"/>
      <c r="D34" s="781"/>
      <c r="E34" s="781"/>
      <c r="F34" s="781"/>
      <c r="G34" s="781"/>
      <c r="H34" s="781"/>
      <c r="I34" s="781"/>
    </row>
    <row r="35" spans="1:9" s="170" customFormat="1" ht="11.25" x14ac:dyDescent="0.2">
      <c r="C35" s="212"/>
    </row>
    <row r="36" spans="1:9" s="170" customFormat="1" ht="11.25" x14ac:dyDescent="0.2">
      <c r="A36" s="171" t="s">
        <v>130</v>
      </c>
      <c r="B36" s="206" t="s">
        <v>131</v>
      </c>
      <c r="C36" s="785" t="s">
        <v>132</v>
      </c>
      <c r="D36" s="785"/>
      <c r="E36" s="785"/>
      <c r="F36" s="785"/>
      <c r="G36" s="785"/>
      <c r="H36" s="785"/>
      <c r="I36" s="786"/>
    </row>
    <row r="37" spans="1:9" s="170" customFormat="1" ht="11.25" x14ac:dyDescent="0.2">
      <c r="A37" s="213"/>
      <c r="B37" s="213"/>
      <c r="C37" s="787"/>
      <c r="D37" s="787"/>
      <c r="E37" s="787"/>
      <c r="F37" s="787"/>
      <c r="G37" s="787"/>
      <c r="H37" s="787"/>
      <c r="I37" s="787"/>
    </row>
    <row r="38" spans="1:9" s="174" customFormat="1" ht="10.5" x14ac:dyDescent="0.15">
      <c r="A38" s="214">
        <f>SUM(A37:A37)</f>
        <v>0</v>
      </c>
      <c r="B38" s="214">
        <f>SUM(B37:B37)</f>
        <v>0</v>
      </c>
      <c r="C38" s="788" t="s">
        <v>120</v>
      </c>
      <c r="D38" s="789"/>
      <c r="E38" s="789"/>
      <c r="F38" s="789"/>
      <c r="G38" s="789"/>
      <c r="H38" s="789"/>
      <c r="I38" s="790"/>
    </row>
    <row r="39" spans="1:9" s="170" customFormat="1" ht="11.25" x14ac:dyDescent="0.2">
      <c r="A39" s="174" t="s">
        <v>709</v>
      </c>
      <c r="C39" s="212"/>
    </row>
    <row r="40" spans="1:9" s="170" customFormat="1" ht="11.25" x14ac:dyDescent="0.2">
      <c r="C40" s="212"/>
    </row>
    <row r="41" spans="1:9" s="170" customFormat="1" ht="11.25" x14ac:dyDescent="0.2">
      <c r="A41" s="781" t="s">
        <v>177</v>
      </c>
      <c r="B41" s="766"/>
      <c r="C41" s="766"/>
      <c r="D41" s="766"/>
      <c r="E41" s="766"/>
      <c r="F41" s="766"/>
      <c r="G41" s="766"/>
      <c r="H41" s="766"/>
      <c r="I41" s="766"/>
    </row>
    <row r="42" spans="1:9" s="170" customFormat="1" ht="11.25" x14ac:dyDescent="0.2">
      <c r="C42" s="212"/>
    </row>
    <row r="43" spans="1:9" s="216" customFormat="1" ht="31.5" x14ac:dyDescent="0.25">
      <c r="A43" s="767" t="s">
        <v>135</v>
      </c>
      <c r="B43" s="768"/>
      <c r="C43" s="215" t="s">
        <v>136</v>
      </c>
      <c r="D43" s="215" t="s">
        <v>137</v>
      </c>
      <c r="E43" s="215" t="s">
        <v>138</v>
      </c>
      <c r="F43" s="215" t="s">
        <v>139</v>
      </c>
      <c r="G43" s="215" t="s">
        <v>140</v>
      </c>
    </row>
    <row r="44" spans="1:9" s="170" customFormat="1" ht="12" x14ac:dyDescent="0.2">
      <c r="A44" s="791" t="s">
        <v>710</v>
      </c>
      <c r="B44" s="792"/>
      <c r="C44" s="217" t="s">
        <v>383</v>
      </c>
      <c r="D44" s="218"/>
      <c r="E44" s="219">
        <v>-1500</v>
      </c>
      <c r="F44" s="220">
        <v>43132</v>
      </c>
      <c r="G44" s="221">
        <v>43132</v>
      </c>
    </row>
    <row r="45" spans="1:9" s="170" customFormat="1" ht="12" x14ac:dyDescent="0.2">
      <c r="A45" s="274"/>
      <c r="B45" s="331"/>
      <c r="C45" s="222" t="s">
        <v>711</v>
      </c>
      <c r="D45" s="223"/>
      <c r="E45" s="224">
        <v>1500</v>
      </c>
      <c r="F45" s="225">
        <v>43132</v>
      </c>
      <c r="G45" s="226">
        <v>43132</v>
      </c>
    </row>
    <row r="46" spans="1:9" s="170" customFormat="1" ht="12" x14ac:dyDescent="0.2">
      <c r="A46" s="1131" t="s">
        <v>712</v>
      </c>
      <c r="B46" s="1164"/>
      <c r="C46" s="222" t="s">
        <v>713</v>
      </c>
      <c r="D46" s="223"/>
      <c r="E46" s="224">
        <v>10000</v>
      </c>
      <c r="F46" s="225">
        <v>43202</v>
      </c>
      <c r="G46" s="226">
        <v>43202</v>
      </c>
    </row>
    <row r="47" spans="1:9" s="170" customFormat="1" ht="12" x14ac:dyDescent="0.2">
      <c r="A47" s="274"/>
      <c r="B47" s="331"/>
      <c r="C47" s="222" t="s">
        <v>383</v>
      </c>
      <c r="D47" s="223"/>
      <c r="E47" s="224">
        <v>-10000</v>
      </c>
      <c r="F47" s="225">
        <v>43202</v>
      </c>
      <c r="G47" s="226">
        <v>43202</v>
      </c>
    </row>
    <row r="48" spans="1:9" s="170" customFormat="1" ht="12" x14ac:dyDescent="0.2">
      <c r="A48" s="1131" t="s">
        <v>714</v>
      </c>
      <c r="B48" s="1164"/>
      <c r="C48" s="222" t="s">
        <v>715</v>
      </c>
      <c r="D48" s="223">
        <v>699</v>
      </c>
      <c r="E48" s="224"/>
      <c r="F48" s="225">
        <v>43202</v>
      </c>
      <c r="G48" s="226">
        <v>43202</v>
      </c>
    </row>
    <row r="49" spans="1:9" s="170" customFormat="1" ht="12" x14ac:dyDescent="0.2">
      <c r="A49" s="274"/>
      <c r="B49" s="331"/>
      <c r="C49" s="222" t="s">
        <v>716</v>
      </c>
      <c r="D49" s="223"/>
      <c r="E49" s="224">
        <v>699</v>
      </c>
      <c r="F49" s="225">
        <v>43202</v>
      </c>
      <c r="G49" s="226">
        <v>43202</v>
      </c>
    </row>
    <row r="50" spans="1:9" s="170" customFormat="1" ht="12" x14ac:dyDescent="0.2">
      <c r="A50" s="1131" t="s">
        <v>717</v>
      </c>
      <c r="B50" s="1164"/>
      <c r="C50" s="222" t="s">
        <v>715</v>
      </c>
      <c r="D50" s="223">
        <v>65300</v>
      </c>
      <c r="E50" s="224"/>
      <c r="F50" s="225">
        <v>43258</v>
      </c>
      <c r="G50" s="226">
        <v>43258</v>
      </c>
    </row>
    <row r="51" spans="1:9" s="170" customFormat="1" ht="12" x14ac:dyDescent="0.2">
      <c r="A51" s="1131" t="s">
        <v>718</v>
      </c>
      <c r="B51" s="1164"/>
      <c r="C51" s="222" t="s">
        <v>719</v>
      </c>
      <c r="D51" s="223"/>
      <c r="E51" s="224">
        <v>65300</v>
      </c>
      <c r="F51" s="225">
        <v>43258</v>
      </c>
      <c r="G51" s="226">
        <v>43258</v>
      </c>
    </row>
    <row r="52" spans="1:9" s="170" customFormat="1" ht="11.25" x14ac:dyDescent="0.2">
      <c r="A52" s="773" t="s">
        <v>178</v>
      </c>
      <c r="B52" s="774"/>
      <c r="C52" s="233"/>
      <c r="D52" s="234">
        <f>SUM(D44:D51)</f>
        <v>65999</v>
      </c>
      <c r="E52" s="234">
        <f>SUM(E44:E51)</f>
        <v>65999</v>
      </c>
      <c r="F52" s="795"/>
      <c r="G52" s="796"/>
    </row>
    <row r="53" spans="1:9" s="170" customFormat="1" ht="15" x14ac:dyDescent="0.25">
      <c r="A53" s="782"/>
      <c r="B53" s="783"/>
      <c r="C53" s="212"/>
    </row>
    <row r="54" spans="1:9" s="170" customFormat="1" ht="11.25" x14ac:dyDescent="0.2">
      <c r="A54" s="235"/>
      <c r="C54" s="212"/>
    </row>
    <row r="55" spans="1:9" s="170" customFormat="1" ht="11.25" x14ac:dyDescent="0.2">
      <c r="A55" s="766" t="s">
        <v>180</v>
      </c>
      <c r="B55" s="766"/>
      <c r="C55" s="766"/>
      <c r="D55" s="766"/>
      <c r="E55" s="766"/>
      <c r="F55" s="766"/>
      <c r="G55" s="766"/>
      <c r="H55" s="766"/>
      <c r="I55" s="766"/>
    </row>
    <row r="56" spans="1:9" s="170" customFormat="1" ht="11.25" x14ac:dyDescent="0.2">
      <c r="C56" s="212"/>
    </row>
    <row r="57" spans="1:9" s="216" customFormat="1" ht="31.5" x14ac:dyDescent="0.25">
      <c r="A57" s="767" t="s">
        <v>135</v>
      </c>
      <c r="B57" s="768"/>
      <c r="C57" s="215" t="s">
        <v>136</v>
      </c>
      <c r="D57" s="215" t="s">
        <v>137</v>
      </c>
      <c r="E57" s="215" t="s">
        <v>138</v>
      </c>
      <c r="F57" s="215" t="s">
        <v>139</v>
      </c>
      <c r="G57" s="215" t="s">
        <v>140</v>
      </c>
    </row>
    <row r="58" spans="1:9" s="170" customFormat="1" ht="11.25" customHeight="1" x14ac:dyDescent="0.2">
      <c r="A58" s="1163" t="s">
        <v>720</v>
      </c>
      <c r="B58" s="886"/>
      <c r="C58" s="236"/>
      <c r="D58" s="237"/>
      <c r="E58" s="237"/>
      <c r="F58" s="247"/>
      <c r="G58" s="247"/>
    </row>
    <row r="59" spans="1:9" s="170" customFormat="1" ht="11.25" customHeight="1" x14ac:dyDescent="0.2">
      <c r="A59" s="771"/>
      <c r="B59" s="772"/>
      <c r="C59" s="243"/>
      <c r="D59" s="244"/>
      <c r="E59" s="244"/>
      <c r="F59" s="245"/>
      <c r="G59" s="245"/>
    </row>
    <row r="60" spans="1:9" s="170" customFormat="1" ht="11.25" x14ac:dyDescent="0.2">
      <c r="A60" s="773" t="s">
        <v>178</v>
      </c>
      <c r="B60" s="774"/>
      <c r="C60" s="233"/>
      <c r="D60" s="234">
        <f>SUM(D58:D59)</f>
        <v>0</v>
      </c>
      <c r="E60" s="234">
        <f>SUM(E58:E59)</f>
        <v>0</v>
      </c>
      <c r="F60" s="775"/>
      <c r="G60" s="776"/>
    </row>
    <row r="61" spans="1:9" s="170" customFormat="1" ht="11.25" x14ac:dyDescent="0.2">
      <c r="C61" s="212"/>
    </row>
    <row r="62" spans="1:9" s="170" customFormat="1" ht="11.25" x14ac:dyDescent="0.2">
      <c r="C62" s="212"/>
    </row>
    <row r="63" spans="1:9" s="177" customFormat="1" ht="11.25" x14ac:dyDescent="0.2">
      <c r="A63" s="777" t="s">
        <v>238</v>
      </c>
      <c r="B63" s="777"/>
      <c r="C63" s="777"/>
      <c r="D63" s="777"/>
      <c r="E63" s="777"/>
      <c r="F63" s="777"/>
      <c r="G63" s="777"/>
      <c r="H63" s="777"/>
      <c r="I63" s="777"/>
    </row>
    <row r="64" spans="1:9" s="170" customFormat="1" ht="11.25" x14ac:dyDescent="0.2">
      <c r="A64" s="170" t="s">
        <v>795</v>
      </c>
    </row>
    <row r="65" spans="1:9" s="170" customFormat="1" ht="11.25" x14ac:dyDescent="0.2">
      <c r="A65" s="778"/>
      <c r="B65" s="779"/>
      <c r="C65" s="779"/>
      <c r="D65" s="779"/>
      <c r="E65" s="779"/>
      <c r="F65" s="779"/>
      <c r="G65" s="779"/>
      <c r="H65" s="779"/>
      <c r="I65" s="780"/>
    </row>
    <row r="66" spans="1:9" s="170" customFormat="1" ht="11.25" x14ac:dyDescent="0.2"/>
    <row r="67" spans="1:9" s="169" customFormat="1" ht="10.5" x14ac:dyDescent="0.15">
      <c r="A67" s="781" t="s">
        <v>165</v>
      </c>
      <c r="B67" s="781"/>
      <c r="C67" s="781"/>
      <c r="D67" s="781"/>
      <c r="E67" s="781"/>
      <c r="F67" s="781"/>
      <c r="G67" s="781"/>
      <c r="H67" s="781"/>
      <c r="I67" s="781"/>
    </row>
    <row r="68" spans="1:9" s="170" customFormat="1" ht="11.25" x14ac:dyDescent="0.2"/>
    <row r="69" spans="1:9" s="170" customFormat="1" ht="28.5" customHeight="1" x14ac:dyDescent="0.2">
      <c r="A69" s="763" t="s">
        <v>796</v>
      </c>
      <c r="B69" s="764"/>
      <c r="C69" s="764"/>
      <c r="D69" s="764"/>
      <c r="E69" s="764"/>
      <c r="F69" s="764"/>
      <c r="G69" s="764"/>
      <c r="H69" s="764"/>
      <c r="I69" s="765"/>
    </row>
    <row r="70" spans="1:9" s="170" customFormat="1" ht="39" customHeight="1" x14ac:dyDescent="0.2">
      <c r="A70" s="763"/>
      <c r="B70" s="764"/>
      <c r="C70" s="764"/>
      <c r="D70" s="764"/>
      <c r="E70" s="764"/>
      <c r="F70" s="764"/>
      <c r="G70" s="764"/>
      <c r="H70" s="764"/>
      <c r="I70" s="765"/>
    </row>
    <row r="71" spans="1:9" s="170" customFormat="1" ht="18.75" customHeight="1" x14ac:dyDescent="0.2">
      <c r="A71" s="763"/>
      <c r="B71" s="764"/>
      <c r="C71" s="764"/>
      <c r="D71" s="764"/>
      <c r="E71" s="764"/>
      <c r="F71" s="764"/>
      <c r="G71" s="764"/>
      <c r="H71" s="764"/>
      <c r="I71" s="765"/>
    </row>
    <row r="72" spans="1:9" x14ac:dyDescent="0.2">
      <c r="A72" s="4" t="s">
        <v>362</v>
      </c>
      <c r="B72" s="4" t="s">
        <v>721</v>
      </c>
    </row>
    <row r="73" spans="1:9" ht="14.25" customHeight="1" x14ac:dyDescent="0.2">
      <c r="A73" s="246" t="s">
        <v>364</v>
      </c>
      <c r="B73" s="333">
        <v>43319</v>
      </c>
    </row>
    <row r="74" spans="1:9" ht="13.5" customHeight="1" x14ac:dyDescent="0.2">
      <c r="A74" s="246"/>
    </row>
  </sheetData>
  <mergeCells count="58">
    <mergeCell ref="F12:G12"/>
    <mergeCell ref="H12:I12"/>
    <mergeCell ref="A1:I1"/>
    <mergeCell ref="A3:I3"/>
    <mergeCell ref="A5:B5"/>
    <mergeCell ref="D5:I5"/>
    <mergeCell ref="A6:B6"/>
    <mergeCell ref="D6:I6"/>
    <mergeCell ref="A7:B7"/>
    <mergeCell ref="D7:I7"/>
    <mergeCell ref="A8:B8"/>
    <mergeCell ref="D8:I8"/>
    <mergeCell ref="A10:I10"/>
    <mergeCell ref="A43:B43"/>
    <mergeCell ref="A44:B44"/>
    <mergeCell ref="A20:I20"/>
    <mergeCell ref="F13:G13"/>
    <mergeCell ref="H13:I13"/>
    <mergeCell ref="F14:G14"/>
    <mergeCell ref="H14:I14"/>
    <mergeCell ref="F15:G15"/>
    <mergeCell ref="H15:I15"/>
    <mergeCell ref="F16:G16"/>
    <mergeCell ref="H16:I16"/>
    <mergeCell ref="F17:G17"/>
    <mergeCell ref="H17:I17"/>
    <mergeCell ref="F18:G18"/>
    <mergeCell ref="A41:I41"/>
    <mergeCell ref="D22:I22"/>
    <mergeCell ref="D23:I23"/>
    <mergeCell ref="C24:I24"/>
    <mergeCell ref="A27:I27"/>
    <mergeCell ref="D29:I29"/>
    <mergeCell ref="D30:I30"/>
    <mergeCell ref="C31:I31"/>
    <mergeCell ref="A34:I34"/>
    <mergeCell ref="C36:I36"/>
    <mergeCell ref="C37:I37"/>
    <mergeCell ref="C38:I38"/>
    <mergeCell ref="A46:B46"/>
    <mergeCell ref="A48:B48"/>
    <mergeCell ref="A50:B50"/>
    <mergeCell ref="F52:G52"/>
    <mergeCell ref="A53:B53"/>
    <mergeCell ref="A51:B51"/>
    <mergeCell ref="A52:B52"/>
    <mergeCell ref="A55:I55"/>
    <mergeCell ref="A57:B57"/>
    <mergeCell ref="A69:I69"/>
    <mergeCell ref="A58:B58"/>
    <mergeCell ref="A70:I70"/>
    <mergeCell ref="A71:I71"/>
    <mergeCell ref="A59:B59"/>
    <mergeCell ref="A60:B60"/>
    <mergeCell ref="F60:G60"/>
    <mergeCell ref="A63:I63"/>
    <mergeCell ref="A65:I65"/>
    <mergeCell ref="A67:I67"/>
  </mergeCells>
  <pageMargins left="0.70866141732283472" right="0.70866141732283472" top="0.78740157480314965" bottom="0.78740157480314965" header="0.31496062992125984" footer="0.31496062992125984"/>
  <pageSetup paperSize="9" scale="58" firstPageNumber="123" orientation="portrait" useFirstPageNumber="1" r:id="rId1"/>
  <headerFooter>
    <oddFooter>&amp;C&amp;P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6"/>
  <sheetViews>
    <sheetView workbookViewId="0">
      <selection activeCell="C51" sqref="C51"/>
    </sheetView>
  </sheetViews>
  <sheetFormatPr defaultColWidth="3.7109375" defaultRowHeight="15" x14ac:dyDescent="0.25"/>
  <cols>
    <col min="1" max="1" width="3.140625" style="2" customWidth="1"/>
    <col min="2" max="2" width="3.7109375" style="3" customWidth="1"/>
    <col min="3" max="3" width="21" style="3" customWidth="1"/>
    <col min="4" max="4" width="4.85546875" style="3" customWidth="1"/>
    <col min="5" max="7" width="6.28515625" style="3" customWidth="1"/>
    <col min="8" max="8" width="5" style="3" customWidth="1"/>
    <col min="9" max="12" width="6.28515625" style="3" customWidth="1"/>
    <col min="13" max="13" width="5" style="3" customWidth="1"/>
    <col min="14" max="17" width="6.28515625" style="3" customWidth="1"/>
    <col min="18" max="18" width="5" style="3" customWidth="1"/>
    <col min="19" max="22" width="6.28515625" style="3" customWidth="1"/>
    <col min="23" max="23" width="5" style="3" customWidth="1"/>
    <col min="24" max="24" width="6.28515625" style="3" customWidth="1"/>
    <col min="25" max="16384" width="3.7109375" style="3"/>
  </cols>
  <sheetData>
    <row r="1" spans="1:24" s="6" customFormat="1" ht="15.75" x14ac:dyDescent="0.25">
      <c r="A1" s="759" t="s">
        <v>87</v>
      </c>
      <c r="B1" s="759"/>
      <c r="C1" s="759"/>
      <c r="D1" s="759"/>
      <c r="E1" s="759"/>
      <c r="F1" s="759"/>
      <c r="G1" s="759"/>
      <c r="H1" s="759"/>
      <c r="I1" s="759"/>
      <c r="J1" s="759"/>
      <c r="K1" s="759"/>
      <c r="L1" s="759"/>
      <c r="M1" s="759"/>
      <c r="N1" s="759"/>
      <c r="O1" s="759"/>
      <c r="P1" s="759"/>
      <c r="Q1" s="759"/>
      <c r="R1" s="759"/>
      <c r="S1" s="759"/>
      <c r="T1" s="759"/>
      <c r="U1" s="759"/>
      <c r="V1" s="759"/>
      <c r="W1" s="759"/>
      <c r="X1" s="759"/>
    </row>
    <row r="3" spans="1:24" s="7" customFormat="1" ht="9.75" customHeight="1" x14ac:dyDescent="0.2">
      <c r="A3" s="752" t="s">
        <v>1</v>
      </c>
      <c r="B3" s="761" t="s">
        <v>2</v>
      </c>
      <c r="C3" s="760"/>
      <c r="D3" s="761" t="s">
        <v>3</v>
      </c>
      <c r="E3" s="762" t="s">
        <v>4</v>
      </c>
      <c r="F3" s="762"/>
      <c r="G3" s="762"/>
      <c r="H3" s="762"/>
      <c r="I3" s="1167"/>
      <c r="J3" s="1168" t="s">
        <v>5</v>
      </c>
      <c r="K3" s="762"/>
      <c r="L3" s="762"/>
      <c r="M3" s="762"/>
      <c r="N3" s="1167"/>
      <c r="O3" s="1169" t="s">
        <v>6</v>
      </c>
      <c r="P3" s="762"/>
      <c r="Q3" s="762"/>
      <c r="R3" s="762"/>
      <c r="S3" s="1167"/>
      <c r="T3" s="1169" t="s">
        <v>7</v>
      </c>
      <c r="U3" s="762"/>
      <c r="V3" s="762"/>
      <c r="W3" s="762"/>
      <c r="X3" s="762"/>
    </row>
    <row r="4" spans="1:24" s="8" customFormat="1" ht="9.75" customHeight="1" x14ac:dyDescent="0.2">
      <c r="A4" s="760"/>
      <c r="B4" s="760"/>
      <c r="C4" s="760"/>
      <c r="D4" s="761"/>
      <c r="E4" s="754" t="s">
        <v>8</v>
      </c>
      <c r="F4" s="755" t="s">
        <v>9</v>
      </c>
      <c r="G4" s="755"/>
      <c r="H4" s="755"/>
      <c r="I4" s="1166" t="s">
        <v>10</v>
      </c>
      <c r="J4" s="1170" t="s">
        <v>8</v>
      </c>
      <c r="K4" s="755" t="s">
        <v>9</v>
      </c>
      <c r="L4" s="755"/>
      <c r="M4" s="755"/>
      <c r="N4" s="1166" t="s">
        <v>10</v>
      </c>
      <c r="O4" s="1165" t="s">
        <v>8</v>
      </c>
      <c r="P4" s="755" t="s">
        <v>9</v>
      </c>
      <c r="Q4" s="755"/>
      <c r="R4" s="755"/>
      <c r="S4" s="1166" t="s">
        <v>10</v>
      </c>
      <c r="T4" s="1165" t="s">
        <v>8</v>
      </c>
      <c r="U4" s="755" t="s">
        <v>9</v>
      </c>
      <c r="V4" s="755"/>
      <c r="W4" s="755"/>
      <c r="X4" s="752" t="s">
        <v>10</v>
      </c>
    </row>
    <row r="5" spans="1:24" s="10" customFormat="1" ht="9.75" customHeight="1" x14ac:dyDescent="0.2">
      <c r="A5" s="760"/>
      <c r="B5" s="760"/>
      <c r="C5" s="760"/>
      <c r="D5" s="761"/>
      <c r="E5" s="754"/>
      <c r="F5" s="9" t="s">
        <v>11</v>
      </c>
      <c r="G5" s="9" t="s">
        <v>12</v>
      </c>
      <c r="H5" s="9" t="s">
        <v>13</v>
      </c>
      <c r="I5" s="1166"/>
      <c r="J5" s="1170"/>
      <c r="K5" s="9" t="s">
        <v>11</v>
      </c>
      <c r="L5" s="9" t="s">
        <v>12</v>
      </c>
      <c r="M5" s="9" t="s">
        <v>13</v>
      </c>
      <c r="N5" s="1166"/>
      <c r="O5" s="1165"/>
      <c r="P5" s="9" t="s">
        <v>11</v>
      </c>
      <c r="Q5" s="9" t="s">
        <v>12</v>
      </c>
      <c r="R5" s="9" t="s">
        <v>13</v>
      </c>
      <c r="S5" s="1166"/>
      <c r="T5" s="1165"/>
      <c r="U5" s="9" t="s">
        <v>11</v>
      </c>
      <c r="V5" s="9" t="s">
        <v>12</v>
      </c>
      <c r="W5" s="9" t="s">
        <v>13</v>
      </c>
      <c r="X5" s="752"/>
    </row>
    <row r="6" spans="1:24" s="7" customFormat="1" ht="9.75" customHeight="1" x14ac:dyDescent="0.2">
      <c r="A6" s="11" t="s">
        <v>14</v>
      </c>
      <c r="B6" s="753" t="s">
        <v>15</v>
      </c>
      <c r="C6" s="753"/>
      <c r="D6" s="12" t="s">
        <v>16</v>
      </c>
      <c r="E6" s="13">
        <f>SUM(E7:E9)</f>
        <v>23102800</v>
      </c>
      <c r="F6" s="13">
        <f>SUM(F7:F9)</f>
        <v>28411300</v>
      </c>
      <c r="G6" s="13">
        <f>SUM(G7:G9)</f>
        <v>10972689.560000001</v>
      </c>
      <c r="H6" s="14">
        <f t="shared" ref="H6:H36" si="0">G6/F6*100</f>
        <v>38.620864092808141</v>
      </c>
      <c r="I6" s="110">
        <f>SUM(I7:I9)</f>
        <v>9958274</v>
      </c>
      <c r="J6" s="111">
        <f>SUM(J7:J9)</f>
        <v>13972100</v>
      </c>
      <c r="K6" s="13">
        <f t="shared" ref="K6:X6" si="1">SUM(K7:K9)</f>
        <v>19072100</v>
      </c>
      <c r="L6" s="13">
        <f t="shared" si="1"/>
        <v>6260599.4199999999</v>
      </c>
      <c r="M6" s="14">
        <f t="shared" ref="M6:M36" si="2">L6/K6*100</f>
        <v>32.82595739326031</v>
      </c>
      <c r="N6" s="110">
        <f t="shared" si="1"/>
        <v>5814761</v>
      </c>
      <c r="O6" s="112">
        <f t="shared" si="1"/>
        <v>9130700</v>
      </c>
      <c r="P6" s="13">
        <f t="shared" si="1"/>
        <v>9339200</v>
      </c>
      <c r="Q6" s="13">
        <f t="shared" si="1"/>
        <v>4712090.1399999997</v>
      </c>
      <c r="R6" s="14">
        <f t="shared" ref="R6:R36" si="3">Q6/P6*100</f>
        <v>50.454965521672094</v>
      </c>
      <c r="S6" s="110">
        <f t="shared" si="1"/>
        <v>4143513</v>
      </c>
      <c r="T6" s="112">
        <f t="shared" si="1"/>
        <v>1631750</v>
      </c>
      <c r="U6" s="13">
        <f t="shared" si="1"/>
        <v>1656950</v>
      </c>
      <c r="V6" s="13">
        <f t="shared" si="1"/>
        <v>816798.34</v>
      </c>
      <c r="W6" s="14">
        <f t="shared" ref="W6:W36" si="4">V6/U6*100</f>
        <v>49.295291952080625</v>
      </c>
      <c r="X6" s="13">
        <f t="shared" si="1"/>
        <v>758499</v>
      </c>
    </row>
    <row r="7" spans="1:24" s="7" customFormat="1" ht="9.75" x14ac:dyDescent="0.2">
      <c r="A7" s="15" t="s">
        <v>17</v>
      </c>
      <c r="B7" s="750" t="s">
        <v>18</v>
      </c>
      <c r="C7" s="750"/>
      <c r="D7" s="16" t="s">
        <v>16</v>
      </c>
      <c r="E7" s="17">
        <f t="shared" ref="E7:G10" si="5">SUM(J7,O7)</f>
        <v>3825800</v>
      </c>
      <c r="F7" s="17">
        <f t="shared" si="5"/>
        <v>3925800</v>
      </c>
      <c r="G7" s="17">
        <f t="shared" si="5"/>
        <v>1219205.21</v>
      </c>
      <c r="H7" s="18">
        <f t="shared" si="0"/>
        <v>31.056223190177796</v>
      </c>
      <c r="I7" s="113">
        <f>SUM(N7,S7)</f>
        <v>1281114</v>
      </c>
      <c r="J7" s="114">
        <v>3825800</v>
      </c>
      <c r="K7" s="19">
        <f>J7+70000+30000</f>
        <v>3925800</v>
      </c>
      <c r="L7" s="19">
        <f>1023600+64260+615.21+100000</f>
        <v>1188475.21</v>
      </c>
      <c r="M7" s="18">
        <f t="shared" si="2"/>
        <v>30.273452799429414</v>
      </c>
      <c r="N7" s="115">
        <v>1261114</v>
      </c>
      <c r="O7" s="116"/>
      <c r="P7" s="19"/>
      <c r="Q7" s="19">
        <v>30730</v>
      </c>
      <c r="R7" s="18"/>
      <c r="S7" s="115">
        <v>20000</v>
      </c>
      <c r="T7" s="116">
        <v>1631750</v>
      </c>
      <c r="U7" s="19">
        <f>T7+21810+3390</f>
        <v>1656950</v>
      </c>
      <c r="V7" s="19">
        <f>10700+784287.95+21810.39</f>
        <v>816798.34</v>
      </c>
      <c r="W7" s="18">
        <f t="shared" si="4"/>
        <v>49.295291952080625</v>
      </c>
      <c r="X7" s="19">
        <v>758499</v>
      </c>
    </row>
    <row r="8" spans="1:24" s="7" customFormat="1" ht="9.75" x14ac:dyDescent="0.2">
      <c r="A8" s="20" t="s">
        <v>19</v>
      </c>
      <c r="B8" s="758" t="s">
        <v>20</v>
      </c>
      <c r="C8" s="758"/>
      <c r="D8" s="16" t="s">
        <v>16</v>
      </c>
      <c r="E8" s="17">
        <f t="shared" si="5"/>
        <v>2300</v>
      </c>
      <c r="F8" s="17">
        <f t="shared" si="5"/>
        <v>2300</v>
      </c>
      <c r="G8" s="17">
        <f t="shared" si="5"/>
        <v>124.21000000000001</v>
      </c>
      <c r="H8" s="18">
        <f t="shared" si="0"/>
        <v>5.4004347826086958</v>
      </c>
      <c r="I8" s="113">
        <f>SUM(N8,S8)</f>
        <v>124</v>
      </c>
      <c r="J8" s="117">
        <v>2300</v>
      </c>
      <c r="K8" s="17">
        <f>J8</f>
        <v>2300</v>
      </c>
      <c r="L8" s="17">
        <f>41.4+82.81</f>
        <v>124.21000000000001</v>
      </c>
      <c r="M8" s="18">
        <f t="shared" si="2"/>
        <v>5.4004347826086958</v>
      </c>
      <c r="N8" s="113">
        <v>124</v>
      </c>
      <c r="O8" s="118"/>
      <c r="P8" s="17"/>
      <c r="Q8" s="17"/>
      <c r="R8" s="18"/>
      <c r="S8" s="113"/>
      <c r="T8" s="118"/>
      <c r="U8" s="17"/>
      <c r="V8" s="17"/>
      <c r="W8" s="18"/>
      <c r="X8" s="17"/>
    </row>
    <row r="9" spans="1:24" s="7" customFormat="1" ht="9.75" x14ac:dyDescent="0.2">
      <c r="A9" s="20" t="s">
        <v>21</v>
      </c>
      <c r="B9" s="21" t="s">
        <v>22</v>
      </c>
      <c r="C9" s="22"/>
      <c r="D9" s="16" t="s">
        <v>16</v>
      </c>
      <c r="E9" s="17">
        <f t="shared" si="5"/>
        <v>19274700</v>
      </c>
      <c r="F9" s="17">
        <f t="shared" si="5"/>
        <v>24483200</v>
      </c>
      <c r="G9" s="17">
        <f t="shared" si="5"/>
        <v>9753360.1400000006</v>
      </c>
      <c r="H9" s="18">
        <f t="shared" si="0"/>
        <v>39.836949990197361</v>
      </c>
      <c r="I9" s="113">
        <f>SUM(N9,S9)</f>
        <v>8677036</v>
      </c>
      <c r="J9" s="117">
        <v>10144000</v>
      </c>
      <c r="K9" s="17">
        <f>J9+5000000</f>
        <v>15144000</v>
      </c>
      <c r="L9" s="17">
        <v>5072000</v>
      </c>
      <c r="M9" s="18">
        <f t="shared" si="2"/>
        <v>33.491811938721604</v>
      </c>
      <c r="N9" s="113">
        <v>4553523</v>
      </c>
      <c r="O9" s="118">
        <f>8892700+238000</f>
        <v>9130700</v>
      </c>
      <c r="P9" s="17">
        <f>O9+153300+55200</f>
        <v>9339200</v>
      </c>
      <c r="Q9" s="17">
        <f>4681360.14</f>
        <v>4681360.1399999997</v>
      </c>
      <c r="R9" s="18">
        <f t="shared" si="3"/>
        <v>50.125922348809318</v>
      </c>
      <c r="S9" s="113">
        <v>4123513</v>
      </c>
      <c r="T9" s="118"/>
      <c r="U9" s="17"/>
      <c r="V9" s="17"/>
      <c r="W9" s="18"/>
      <c r="X9" s="17"/>
    </row>
    <row r="10" spans="1:24" s="7" customFormat="1" ht="9.75" x14ac:dyDescent="0.2">
      <c r="A10" s="11" t="s">
        <v>23</v>
      </c>
      <c r="B10" s="753" t="s">
        <v>24</v>
      </c>
      <c r="C10" s="753"/>
      <c r="D10" s="12" t="s">
        <v>16</v>
      </c>
      <c r="E10" s="23">
        <f t="shared" si="5"/>
        <v>0</v>
      </c>
      <c r="F10" s="23">
        <f t="shared" si="5"/>
        <v>0</v>
      </c>
      <c r="G10" s="23">
        <f t="shared" si="5"/>
        <v>0</v>
      </c>
      <c r="H10" s="14"/>
      <c r="I10" s="119">
        <f>SUM(N10,S10)</f>
        <v>0</v>
      </c>
      <c r="J10" s="120"/>
      <c r="K10" s="23"/>
      <c r="L10" s="23"/>
      <c r="M10" s="14"/>
      <c r="N10" s="119"/>
      <c r="O10" s="121"/>
      <c r="P10" s="23"/>
      <c r="Q10" s="23"/>
      <c r="R10" s="14"/>
      <c r="S10" s="119"/>
      <c r="T10" s="121"/>
      <c r="U10" s="23"/>
      <c r="V10" s="23"/>
      <c r="W10" s="14"/>
      <c r="X10" s="23"/>
    </row>
    <row r="11" spans="1:24" s="7" customFormat="1" ht="9.75" x14ac:dyDescent="0.2">
      <c r="A11" s="11" t="s">
        <v>25</v>
      </c>
      <c r="B11" s="753" t="s">
        <v>26</v>
      </c>
      <c r="C11" s="753"/>
      <c r="D11" s="12" t="s">
        <v>16</v>
      </c>
      <c r="E11" s="13">
        <f>SUM(E12:E31)</f>
        <v>23102800</v>
      </c>
      <c r="F11" s="13">
        <f>SUM(F12:F31)</f>
        <v>28411300</v>
      </c>
      <c r="G11" s="13">
        <f>SUM(G12:G31)</f>
        <v>10343161.479999999</v>
      </c>
      <c r="H11" s="14">
        <f t="shared" si="0"/>
        <v>36.405097549214567</v>
      </c>
      <c r="I11" s="110">
        <f>SUM(I12:I31)</f>
        <v>9438803</v>
      </c>
      <c r="J11" s="111">
        <f>SUM(J12:J31)</f>
        <v>13972100</v>
      </c>
      <c r="K11" s="13">
        <f>SUM(K12:K31)</f>
        <v>19072100</v>
      </c>
      <c r="L11" s="13">
        <f>SUM(L12:L31)</f>
        <v>5553705.7400000002</v>
      </c>
      <c r="M11" s="14">
        <f t="shared" si="2"/>
        <v>29.119529260018563</v>
      </c>
      <c r="N11" s="110">
        <f>SUM(N12:N31)</f>
        <v>5200820</v>
      </c>
      <c r="O11" s="112">
        <f>SUM(O12:O31)</f>
        <v>9130700</v>
      </c>
      <c r="P11" s="13">
        <f>SUM(P12:P31)</f>
        <v>9339200</v>
      </c>
      <c r="Q11" s="13">
        <f>SUM(Q12:Q31)</f>
        <v>4789455.74</v>
      </c>
      <c r="R11" s="14">
        <f t="shared" si="3"/>
        <v>51.283361958197702</v>
      </c>
      <c r="S11" s="110">
        <f>SUM(S12:S31)</f>
        <v>4237983</v>
      </c>
      <c r="T11" s="112">
        <f>SUM(T12:T31)</f>
        <v>1611750</v>
      </c>
      <c r="U11" s="13">
        <f>SUM(U12:U31)</f>
        <v>1636950</v>
      </c>
      <c r="V11" s="13">
        <f>SUM(V12:V31)</f>
        <v>769723</v>
      </c>
      <c r="W11" s="14">
        <f t="shared" si="4"/>
        <v>47.021778307217694</v>
      </c>
      <c r="X11" s="13">
        <f>SUM(X12:X31)</f>
        <v>758307</v>
      </c>
    </row>
    <row r="12" spans="1:24" s="7" customFormat="1" ht="9.75" x14ac:dyDescent="0.2">
      <c r="A12" s="15" t="s">
        <v>27</v>
      </c>
      <c r="B12" s="750" t="s">
        <v>28</v>
      </c>
      <c r="C12" s="750"/>
      <c r="D12" s="16" t="s">
        <v>16</v>
      </c>
      <c r="E12" s="17">
        <f t="shared" ref="E12:I29" si="6">SUM(J12,O12)</f>
        <v>1601165</v>
      </c>
      <c r="F12" s="17">
        <f t="shared" si="6"/>
        <v>1603586.5</v>
      </c>
      <c r="G12" s="17">
        <f t="shared" si="6"/>
        <v>519953.85</v>
      </c>
      <c r="H12" s="18">
        <f t="shared" si="0"/>
        <v>32.424434229148225</v>
      </c>
      <c r="I12" s="113">
        <f t="shared" si="6"/>
        <v>601822.5</v>
      </c>
      <c r="J12" s="122">
        <v>1402665</v>
      </c>
      <c r="K12" s="25">
        <f>J12+2421.5</f>
        <v>1405086.5</v>
      </c>
      <c r="L12" s="25">
        <v>402593.25</v>
      </c>
      <c r="M12" s="18">
        <f t="shared" si="2"/>
        <v>28.652559824608666</v>
      </c>
      <c r="N12" s="123">
        <v>499864.5</v>
      </c>
      <c r="O12" s="124">
        <f>80500+118000</f>
        <v>198500</v>
      </c>
      <c r="P12" s="25">
        <f>O12</f>
        <v>198500</v>
      </c>
      <c r="Q12" s="25">
        <v>117360.6</v>
      </c>
      <c r="R12" s="18">
        <f t="shared" si="3"/>
        <v>59.123727959697739</v>
      </c>
      <c r="S12" s="125">
        <v>101958</v>
      </c>
      <c r="T12" s="124">
        <v>56710</v>
      </c>
      <c r="U12" s="25">
        <f>T12</f>
        <v>56710</v>
      </c>
      <c r="V12" s="25">
        <v>9365.9599999999991</v>
      </c>
      <c r="W12" s="18">
        <f t="shared" si="4"/>
        <v>16.515535178980777</v>
      </c>
      <c r="X12" s="26">
        <v>21935</v>
      </c>
    </row>
    <row r="13" spans="1:24" s="7" customFormat="1" ht="9.75" x14ac:dyDescent="0.2">
      <c r="A13" s="15" t="s">
        <v>29</v>
      </c>
      <c r="B13" s="750" t="s">
        <v>30</v>
      </c>
      <c r="C13" s="750"/>
      <c r="D13" s="16" t="s">
        <v>16</v>
      </c>
      <c r="E13" s="17">
        <f t="shared" si="6"/>
        <v>2227000</v>
      </c>
      <c r="F13" s="17">
        <f t="shared" si="6"/>
        <v>2227000</v>
      </c>
      <c r="G13" s="17">
        <f t="shared" si="6"/>
        <v>591609.5</v>
      </c>
      <c r="H13" s="18">
        <f t="shared" si="0"/>
        <v>26.565312079030086</v>
      </c>
      <c r="I13" s="113">
        <f t="shared" si="6"/>
        <v>1013596.5</v>
      </c>
      <c r="J13" s="122">
        <v>2227000</v>
      </c>
      <c r="K13" s="17">
        <f>J13</f>
        <v>2227000</v>
      </c>
      <c r="L13" s="17">
        <v>591609.5</v>
      </c>
      <c r="M13" s="18">
        <f t="shared" si="2"/>
        <v>26.565312079030086</v>
      </c>
      <c r="N13" s="113">
        <v>1013596.5</v>
      </c>
      <c r="O13" s="118"/>
      <c r="P13" s="17"/>
      <c r="Q13" s="17"/>
      <c r="R13" s="18"/>
      <c r="S13" s="113"/>
      <c r="T13" s="118">
        <v>393000</v>
      </c>
      <c r="U13" s="25">
        <f t="shared" ref="U13:U29" si="7">T13</f>
        <v>393000</v>
      </c>
      <c r="V13" s="17">
        <v>254777.58</v>
      </c>
      <c r="W13" s="18">
        <f t="shared" si="4"/>
        <v>64.828900763358774</v>
      </c>
      <c r="X13" s="17">
        <v>176195</v>
      </c>
    </row>
    <row r="14" spans="1:24" s="7" customFormat="1" ht="9.75" x14ac:dyDescent="0.2">
      <c r="A14" s="15" t="s">
        <v>31</v>
      </c>
      <c r="B14" s="21" t="s">
        <v>32</v>
      </c>
      <c r="C14" s="21"/>
      <c r="D14" s="16" t="s">
        <v>16</v>
      </c>
      <c r="E14" s="17">
        <f t="shared" si="6"/>
        <v>0</v>
      </c>
      <c r="F14" s="17">
        <f t="shared" si="6"/>
        <v>0</v>
      </c>
      <c r="G14" s="17">
        <f t="shared" si="6"/>
        <v>0</v>
      </c>
      <c r="H14" s="18">
        <v>0</v>
      </c>
      <c r="I14" s="113">
        <f t="shared" si="6"/>
        <v>0</v>
      </c>
      <c r="J14" s="122"/>
      <c r="K14" s="17"/>
      <c r="L14" s="17"/>
      <c r="M14" s="18"/>
      <c r="N14" s="113"/>
      <c r="O14" s="118"/>
      <c r="P14" s="17"/>
      <c r="Q14" s="17"/>
      <c r="R14" s="18"/>
      <c r="S14" s="113"/>
      <c r="T14" s="118"/>
      <c r="U14" s="25"/>
      <c r="V14" s="17"/>
      <c r="W14" s="18"/>
      <c r="X14" s="17"/>
    </row>
    <row r="15" spans="1:24" s="7" customFormat="1" ht="9.75" x14ac:dyDescent="0.2">
      <c r="A15" s="15" t="s">
        <v>33</v>
      </c>
      <c r="B15" s="750" t="s">
        <v>34</v>
      </c>
      <c r="C15" s="750"/>
      <c r="D15" s="16" t="s">
        <v>16</v>
      </c>
      <c r="E15" s="17">
        <f t="shared" si="6"/>
        <v>290000</v>
      </c>
      <c r="F15" s="17">
        <f t="shared" si="6"/>
        <v>5290000</v>
      </c>
      <c r="G15" s="17">
        <f t="shared" si="6"/>
        <v>238791.1</v>
      </c>
      <c r="H15" s="18">
        <f t="shared" si="0"/>
        <v>4.5140094517958413</v>
      </c>
      <c r="I15" s="113">
        <f t="shared" si="6"/>
        <v>77085.5</v>
      </c>
      <c r="J15" s="122">
        <v>290000</v>
      </c>
      <c r="K15" s="17">
        <f>J15+5000000</f>
        <v>5290000</v>
      </c>
      <c r="L15" s="17">
        <v>238791.1</v>
      </c>
      <c r="M15" s="18">
        <f t="shared" si="2"/>
        <v>4.5140094517958413</v>
      </c>
      <c r="N15" s="113">
        <v>77085.5</v>
      </c>
      <c r="O15" s="118"/>
      <c r="P15" s="17"/>
      <c r="Q15" s="17"/>
      <c r="R15" s="18"/>
      <c r="S15" s="113"/>
      <c r="T15" s="118">
        <v>43500</v>
      </c>
      <c r="U15" s="25">
        <f>T15+24700</f>
        <v>68200</v>
      </c>
      <c r="V15" s="17">
        <v>67339</v>
      </c>
      <c r="W15" s="18">
        <f t="shared" si="4"/>
        <v>98.737536656891507</v>
      </c>
      <c r="X15" s="17">
        <v>6870</v>
      </c>
    </row>
    <row r="16" spans="1:24" s="7" customFormat="1" ht="9.75" x14ac:dyDescent="0.2">
      <c r="A16" s="15" t="s">
        <v>35</v>
      </c>
      <c r="B16" s="750" t="s">
        <v>36</v>
      </c>
      <c r="C16" s="750"/>
      <c r="D16" s="16" t="s">
        <v>16</v>
      </c>
      <c r="E16" s="17">
        <f t="shared" si="6"/>
        <v>18000</v>
      </c>
      <c r="F16" s="17">
        <f t="shared" si="6"/>
        <v>18000</v>
      </c>
      <c r="G16" s="17">
        <f t="shared" si="6"/>
        <v>4159</v>
      </c>
      <c r="H16" s="18">
        <f t="shared" si="0"/>
        <v>23.105555555555554</v>
      </c>
      <c r="I16" s="113">
        <f t="shared" si="6"/>
        <v>6009</v>
      </c>
      <c r="J16" s="122">
        <v>18000</v>
      </c>
      <c r="K16" s="17">
        <f t="shared" ref="K16:K18" si="8">J16</f>
        <v>18000</v>
      </c>
      <c r="L16" s="17">
        <v>4159</v>
      </c>
      <c r="M16" s="18">
        <f t="shared" si="2"/>
        <v>23.105555555555554</v>
      </c>
      <c r="N16" s="113">
        <v>6009</v>
      </c>
      <c r="O16" s="118"/>
      <c r="P16" s="17"/>
      <c r="Q16" s="17"/>
      <c r="R16" s="18"/>
      <c r="S16" s="113"/>
      <c r="T16" s="118"/>
      <c r="U16" s="25"/>
      <c r="V16" s="17"/>
      <c r="W16" s="18"/>
      <c r="X16" s="17"/>
    </row>
    <row r="17" spans="1:24" s="7" customFormat="1" ht="9.75" x14ac:dyDescent="0.2">
      <c r="A17" s="15" t="s">
        <v>37</v>
      </c>
      <c r="B17" s="21" t="s">
        <v>38</v>
      </c>
      <c r="C17" s="21"/>
      <c r="D17" s="16" t="s">
        <v>16</v>
      </c>
      <c r="E17" s="17">
        <f t="shared" si="6"/>
        <v>2000</v>
      </c>
      <c r="F17" s="17">
        <f t="shared" si="6"/>
        <v>2000</v>
      </c>
      <c r="G17" s="17">
        <f t="shared" si="6"/>
        <v>582</v>
      </c>
      <c r="H17" s="18">
        <f t="shared" si="0"/>
        <v>29.099999999999998</v>
      </c>
      <c r="I17" s="113">
        <f t="shared" si="6"/>
        <v>687</v>
      </c>
      <c r="J17" s="122">
        <v>2000</v>
      </c>
      <c r="K17" s="17">
        <f t="shared" si="8"/>
        <v>2000</v>
      </c>
      <c r="L17" s="17">
        <v>582</v>
      </c>
      <c r="M17" s="18">
        <f t="shared" si="2"/>
        <v>29.099999999999998</v>
      </c>
      <c r="N17" s="113">
        <v>687</v>
      </c>
      <c r="O17" s="118"/>
      <c r="P17" s="17"/>
      <c r="Q17" s="17"/>
      <c r="R17" s="18"/>
      <c r="S17" s="113"/>
      <c r="T17" s="118"/>
      <c r="U17" s="25"/>
      <c r="V17" s="17"/>
      <c r="W17" s="18"/>
      <c r="X17" s="17"/>
    </row>
    <row r="18" spans="1:24" s="7" customFormat="1" ht="9.75" x14ac:dyDescent="0.2">
      <c r="A18" s="15" t="s">
        <v>39</v>
      </c>
      <c r="B18" s="750" t="s">
        <v>40</v>
      </c>
      <c r="C18" s="750"/>
      <c r="D18" s="16" t="s">
        <v>16</v>
      </c>
      <c r="E18" s="17">
        <f t="shared" si="6"/>
        <v>2798700</v>
      </c>
      <c r="F18" s="17">
        <f t="shared" si="6"/>
        <v>2798700</v>
      </c>
      <c r="G18" s="17">
        <f t="shared" si="6"/>
        <v>842047.37</v>
      </c>
      <c r="H18" s="18">
        <f t="shared" si="0"/>
        <v>30.087089362918494</v>
      </c>
      <c r="I18" s="113">
        <f t="shared" si="6"/>
        <v>897435</v>
      </c>
      <c r="J18" s="122">
        <v>2798700</v>
      </c>
      <c r="K18" s="17">
        <f t="shared" si="8"/>
        <v>2798700</v>
      </c>
      <c r="L18" s="17">
        <v>831711.37</v>
      </c>
      <c r="M18" s="18">
        <f t="shared" si="2"/>
        <v>29.717775038410693</v>
      </c>
      <c r="N18" s="113">
        <v>867110</v>
      </c>
      <c r="O18" s="118"/>
      <c r="P18" s="17"/>
      <c r="Q18" s="17">
        <v>10336</v>
      </c>
      <c r="R18" s="18">
        <v>0</v>
      </c>
      <c r="S18" s="113">
        <v>30325</v>
      </c>
      <c r="T18" s="118">
        <v>34200</v>
      </c>
      <c r="U18" s="25">
        <f t="shared" si="7"/>
        <v>34200</v>
      </c>
      <c r="V18" s="17">
        <v>20992.75</v>
      </c>
      <c r="W18" s="18">
        <f t="shared" si="4"/>
        <v>61.382309941520461</v>
      </c>
      <c r="X18" s="17">
        <v>27854</v>
      </c>
    </row>
    <row r="19" spans="1:24" s="28" customFormat="1" ht="9.75" x14ac:dyDescent="0.2">
      <c r="A19" s="15" t="s">
        <v>41</v>
      </c>
      <c r="B19" s="750" t="s">
        <v>42</v>
      </c>
      <c r="C19" s="750"/>
      <c r="D19" s="16" t="s">
        <v>16</v>
      </c>
      <c r="E19" s="17">
        <f t="shared" si="6"/>
        <v>10357700</v>
      </c>
      <c r="F19" s="17">
        <f t="shared" si="6"/>
        <v>10581000</v>
      </c>
      <c r="G19" s="17">
        <f t="shared" si="6"/>
        <v>5195652</v>
      </c>
      <c r="H19" s="18">
        <f t="shared" si="0"/>
        <v>49.10360079387582</v>
      </c>
      <c r="I19" s="113">
        <f t="shared" si="6"/>
        <v>4395945.5</v>
      </c>
      <c r="J19" s="126">
        <v>3748800</v>
      </c>
      <c r="K19" s="17">
        <f>J19+70000</f>
        <v>3818800</v>
      </c>
      <c r="L19" s="17">
        <v>1647920</v>
      </c>
      <c r="M19" s="18">
        <f t="shared" si="2"/>
        <v>43.15282287629622</v>
      </c>
      <c r="N19" s="113">
        <v>1277922</v>
      </c>
      <c r="O19" s="118">
        <f>6488900+120000</f>
        <v>6608900</v>
      </c>
      <c r="P19" s="17">
        <f>O19+153300</f>
        <v>6762200</v>
      </c>
      <c r="Q19" s="17">
        <v>3547732</v>
      </c>
      <c r="R19" s="18">
        <f t="shared" si="3"/>
        <v>52.464168465883887</v>
      </c>
      <c r="S19" s="113">
        <v>3118023.5</v>
      </c>
      <c r="T19" s="127">
        <v>504000</v>
      </c>
      <c r="U19" s="25">
        <f t="shared" si="7"/>
        <v>504000</v>
      </c>
      <c r="V19" s="27">
        <v>235638</v>
      </c>
      <c r="W19" s="18">
        <f t="shared" si="4"/>
        <v>46.753571428571426</v>
      </c>
      <c r="X19" s="27">
        <v>257819</v>
      </c>
    </row>
    <row r="20" spans="1:24" s="7" customFormat="1" ht="9.75" x14ac:dyDescent="0.2">
      <c r="A20" s="15" t="s">
        <v>43</v>
      </c>
      <c r="B20" s="750" t="s">
        <v>44</v>
      </c>
      <c r="C20" s="750"/>
      <c r="D20" s="16" t="s">
        <v>16</v>
      </c>
      <c r="E20" s="17">
        <f t="shared" si="6"/>
        <v>3349030</v>
      </c>
      <c r="F20" s="17">
        <f t="shared" si="6"/>
        <v>3404230</v>
      </c>
      <c r="G20" s="17">
        <f t="shared" si="6"/>
        <v>1571854.54</v>
      </c>
      <c r="H20" s="18">
        <f t="shared" si="0"/>
        <v>46.173570528430808</v>
      </c>
      <c r="I20" s="113">
        <f t="shared" si="6"/>
        <v>1302329.5</v>
      </c>
      <c r="J20" s="122">
        <v>1025730</v>
      </c>
      <c r="K20" s="17">
        <f>J20</f>
        <v>1025730</v>
      </c>
      <c r="L20" s="17">
        <f>513615+6485.7</f>
        <v>520100.7</v>
      </c>
      <c r="M20" s="18">
        <f t="shared" si="2"/>
        <v>50.705419554853613</v>
      </c>
      <c r="N20" s="113">
        <v>394442</v>
      </c>
      <c r="O20" s="118">
        <v>2323300</v>
      </c>
      <c r="P20" s="17">
        <f>O20+55200</f>
        <v>2378500</v>
      </c>
      <c r="Q20" s="17">
        <f>1039220+12533.84</f>
        <v>1051753.8400000001</v>
      </c>
      <c r="R20" s="18">
        <f t="shared" si="3"/>
        <v>44.219207063275178</v>
      </c>
      <c r="S20" s="113">
        <v>907887.5</v>
      </c>
      <c r="T20" s="118">
        <v>173480</v>
      </c>
      <c r="U20" s="25">
        <f t="shared" si="7"/>
        <v>173480</v>
      </c>
      <c r="V20" s="17">
        <f>80116+989.63</f>
        <v>81105.63</v>
      </c>
      <c r="W20" s="18">
        <f t="shared" si="4"/>
        <v>46.75215010375836</v>
      </c>
      <c r="X20" s="17">
        <v>88742</v>
      </c>
    </row>
    <row r="21" spans="1:24" s="7" customFormat="1" ht="9.75" x14ac:dyDescent="0.2">
      <c r="A21" s="15" t="s">
        <v>45</v>
      </c>
      <c r="B21" s="750" t="s">
        <v>46</v>
      </c>
      <c r="C21" s="750"/>
      <c r="D21" s="16" t="s">
        <v>16</v>
      </c>
      <c r="E21" s="17">
        <f t="shared" si="6"/>
        <v>153980</v>
      </c>
      <c r="F21" s="17">
        <f t="shared" si="6"/>
        <v>153980</v>
      </c>
      <c r="G21" s="17">
        <f t="shared" si="6"/>
        <v>125859.54000000001</v>
      </c>
      <c r="H21" s="18">
        <f t="shared" si="0"/>
        <v>81.737589297311345</v>
      </c>
      <c r="I21" s="113">
        <f t="shared" si="6"/>
        <v>110894</v>
      </c>
      <c r="J21" s="122">
        <v>153980</v>
      </c>
      <c r="K21" s="17">
        <f t="shared" ref="K21:K22" si="9">J21</f>
        <v>153980</v>
      </c>
      <c r="L21" s="17">
        <v>66586.240000000005</v>
      </c>
      <c r="M21" s="18">
        <f t="shared" si="2"/>
        <v>43.243434212235357</v>
      </c>
      <c r="N21" s="113">
        <v>62550</v>
      </c>
      <c r="O21" s="118"/>
      <c r="P21" s="17"/>
      <c r="Q21" s="17">
        <v>59273.3</v>
      </c>
      <c r="R21" s="18">
        <v>0</v>
      </c>
      <c r="S21" s="113">
        <v>48344</v>
      </c>
      <c r="T21" s="118">
        <v>10080</v>
      </c>
      <c r="U21" s="25">
        <f t="shared" si="7"/>
        <v>10080</v>
      </c>
      <c r="V21" s="17">
        <v>4712.76</v>
      </c>
      <c r="W21" s="18">
        <f t="shared" si="4"/>
        <v>46.753571428571433</v>
      </c>
      <c r="X21" s="17">
        <v>5156</v>
      </c>
    </row>
    <row r="22" spans="1:24" s="7" customFormat="1" ht="9.75" x14ac:dyDescent="0.2">
      <c r="A22" s="15" t="s">
        <v>47</v>
      </c>
      <c r="B22" s="750" t="s">
        <v>48</v>
      </c>
      <c r="C22" s="750"/>
      <c r="D22" s="16" t="s">
        <v>16</v>
      </c>
      <c r="E22" s="17">
        <f t="shared" si="6"/>
        <v>5000</v>
      </c>
      <c r="F22" s="17">
        <f t="shared" si="6"/>
        <v>5000</v>
      </c>
      <c r="G22" s="17">
        <f t="shared" si="6"/>
        <v>4098</v>
      </c>
      <c r="H22" s="18">
        <f t="shared" si="0"/>
        <v>81.96</v>
      </c>
      <c r="I22" s="113">
        <f t="shared" si="6"/>
        <v>160</v>
      </c>
      <c r="J22" s="122">
        <v>5000</v>
      </c>
      <c r="K22" s="17">
        <f t="shared" si="9"/>
        <v>5000</v>
      </c>
      <c r="L22" s="17">
        <v>4098</v>
      </c>
      <c r="M22" s="18">
        <f t="shared" si="2"/>
        <v>81.96</v>
      </c>
      <c r="N22" s="113">
        <v>160</v>
      </c>
      <c r="O22" s="118"/>
      <c r="P22" s="17"/>
      <c r="Q22" s="17"/>
      <c r="R22" s="18"/>
      <c r="S22" s="113"/>
      <c r="T22" s="118">
        <v>6000</v>
      </c>
      <c r="U22" s="25">
        <f>T22+500</f>
        <v>6500</v>
      </c>
      <c r="V22" s="17">
        <v>402</v>
      </c>
      <c r="W22" s="18">
        <f t="shared" si="4"/>
        <v>6.1846153846153848</v>
      </c>
      <c r="X22" s="17"/>
    </row>
    <row r="23" spans="1:24" s="7" customFormat="1" ht="9.75" x14ac:dyDescent="0.2">
      <c r="A23" s="15" t="s">
        <v>49</v>
      </c>
      <c r="B23" s="21" t="s">
        <v>50</v>
      </c>
      <c r="C23" s="21"/>
      <c r="D23" s="16" t="s">
        <v>16</v>
      </c>
      <c r="E23" s="17">
        <f t="shared" si="6"/>
        <v>0</v>
      </c>
      <c r="F23" s="17">
        <f t="shared" si="6"/>
        <v>0</v>
      </c>
      <c r="G23" s="17">
        <f t="shared" si="6"/>
        <v>0</v>
      </c>
      <c r="H23" s="18">
        <v>0</v>
      </c>
      <c r="I23" s="113">
        <f t="shared" si="6"/>
        <v>0</v>
      </c>
      <c r="J23" s="122"/>
      <c r="K23" s="17"/>
      <c r="L23" s="17"/>
      <c r="M23" s="18"/>
      <c r="N23" s="113"/>
      <c r="O23" s="118"/>
      <c r="P23" s="17"/>
      <c r="Q23" s="17"/>
      <c r="R23" s="18"/>
      <c r="S23" s="113"/>
      <c r="T23" s="118"/>
      <c r="U23" s="25"/>
      <c r="V23" s="17"/>
      <c r="W23" s="18"/>
      <c r="X23" s="17"/>
    </row>
    <row r="24" spans="1:24" s="7" customFormat="1" ht="9.75" x14ac:dyDescent="0.2">
      <c r="A24" s="15" t="s">
        <v>51</v>
      </c>
      <c r="B24" s="21" t="s">
        <v>52</v>
      </c>
      <c r="C24" s="21"/>
      <c r="D24" s="16" t="s">
        <v>16</v>
      </c>
      <c r="E24" s="17">
        <f t="shared" si="6"/>
        <v>0</v>
      </c>
      <c r="F24" s="17">
        <f t="shared" si="6"/>
        <v>0</v>
      </c>
      <c r="G24" s="17">
        <f t="shared" si="6"/>
        <v>0</v>
      </c>
      <c r="H24" s="18">
        <v>0</v>
      </c>
      <c r="I24" s="113">
        <f t="shared" si="6"/>
        <v>0</v>
      </c>
      <c r="J24" s="122"/>
      <c r="K24" s="17"/>
      <c r="L24" s="17"/>
      <c r="M24" s="18"/>
      <c r="N24" s="113"/>
      <c r="O24" s="118"/>
      <c r="P24" s="17"/>
      <c r="Q24" s="17"/>
      <c r="R24" s="18"/>
      <c r="S24" s="113"/>
      <c r="T24" s="118"/>
      <c r="U24" s="25"/>
      <c r="V24" s="17"/>
      <c r="W24" s="18"/>
      <c r="X24" s="17"/>
    </row>
    <row r="25" spans="1:24" s="7" customFormat="1" ht="9.75" x14ac:dyDescent="0.2">
      <c r="A25" s="15" t="s">
        <v>53</v>
      </c>
      <c r="B25" s="21" t="s">
        <v>54</v>
      </c>
      <c r="C25" s="21"/>
      <c r="D25" s="16" t="s">
        <v>16</v>
      </c>
      <c r="E25" s="17">
        <f t="shared" si="6"/>
        <v>0</v>
      </c>
      <c r="F25" s="17">
        <f t="shared" si="6"/>
        <v>0</v>
      </c>
      <c r="G25" s="17">
        <f t="shared" si="6"/>
        <v>0</v>
      </c>
      <c r="H25" s="18">
        <v>0</v>
      </c>
      <c r="I25" s="113">
        <f t="shared" si="6"/>
        <v>4200</v>
      </c>
      <c r="J25" s="122"/>
      <c r="K25" s="25"/>
      <c r="L25" s="25"/>
      <c r="M25" s="18"/>
      <c r="N25" s="123">
        <v>4200</v>
      </c>
      <c r="O25" s="124"/>
      <c r="P25" s="25"/>
      <c r="Q25" s="25"/>
      <c r="R25" s="18"/>
      <c r="S25" s="125"/>
      <c r="T25" s="118"/>
      <c r="U25" s="25"/>
      <c r="V25" s="25"/>
      <c r="W25" s="18"/>
      <c r="X25" s="17"/>
    </row>
    <row r="26" spans="1:24" s="30" customFormat="1" ht="9.75" x14ac:dyDescent="0.2">
      <c r="A26" s="15" t="s">
        <v>55</v>
      </c>
      <c r="B26" s="750" t="s">
        <v>56</v>
      </c>
      <c r="C26" s="750"/>
      <c r="D26" s="16" t="s">
        <v>16</v>
      </c>
      <c r="E26" s="17">
        <f t="shared" si="6"/>
        <v>2095225</v>
      </c>
      <c r="F26" s="17">
        <f t="shared" si="6"/>
        <v>2095225</v>
      </c>
      <c r="G26" s="17">
        <f t="shared" si="6"/>
        <v>1059502.53</v>
      </c>
      <c r="H26" s="29">
        <f>G26/F26*100</f>
        <v>50.567482251309528</v>
      </c>
      <c r="I26" s="113">
        <f>SUM(N26,S26)</f>
        <v>931187.5</v>
      </c>
      <c r="J26" s="122">
        <v>2095225</v>
      </c>
      <c r="K26" s="26">
        <f>J26</f>
        <v>2095225</v>
      </c>
      <c r="L26" s="26">
        <v>1059502.53</v>
      </c>
      <c r="M26" s="18">
        <f>L26/K26*100</f>
        <v>50.567482251309528</v>
      </c>
      <c r="N26" s="123">
        <v>931187.5</v>
      </c>
      <c r="O26" s="128"/>
      <c r="P26" s="26"/>
      <c r="Q26" s="26"/>
      <c r="R26" s="18"/>
      <c r="S26" s="123"/>
      <c r="T26" s="118">
        <v>369780</v>
      </c>
      <c r="U26" s="25">
        <f t="shared" si="7"/>
        <v>369780</v>
      </c>
      <c r="V26" s="17">
        <v>163941.47</v>
      </c>
      <c r="W26" s="18">
        <f>V26/U26*100</f>
        <v>44.334866677483909</v>
      </c>
      <c r="X26" s="17">
        <v>164327</v>
      </c>
    </row>
    <row r="27" spans="1:24" s="30" customFormat="1" ht="9.75" x14ac:dyDescent="0.2">
      <c r="A27" s="15" t="s">
        <v>57</v>
      </c>
      <c r="B27" s="21" t="s">
        <v>58</v>
      </c>
      <c r="C27" s="21"/>
      <c r="D27" s="16" t="s">
        <v>16</v>
      </c>
      <c r="E27" s="17">
        <f t="shared" si="6"/>
        <v>0</v>
      </c>
      <c r="F27" s="17">
        <f t="shared" si="6"/>
        <v>0</v>
      </c>
      <c r="G27" s="17">
        <f t="shared" si="6"/>
        <v>-2035</v>
      </c>
      <c r="H27" s="29">
        <v>0</v>
      </c>
      <c r="I27" s="113">
        <f t="shared" si="6"/>
        <v>0</v>
      </c>
      <c r="J27" s="122"/>
      <c r="K27" s="26"/>
      <c r="L27" s="26">
        <v>-2035</v>
      </c>
      <c r="M27" s="18">
        <v>0</v>
      </c>
      <c r="N27" s="123">
        <v>0</v>
      </c>
      <c r="O27" s="128"/>
      <c r="P27" s="26"/>
      <c r="Q27" s="26"/>
      <c r="R27" s="18"/>
      <c r="S27" s="123"/>
      <c r="T27" s="118"/>
      <c r="U27" s="25"/>
      <c r="V27" s="17">
        <v>-79200.600000000006</v>
      </c>
      <c r="W27" s="18">
        <v>0</v>
      </c>
      <c r="X27" s="17"/>
    </row>
    <row r="28" spans="1:24" s="30" customFormat="1" ht="9.75" x14ac:dyDescent="0.2">
      <c r="A28" s="15" t="s">
        <v>59</v>
      </c>
      <c r="B28" s="21" t="s">
        <v>60</v>
      </c>
      <c r="C28" s="21"/>
      <c r="D28" s="16" t="s">
        <v>16</v>
      </c>
      <c r="E28" s="17">
        <f>SUM(J28,O28)</f>
        <v>60000</v>
      </c>
      <c r="F28" s="17">
        <f>SUM(K28,P28)</f>
        <v>87578.5</v>
      </c>
      <c r="G28" s="17">
        <f>SUM(L28,Q28)</f>
        <v>115428.5</v>
      </c>
      <c r="H28" s="29">
        <f>G28/F28*100</f>
        <v>131.80004224781197</v>
      </c>
      <c r="I28" s="113">
        <f>SUM(N28,S28)</f>
        <v>39935</v>
      </c>
      <c r="J28" s="122">
        <v>60000</v>
      </c>
      <c r="K28" s="26">
        <f>J28+27578.5</f>
        <v>87578.5</v>
      </c>
      <c r="L28" s="26">
        <v>112428.5</v>
      </c>
      <c r="M28" s="18">
        <f>L28/K28*100</f>
        <v>128.37454398054317</v>
      </c>
      <c r="N28" s="123">
        <v>8490</v>
      </c>
      <c r="O28" s="128"/>
      <c r="P28" s="26"/>
      <c r="Q28" s="26">
        <v>3000</v>
      </c>
      <c r="R28" s="18">
        <v>0</v>
      </c>
      <c r="S28" s="123">
        <v>31445</v>
      </c>
      <c r="T28" s="118"/>
      <c r="U28" s="25"/>
      <c r="V28" s="17"/>
      <c r="W28" s="18"/>
      <c r="X28" s="17"/>
    </row>
    <row r="29" spans="1:24" s="31" customFormat="1" ht="9.75" x14ac:dyDescent="0.2">
      <c r="A29" s="15" t="s">
        <v>61</v>
      </c>
      <c r="B29" s="21" t="s">
        <v>62</v>
      </c>
      <c r="C29" s="21"/>
      <c r="D29" s="16" t="s">
        <v>16</v>
      </c>
      <c r="E29" s="17">
        <f t="shared" si="6"/>
        <v>145000</v>
      </c>
      <c r="F29" s="17">
        <f t="shared" si="6"/>
        <v>145000</v>
      </c>
      <c r="G29" s="17">
        <f t="shared" si="6"/>
        <v>75658.55</v>
      </c>
      <c r="H29" s="29">
        <f t="shared" si="0"/>
        <v>52.17831034482758</v>
      </c>
      <c r="I29" s="113">
        <f t="shared" si="6"/>
        <v>57516</v>
      </c>
      <c r="J29" s="122">
        <v>145000</v>
      </c>
      <c r="K29" s="26">
        <f>J29</f>
        <v>145000</v>
      </c>
      <c r="L29" s="26">
        <v>75658.55</v>
      </c>
      <c r="M29" s="18">
        <f t="shared" si="2"/>
        <v>52.17831034482758</v>
      </c>
      <c r="N29" s="123">
        <v>57516</v>
      </c>
      <c r="O29" s="128"/>
      <c r="P29" s="26"/>
      <c r="Q29" s="26"/>
      <c r="R29" s="18"/>
      <c r="S29" s="123"/>
      <c r="T29" s="118">
        <v>21000</v>
      </c>
      <c r="U29" s="25">
        <f t="shared" si="7"/>
        <v>21000</v>
      </c>
      <c r="V29" s="17">
        <v>10648.45</v>
      </c>
      <c r="W29" s="18">
        <f t="shared" si="4"/>
        <v>50.706904761904767</v>
      </c>
      <c r="X29" s="17">
        <v>9409</v>
      </c>
    </row>
    <row r="30" spans="1:24" s="7" customFormat="1" ht="9.75" x14ac:dyDescent="0.2">
      <c r="A30" s="15" t="s">
        <v>63</v>
      </c>
      <c r="B30" s="21" t="s">
        <v>64</v>
      </c>
      <c r="C30" s="21"/>
      <c r="D30" s="16" t="s">
        <v>16</v>
      </c>
      <c r="E30" s="17">
        <f t="shared" ref="E30:G31" si="10">SUM(J30,O30)</f>
        <v>0</v>
      </c>
      <c r="F30" s="17">
        <f t="shared" si="10"/>
        <v>0</v>
      </c>
      <c r="G30" s="17">
        <f t="shared" si="10"/>
        <v>0</v>
      </c>
      <c r="H30" s="29">
        <v>0</v>
      </c>
      <c r="I30" s="113">
        <f>SUM(N30,S30)</f>
        <v>0</v>
      </c>
      <c r="J30" s="122"/>
      <c r="K30" s="26"/>
      <c r="L30" s="26"/>
      <c r="M30" s="18"/>
      <c r="N30" s="123"/>
      <c r="O30" s="128"/>
      <c r="P30" s="26"/>
      <c r="Q30" s="26"/>
      <c r="R30" s="18"/>
      <c r="S30" s="123"/>
      <c r="T30" s="118"/>
      <c r="U30" s="25"/>
      <c r="V30" s="17"/>
      <c r="W30" s="18"/>
      <c r="X30" s="17"/>
    </row>
    <row r="31" spans="1:24" s="34" customFormat="1" ht="9.75" x14ac:dyDescent="0.2">
      <c r="A31" s="15" t="s">
        <v>65</v>
      </c>
      <c r="B31" s="21" t="s">
        <v>66</v>
      </c>
      <c r="C31" s="21"/>
      <c r="D31" s="16" t="s">
        <v>16</v>
      </c>
      <c r="E31" s="17">
        <f t="shared" si="10"/>
        <v>0</v>
      </c>
      <c r="F31" s="17">
        <f t="shared" si="10"/>
        <v>0</v>
      </c>
      <c r="G31" s="17">
        <f t="shared" si="10"/>
        <v>0</v>
      </c>
      <c r="H31" s="29">
        <v>0</v>
      </c>
      <c r="I31" s="113">
        <f>SUM(N31,S31)</f>
        <v>0</v>
      </c>
      <c r="J31" s="122"/>
      <c r="K31" s="32"/>
      <c r="L31" s="32"/>
      <c r="M31" s="18"/>
      <c r="N31" s="129"/>
      <c r="O31" s="130"/>
      <c r="P31" s="32"/>
      <c r="Q31" s="32"/>
      <c r="R31" s="18"/>
      <c r="S31" s="129"/>
      <c r="T31" s="118"/>
      <c r="U31" s="25"/>
      <c r="V31" s="17"/>
      <c r="W31" s="18"/>
      <c r="X31" s="17"/>
    </row>
    <row r="32" spans="1:24" s="34" customFormat="1" ht="9.75" x14ac:dyDescent="0.2">
      <c r="A32" s="15" t="s">
        <v>67</v>
      </c>
      <c r="B32" s="21" t="s">
        <v>68</v>
      </c>
      <c r="C32" s="21"/>
      <c r="D32" s="16" t="s">
        <v>16</v>
      </c>
      <c r="E32" s="17">
        <f>SUM(J32,O32)</f>
        <v>0</v>
      </c>
      <c r="F32" s="17">
        <f>SUM(K32,P32)</f>
        <v>0</v>
      </c>
      <c r="G32" s="17">
        <f>SUM(L32,Q32)</f>
        <v>0</v>
      </c>
      <c r="H32" s="29">
        <v>0</v>
      </c>
      <c r="I32" s="113">
        <f>SUM(N32,S32)</f>
        <v>0</v>
      </c>
      <c r="J32" s="131"/>
      <c r="K32" s="33"/>
      <c r="L32" s="33"/>
      <c r="M32" s="18"/>
      <c r="N32" s="132"/>
      <c r="O32" s="133"/>
      <c r="P32" s="33"/>
      <c r="Q32" s="33"/>
      <c r="R32" s="18"/>
      <c r="S32" s="132"/>
      <c r="T32" s="118"/>
      <c r="U32" s="25"/>
      <c r="V32" s="17"/>
      <c r="W32" s="18"/>
      <c r="X32" s="17"/>
    </row>
    <row r="33" spans="1:24" s="34" customFormat="1" ht="9.75" x14ac:dyDescent="0.2">
      <c r="A33" s="11" t="s">
        <v>69</v>
      </c>
      <c r="B33" s="35" t="s">
        <v>70</v>
      </c>
      <c r="C33" s="35"/>
      <c r="D33" s="12" t="s">
        <v>16</v>
      </c>
      <c r="E33" s="13">
        <f>E6-E11</f>
        <v>0</v>
      </c>
      <c r="F33" s="13">
        <f>F6-F11</f>
        <v>0</v>
      </c>
      <c r="G33" s="13">
        <f>G6-G11</f>
        <v>629528.08000000194</v>
      </c>
      <c r="H33" s="36">
        <v>0</v>
      </c>
      <c r="I33" s="110">
        <f>I6-I11</f>
        <v>519471</v>
      </c>
      <c r="J33" s="111">
        <f>J6-J11</f>
        <v>0</v>
      </c>
      <c r="K33" s="13">
        <f>K6-K11</f>
        <v>0</v>
      </c>
      <c r="L33" s="13">
        <f>L6-L11</f>
        <v>706893.6799999997</v>
      </c>
      <c r="M33" s="14">
        <v>0</v>
      </c>
      <c r="N33" s="110">
        <f>N6-N11</f>
        <v>613941</v>
      </c>
      <c r="O33" s="112">
        <f>O6-O11</f>
        <v>0</v>
      </c>
      <c r="P33" s="13">
        <f>P6-P11</f>
        <v>0</v>
      </c>
      <c r="Q33" s="13">
        <f>Q6-Q11</f>
        <v>-77365.600000000559</v>
      </c>
      <c r="R33" s="14">
        <v>0</v>
      </c>
      <c r="S33" s="110">
        <f>S6-S11</f>
        <v>-94470</v>
      </c>
      <c r="T33" s="112">
        <f>T6-T11</f>
        <v>20000</v>
      </c>
      <c r="U33" s="13">
        <f>U6-U11</f>
        <v>20000</v>
      </c>
      <c r="V33" s="13">
        <f>V6-V11</f>
        <v>47075.339999999967</v>
      </c>
      <c r="W33" s="14">
        <f t="shared" si="4"/>
        <v>235.37669999999983</v>
      </c>
      <c r="X33" s="13">
        <f>X6-X11</f>
        <v>192</v>
      </c>
    </row>
    <row r="34" spans="1:24" s="1" customFormat="1" ht="9.75" x14ac:dyDescent="0.2">
      <c r="A34" s="37" t="s">
        <v>71</v>
      </c>
      <c r="B34" s="749" t="s">
        <v>72</v>
      </c>
      <c r="C34" s="749"/>
      <c r="D34" s="38" t="s">
        <v>16</v>
      </c>
      <c r="E34" s="48">
        <v>19588</v>
      </c>
      <c r="F34" s="48">
        <v>19588</v>
      </c>
      <c r="G34" s="48">
        <v>22859</v>
      </c>
      <c r="H34" s="29">
        <f t="shared" si="0"/>
        <v>116.69899938738001</v>
      </c>
      <c r="I34" s="134">
        <v>18764</v>
      </c>
      <c r="J34" s="135">
        <v>14590</v>
      </c>
      <c r="K34" s="39">
        <v>16382</v>
      </c>
      <c r="L34" s="39">
        <v>16658</v>
      </c>
      <c r="M34" s="14">
        <f t="shared" si="2"/>
        <v>101.6847759736296</v>
      </c>
      <c r="N34" s="136">
        <v>14490</v>
      </c>
      <c r="O34" s="137">
        <v>26000</v>
      </c>
      <c r="P34" s="39">
        <v>26000</v>
      </c>
      <c r="Q34" s="39">
        <v>27149</v>
      </c>
      <c r="R34" s="14">
        <f t="shared" si="3"/>
        <v>104.41923076923077</v>
      </c>
      <c r="S34" s="136">
        <v>25602</v>
      </c>
      <c r="T34" s="138">
        <v>14590</v>
      </c>
      <c r="U34" s="39">
        <v>16382</v>
      </c>
      <c r="V34" s="39">
        <v>16658</v>
      </c>
      <c r="W34" s="14">
        <f t="shared" si="4"/>
        <v>101.6847759736296</v>
      </c>
      <c r="X34" s="39">
        <v>14490</v>
      </c>
    </row>
    <row r="35" spans="1:24" s="1" customFormat="1" ht="9.75" x14ac:dyDescent="0.2">
      <c r="A35" s="40" t="s">
        <v>73</v>
      </c>
      <c r="B35" s="751" t="s">
        <v>74</v>
      </c>
      <c r="C35" s="751"/>
      <c r="D35" s="40" t="s">
        <v>75</v>
      </c>
      <c r="E35" s="48">
        <v>36</v>
      </c>
      <c r="F35" s="48">
        <v>36</v>
      </c>
      <c r="G35" s="48">
        <v>34</v>
      </c>
      <c r="H35" s="29">
        <f t="shared" si="0"/>
        <v>94.444444444444443</v>
      </c>
      <c r="I35" s="134">
        <v>36</v>
      </c>
      <c r="J35" s="139">
        <v>14.93</v>
      </c>
      <c r="K35" s="49">
        <v>15</v>
      </c>
      <c r="L35" s="39">
        <v>15</v>
      </c>
      <c r="M35" s="14">
        <f t="shared" si="2"/>
        <v>100</v>
      </c>
      <c r="N35" s="136">
        <v>15</v>
      </c>
      <c r="O35" s="137">
        <v>18</v>
      </c>
      <c r="P35" s="39">
        <v>18</v>
      </c>
      <c r="Q35" s="39">
        <v>17</v>
      </c>
      <c r="R35" s="14">
        <f t="shared" si="3"/>
        <v>94.444444444444443</v>
      </c>
      <c r="S35" s="136">
        <v>17</v>
      </c>
      <c r="T35" s="137">
        <v>3</v>
      </c>
      <c r="U35" s="39">
        <v>3</v>
      </c>
      <c r="V35" s="39">
        <v>3</v>
      </c>
      <c r="W35" s="14">
        <f t="shared" si="4"/>
        <v>100</v>
      </c>
      <c r="X35" s="39">
        <v>3.5</v>
      </c>
    </row>
    <row r="36" spans="1:24" s="1" customFormat="1" ht="9.75" x14ac:dyDescent="0.2">
      <c r="A36" s="37" t="s">
        <v>76</v>
      </c>
      <c r="B36" s="749" t="s">
        <v>77</v>
      </c>
      <c r="C36" s="749"/>
      <c r="D36" s="38" t="s">
        <v>75</v>
      </c>
      <c r="E36" s="48">
        <v>40</v>
      </c>
      <c r="F36" s="48">
        <v>40</v>
      </c>
      <c r="G36" s="48">
        <v>38</v>
      </c>
      <c r="H36" s="29">
        <f t="shared" si="0"/>
        <v>95</v>
      </c>
      <c r="I36" s="134">
        <v>40</v>
      </c>
      <c r="J36" s="139">
        <v>26</v>
      </c>
      <c r="K36" s="39">
        <v>26</v>
      </c>
      <c r="L36" s="39">
        <v>26</v>
      </c>
      <c r="M36" s="14">
        <f t="shared" si="2"/>
        <v>100</v>
      </c>
      <c r="N36" s="136">
        <v>26</v>
      </c>
      <c r="O36" s="137">
        <v>22</v>
      </c>
      <c r="P36" s="39">
        <v>22</v>
      </c>
      <c r="Q36" s="39">
        <v>22</v>
      </c>
      <c r="R36" s="14">
        <f t="shared" si="3"/>
        <v>100</v>
      </c>
      <c r="S36" s="136">
        <v>22</v>
      </c>
      <c r="T36" s="137">
        <v>26</v>
      </c>
      <c r="U36" s="39">
        <v>26</v>
      </c>
      <c r="V36" s="39">
        <v>26</v>
      </c>
      <c r="W36" s="14">
        <f t="shared" si="4"/>
        <v>100</v>
      </c>
      <c r="X36" s="39">
        <v>26</v>
      </c>
    </row>
  </sheetData>
  <mergeCells count="38">
    <mergeCell ref="A1:X1"/>
    <mergeCell ref="A3:A5"/>
    <mergeCell ref="B3:C5"/>
    <mergeCell ref="D3:D5"/>
    <mergeCell ref="E3:I3"/>
    <mergeCell ref="J3:N3"/>
    <mergeCell ref="O3:S3"/>
    <mergeCell ref="T3:X3"/>
    <mergeCell ref="E4:E5"/>
    <mergeCell ref="F4:H4"/>
    <mergeCell ref="I4:I5"/>
    <mergeCell ref="J4:J5"/>
    <mergeCell ref="X4:X5"/>
    <mergeCell ref="B6:C6"/>
    <mergeCell ref="O4:O5"/>
    <mergeCell ref="P4:R4"/>
    <mergeCell ref="B12:C12"/>
    <mergeCell ref="K4:M4"/>
    <mergeCell ref="N4:N5"/>
    <mergeCell ref="S4:S5"/>
    <mergeCell ref="T4:T5"/>
    <mergeCell ref="U4:W4"/>
    <mergeCell ref="B8:C8"/>
    <mergeCell ref="B10:C10"/>
    <mergeCell ref="B11:C11"/>
    <mergeCell ref="B7:C7"/>
    <mergeCell ref="B13:C13"/>
    <mergeCell ref="B26:C26"/>
    <mergeCell ref="B34:C34"/>
    <mergeCell ref="B35:C35"/>
    <mergeCell ref="B15:C15"/>
    <mergeCell ref="B36:C36"/>
    <mergeCell ref="B16:C16"/>
    <mergeCell ref="B18:C18"/>
    <mergeCell ref="B19:C19"/>
    <mergeCell ref="B20:C20"/>
    <mergeCell ref="B21:C21"/>
    <mergeCell ref="B22:C22"/>
  </mergeCells>
  <pageMargins left="0.70866141732283472" right="0.70866141732283472" top="0.78740157480314965" bottom="0.78740157480314965" header="0.31496062992125984" footer="0.31496062992125984"/>
  <pageSetup paperSize="9" scale="85" firstPageNumber="124" orientation="landscape" useFirstPageNumber="1"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6"/>
  <sheetViews>
    <sheetView workbookViewId="0">
      <selection activeCell="C51" sqref="C51"/>
    </sheetView>
  </sheetViews>
  <sheetFormatPr defaultColWidth="3.7109375" defaultRowHeight="15" x14ac:dyDescent="0.25"/>
  <cols>
    <col min="1" max="1" width="3.140625" style="2" customWidth="1"/>
    <col min="2" max="2" width="3.7109375" style="3" customWidth="1"/>
    <col min="3" max="3" width="21" style="3" customWidth="1"/>
    <col min="4" max="4" width="4.85546875" style="3" customWidth="1"/>
    <col min="5" max="7" width="6.28515625" style="3" customWidth="1"/>
    <col min="8" max="8" width="5" style="3" customWidth="1"/>
    <col min="9" max="12" width="6.28515625" style="3" customWidth="1"/>
    <col min="13" max="13" width="5" style="3" customWidth="1"/>
    <col min="14" max="17" width="6.28515625" style="3" customWidth="1"/>
    <col min="18" max="18" width="5" style="3" customWidth="1"/>
    <col min="19" max="19" width="6.28515625" style="3" customWidth="1"/>
    <col min="20" max="20" width="0.140625" style="3" customWidth="1"/>
    <col min="21" max="22" width="6.28515625" style="3" hidden="1" customWidth="1"/>
    <col min="23" max="24" width="0.140625" style="3" customWidth="1"/>
    <col min="25" max="16384" width="3.7109375" style="3"/>
  </cols>
  <sheetData>
    <row r="1" spans="1:24" s="6" customFormat="1" ht="15.75" x14ac:dyDescent="0.25">
      <c r="A1" s="759" t="s">
        <v>85</v>
      </c>
      <c r="B1" s="759"/>
      <c r="C1" s="759"/>
      <c r="D1" s="759"/>
      <c r="E1" s="759"/>
      <c r="F1" s="759"/>
      <c r="G1" s="759"/>
      <c r="H1" s="759"/>
      <c r="I1" s="759"/>
      <c r="J1" s="759"/>
      <c r="K1" s="759"/>
      <c r="L1" s="759"/>
      <c r="M1" s="759"/>
      <c r="N1" s="759"/>
      <c r="O1" s="759"/>
      <c r="P1" s="759"/>
      <c r="Q1" s="759"/>
      <c r="R1" s="759"/>
      <c r="S1" s="759"/>
      <c r="T1" s="759"/>
      <c r="U1" s="759"/>
      <c r="V1" s="759"/>
      <c r="W1" s="759"/>
      <c r="X1" s="759"/>
    </row>
    <row r="3" spans="1:24" s="7" customFormat="1" ht="9.75" customHeight="1" x14ac:dyDescent="0.2">
      <c r="A3" s="752" t="s">
        <v>1</v>
      </c>
      <c r="B3" s="761" t="s">
        <v>2</v>
      </c>
      <c r="C3" s="760"/>
      <c r="D3" s="761" t="s">
        <v>3</v>
      </c>
      <c r="E3" s="762" t="s">
        <v>4</v>
      </c>
      <c r="F3" s="762"/>
      <c r="G3" s="762"/>
      <c r="H3" s="762"/>
      <c r="I3" s="762"/>
      <c r="J3" s="762" t="s">
        <v>5</v>
      </c>
      <c r="K3" s="762"/>
      <c r="L3" s="762"/>
      <c r="M3" s="762"/>
      <c r="N3" s="762"/>
      <c r="O3" s="762" t="s">
        <v>6</v>
      </c>
      <c r="P3" s="762"/>
      <c r="Q3" s="762"/>
      <c r="R3" s="762"/>
      <c r="S3" s="762"/>
      <c r="T3" s="762" t="s">
        <v>7</v>
      </c>
      <c r="U3" s="762"/>
      <c r="V3" s="762"/>
      <c r="W3" s="762"/>
      <c r="X3" s="762"/>
    </row>
    <row r="4" spans="1:24" s="8" customFormat="1" ht="9.75" customHeight="1" x14ac:dyDescent="0.2">
      <c r="A4" s="760"/>
      <c r="B4" s="760"/>
      <c r="C4" s="760"/>
      <c r="D4" s="761"/>
      <c r="E4" s="754" t="s">
        <v>8</v>
      </c>
      <c r="F4" s="755" t="s">
        <v>9</v>
      </c>
      <c r="G4" s="755"/>
      <c r="H4" s="755"/>
      <c r="I4" s="752" t="s">
        <v>10</v>
      </c>
      <c r="J4" s="754" t="s">
        <v>8</v>
      </c>
      <c r="K4" s="755" t="s">
        <v>9</v>
      </c>
      <c r="L4" s="755"/>
      <c r="M4" s="755"/>
      <c r="N4" s="752" t="s">
        <v>10</v>
      </c>
      <c r="O4" s="754" t="s">
        <v>8</v>
      </c>
      <c r="P4" s="755" t="s">
        <v>9</v>
      </c>
      <c r="Q4" s="755"/>
      <c r="R4" s="755"/>
      <c r="S4" s="752" t="s">
        <v>10</v>
      </c>
      <c r="T4" s="754" t="s">
        <v>8</v>
      </c>
      <c r="U4" s="755" t="s">
        <v>9</v>
      </c>
      <c r="V4" s="755"/>
      <c r="W4" s="755"/>
      <c r="X4" s="752" t="s">
        <v>10</v>
      </c>
    </row>
    <row r="5" spans="1:24" s="10" customFormat="1" ht="9.75" customHeight="1" x14ac:dyDescent="0.2">
      <c r="A5" s="760"/>
      <c r="B5" s="760"/>
      <c r="C5" s="760"/>
      <c r="D5" s="761"/>
      <c r="E5" s="754"/>
      <c r="F5" s="9" t="s">
        <v>11</v>
      </c>
      <c r="G5" s="9" t="s">
        <v>12</v>
      </c>
      <c r="H5" s="9" t="s">
        <v>13</v>
      </c>
      <c r="I5" s="752"/>
      <c r="J5" s="754"/>
      <c r="K5" s="9" t="s">
        <v>11</v>
      </c>
      <c r="L5" s="9" t="s">
        <v>12</v>
      </c>
      <c r="M5" s="9" t="s">
        <v>13</v>
      </c>
      <c r="N5" s="752"/>
      <c r="O5" s="754"/>
      <c r="P5" s="9" t="s">
        <v>11</v>
      </c>
      <c r="Q5" s="9" t="s">
        <v>12</v>
      </c>
      <c r="R5" s="9" t="s">
        <v>13</v>
      </c>
      <c r="S5" s="752"/>
      <c r="T5" s="754"/>
      <c r="U5" s="9" t="s">
        <v>11</v>
      </c>
      <c r="V5" s="9" t="s">
        <v>12</v>
      </c>
      <c r="W5" s="9" t="s">
        <v>13</v>
      </c>
      <c r="X5" s="752"/>
    </row>
    <row r="6" spans="1:24" s="7" customFormat="1" ht="9.75" customHeight="1" x14ac:dyDescent="0.2">
      <c r="A6" s="11" t="s">
        <v>14</v>
      </c>
      <c r="B6" s="753" t="s">
        <v>15</v>
      </c>
      <c r="C6" s="753"/>
      <c r="D6" s="12" t="s">
        <v>16</v>
      </c>
      <c r="E6" s="13">
        <f>SUM(E7:E9)</f>
        <v>14712060</v>
      </c>
      <c r="F6" s="13">
        <f>SUM(F7:F9)</f>
        <v>15468092</v>
      </c>
      <c r="G6" s="13">
        <f>SUM(G7:G9)</f>
        <v>9152834</v>
      </c>
      <c r="H6" s="14">
        <f t="shared" ref="H6:H36" si="0">G6/F6*100</f>
        <v>59.172352996090268</v>
      </c>
      <c r="I6" s="13">
        <f>SUM(I7:I9)</f>
        <v>7260483</v>
      </c>
      <c r="J6" s="13">
        <f>SUM(J7:J9)</f>
        <v>3775240</v>
      </c>
      <c r="K6" s="13">
        <f t="shared" ref="K6:X6" si="1">SUM(K7:K9)</f>
        <v>4531272</v>
      </c>
      <c r="L6" s="13">
        <f t="shared" si="1"/>
        <v>3425757</v>
      </c>
      <c r="M6" s="14">
        <f t="shared" ref="M6:M36" si="2">L6/K6*100</f>
        <v>75.602546040052331</v>
      </c>
      <c r="N6" s="13">
        <f t="shared" si="1"/>
        <v>2655333</v>
      </c>
      <c r="O6" s="13">
        <f t="shared" si="1"/>
        <v>10936820</v>
      </c>
      <c r="P6" s="13">
        <f t="shared" si="1"/>
        <v>10936820</v>
      </c>
      <c r="Q6" s="13">
        <f t="shared" si="1"/>
        <v>5727077</v>
      </c>
      <c r="R6" s="14">
        <f t="shared" ref="R6:R36" si="3">Q6/P6*100</f>
        <v>52.365102470370729</v>
      </c>
      <c r="S6" s="13">
        <f t="shared" si="1"/>
        <v>4605150</v>
      </c>
      <c r="T6" s="13">
        <f t="shared" si="1"/>
        <v>0</v>
      </c>
      <c r="U6" s="13">
        <f t="shared" si="1"/>
        <v>0</v>
      </c>
      <c r="V6" s="13">
        <f t="shared" si="1"/>
        <v>0</v>
      </c>
      <c r="W6" s="14" t="e">
        <f t="shared" ref="W6:W36" si="4">V6/U6*100</f>
        <v>#DIV/0!</v>
      </c>
      <c r="X6" s="13">
        <f t="shared" si="1"/>
        <v>0</v>
      </c>
    </row>
    <row r="7" spans="1:24" s="7" customFormat="1" ht="9.75" x14ac:dyDescent="0.2">
      <c r="A7" s="15" t="s">
        <v>17</v>
      </c>
      <c r="B7" s="750" t="s">
        <v>18</v>
      </c>
      <c r="C7" s="750"/>
      <c r="D7" s="16" t="s">
        <v>16</v>
      </c>
      <c r="E7" s="17">
        <f t="shared" ref="E7:G10" si="5">SUM(J7,O7)</f>
        <v>1099640</v>
      </c>
      <c r="F7" s="17">
        <f t="shared" si="5"/>
        <v>1099640</v>
      </c>
      <c r="G7" s="17">
        <f t="shared" si="5"/>
        <v>663596</v>
      </c>
      <c r="H7" s="18">
        <f t="shared" si="0"/>
        <v>60.346658906551234</v>
      </c>
      <c r="I7" s="17">
        <f>SUM(N7,S7)</f>
        <v>662333</v>
      </c>
      <c r="J7" s="42">
        <v>1099640</v>
      </c>
      <c r="K7" s="19">
        <v>1099640</v>
      </c>
      <c r="L7" s="19">
        <v>663596</v>
      </c>
      <c r="M7" s="18">
        <f t="shared" si="2"/>
        <v>60.346658906551234</v>
      </c>
      <c r="N7" s="19">
        <v>662333</v>
      </c>
      <c r="O7" s="19"/>
      <c r="P7" s="19"/>
      <c r="Q7" s="19"/>
      <c r="R7" s="18" t="e">
        <f t="shared" si="3"/>
        <v>#DIV/0!</v>
      </c>
      <c r="S7" s="19"/>
      <c r="T7" s="19"/>
      <c r="U7" s="19"/>
      <c r="V7" s="19"/>
      <c r="W7" s="18" t="e">
        <f t="shared" si="4"/>
        <v>#DIV/0!</v>
      </c>
      <c r="X7" s="19"/>
    </row>
    <row r="8" spans="1:24" s="7" customFormat="1" ht="9.75" x14ac:dyDescent="0.2">
      <c r="A8" s="20" t="s">
        <v>19</v>
      </c>
      <c r="B8" s="758" t="s">
        <v>20</v>
      </c>
      <c r="C8" s="758"/>
      <c r="D8" s="16" t="s">
        <v>16</v>
      </c>
      <c r="E8" s="17">
        <f t="shared" si="5"/>
        <v>1000</v>
      </c>
      <c r="F8" s="17">
        <f t="shared" si="5"/>
        <v>1000</v>
      </c>
      <c r="G8" s="17">
        <f t="shared" si="5"/>
        <v>179</v>
      </c>
      <c r="H8" s="18">
        <f t="shared" si="0"/>
        <v>17.899999999999999</v>
      </c>
      <c r="I8" s="17">
        <f>SUM(N8,S8)</f>
        <v>0</v>
      </c>
      <c r="J8" s="43">
        <v>1000</v>
      </c>
      <c r="K8" s="17">
        <v>1000</v>
      </c>
      <c r="L8" s="17">
        <v>179</v>
      </c>
      <c r="M8" s="18">
        <f t="shared" si="2"/>
        <v>17.899999999999999</v>
      </c>
      <c r="N8" s="17">
        <v>0</v>
      </c>
      <c r="O8" s="17"/>
      <c r="P8" s="17"/>
      <c r="Q8" s="17"/>
      <c r="R8" s="18" t="e">
        <f t="shared" si="3"/>
        <v>#DIV/0!</v>
      </c>
      <c r="S8" s="17"/>
      <c r="T8" s="17"/>
      <c r="U8" s="17"/>
      <c r="V8" s="17"/>
      <c r="W8" s="18" t="e">
        <f t="shared" si="4"/>
        <v>#DIV/0!</v>
      </c>
      <c r="X8" s="17"/>
    </row>
    <row r="9" spans="1:24" s="7" customFormat="1" ht="9.75" x14ac:dyDescent="0.2">
      <c r="A9" s="20" t="s">
        <v>21</v>
      </c>
      <c r="B9" s="21" t="s">
        <v>22</v>
      </c>
      <c r="C9" s="22"/>
      <c r="D9" s="16" t="s">
        <v>16</v>
      </c>
      <c r="E9" s="17">
        <f t="shared" si="5"/>
        <v>13611420</v>
      </c>
      <c r="F9" s="17">
        <f t="shared" si="5"/>
        <v>14367452</v>
      </c>
      <c r="G9" s="17">
        <f t="shared" si="5"/>
        <v>8489059</v>
      </c>
      <c r="H9" s="18">
        <f t="shared" si="0"/>
        <v>59.085347909984321</v>
      </c>
      <c r="I9" s="17">
        <f>SUM(N9,S9)</f>
        <v>6598150</v>
      </c>
      <c r="J9" s="43">
        <v>2674600</v>
      </c>
      <c r="K9" s="17">
        <v>3430632</v>
      </c>
      <c r="L9" s="17">
        <v>2761982</v>
      </c>
      <c r="M9" s="18">
        <f t="shared" si="2"/>
        <v>80.509422170608801</v>
      </c>
      <c r="N9" s="17">
        <v>1993000</v>
      </c>
      <c r="O9" s="17">
        <v>10936820</v>
      </c>
      <c r="P9" s="17">
        <v>10936820</v>
      </c>
      <c r="Q9" s="17">
        <v>5727077</v>
      </c>
      <c r="R9" s="18">
        <f t="shared" si="3"/>
        <v>52.365102470370729</v>
      </c>
      <c r="S9" s="17">
        <v>4605150</v>
      </c>
      <c r="T9" s="17"/>
      <c r="U9" s="17"/>
      <c r="V9" s="17"/>
      <c r="W9" s="18" t="e">
        <f t="shared" si="4"/>
        <v>#DIV/0!</v>
      </c>
      <c r="X9" s="17"/>
    </row>
    <row r="10" spans="1:24" s="7" customFormat="1" ht="9.75" x14ac:dyDescent="0.2">
      <c r="A10" s="11" t="s">
        <v>23</v>
      </c>
      <c r="B10" s="753" t="s">
        <v>24</v>
      </c>
      <c r="C10" s="753"/>
      <c r="D10" s="12" t="s">
        <v>16</v>
      </c>
      <c r="E10" s="23">
        <f t="shared" si="5"/>
        <v>0</v>
      </c>
      <c r="F10" s="23">
        <f t="shared" si="5"/>
        <v>0</v>
      </c>
      <c r="G10" s="23">
        <f t="shared" si="5"/>
        <v>0</v>
      </c>
      <c r="H10" s="14" t="e">
        <f t="shared" si="0"/>
        <v>#DIV/0!</v>
      </c>
      <c r="I10" s="23">
        <f>SUM(N10,S10)</f>
        <v>0</v>
      </c>
      <c r="J10" s="24"/>
      <c r="K10" s="23"/>
      <c r="L10" s="23"/>
      <c r="M10" s="14" t="e">
        <f t="shared" si="2"/>
        <v>#DIV/0!</v>
      </c>
      <c r="N10" s="23"/>
      <c r="O10" s="23"/>
      <c r="P10" s="23"/>
      <c r="Q10" s="23"/>
      <c r="R10" s="14" t="e">
        <f t="shared" si="3"/>
        <v>#DIV/0!</v>
      </c>
      <c r="S10" s="23"/>
      <c r="T10" s="23"/>
      <c r="U10" s="23"/>
      <c r="V10" s="23"/>
      <c r="W10" s="14" t="e">
        <f t="shared" si="4"/>
        <v>#DIV/0!</v>
      </c>
      <c r="X10" s="23"/>
    </row>
    <row r="11" spans="1:24" s="7" customFormat="1" ht="9.75" x14ac:dyDescent="0.2">
      <c r="A11" s="11" t="s">
        <v>25</v>
      </c>
      <c r="B11" s="753" t="s">
        <v>26</v>
      </c>
      <c r="C11" s="753"/>
      <c r="D11" s="12" t="s">
        <v>16</v>
      </c>
      <c r="E11" s="13">
        <f>SUM(E12:E31)</f>
        <v>14712060</v>
      </c>
      <c r="F11" s="13">
        <f>SUM(F12:F31)</f>
        <v>15468092</v>
      </c>
      <c r="G11" s="13">
        <f>SUM(G12:G31)</f>
        <v>7299012</v>
      </c>
      <c r="H11" s="14">
        <f t="shared" si="0"/>
        <v>47.187539355209424</v>
      </c>
      <c r="I11" s="13">
        <f>SUM(I12:I31)</f>
        <v>6151793</v>
      </c>
      <c r="J11" s="13">
        <f>SUM(J12:J31)</f>
        <v>3775240</v>
      </c>
      <c r="K11" s="13">
        <f>SUM(K12:K31)</f>
        <v>4531272</v>
      </c>
      <c r="L11" s="13">
        <f>SUM(L12:L31)</f>
        <v>1787000</v>
      </c>
      <c r="M11" s="14">
        <f t="shared" si="2"/>
        <v>39.437049905633565</v>
      </c>
      <c r="N11" s="13">
        <f>SUM(N12:N31)</f>
        <v>1610935</v>
      </c>
      <c r="O11" s="13">
        <f>SUM(O12:O31)</f>
        <v>10936820</v>
      </c>
      <c r="P11" s="13">
        <f>SUM(P12:P31)</f>
        <v>10936820</v>
      </c>
      <c r="Q11" s="13">
        <f>SUM(Q12:Q31)</f>
        <v>5512012</v>
      </c>
      <c r="R11" s="14">
        <f t="shared" si="3"/>
        <v>50.398671643128445</v>
      </c>
      <c r="S11" s="13">
        <f>SUM(S12:S31)</f>
        <v>4540858</v>
      </c>
      <c r="T11" s="13">
        <f>SUM(T12:T31)</f>
        <v>0</v>
      </c>
      <c r="U11" s="13">
        <f>SUM(U12:U31)</f>
        <v>0</v>
      </c>
      <c r="V11" s="13">
        <f>SUM(V12:V31)</f>
        <v>0</v>
      </c>
      <c r="W11" s="14" t="e">
        <f t="shared" si="4"/>
        <v>#DIV/0!</v>
      </c>
      <c r="X11" s="13">
        <f>SUM(X12:X31)</f>
        <v>0</v>
      </c>
    </row>
    <row r="12" spans="1:24" s="7" customFormat="1" ht="9.75" x14ac:dyDescent="0.2">
      <c r="A12" s="15" t="s">
        <v>27</v>
      </c>
      <c r="B12" s="750" t="s">
        <v>28</v>
      </c>
      <c r="C12" s="750"/>
      <c r="D12" s="16" t="s">
        <v>16</v>
      </c>
      <c r="E12" s="17">
        <f t="shared" ref="E12:I29" si="6">SUM(J12,O12)</f>
        <v>1023996</v>
      </c>
      <c r="F12" s="17">
        <f t="shared" si="6"/>
        <v>1023996</v>
      </c>
      <c r="G12" s="17">
        <f t="shared" si="6"/>
        <v>602426</v>
      </c>
      <c r="H12" s="18">
        <f t="shared" si="0"/>
        <v>58.830893870679176</v>
      </c>
      <c r="I12" s="17">
        <f t="shared" si="6"/>
        <v>556708</v>
      </c>
      <c r="J12" s="44">
        <v>973996</v>
      </c>
      <c r="K12" s="25">
        <v>973996</v>
      </c>
      <c r="L12" s="25">
        <v>579632</v>
      </c>
      <c r="M12" s="18">
        <f t="shared" si="2"/>
        <v>59.510716676454521</v>
      </c>
      <c r="N12" s="26">
        <v>553808</v>
      </c>
      <c r="O12" s="25">
        <v>50000</v>
      </c>
      <c r="P12" s="25">
        <v>50000</v>
      </c>
      <c r="Q12" s="25">
        <v>22794</v>
      </c>
      <c r="R12" s="18">
        <f t="shared" si="3"/>
        <v>45.588000000000001</v>
      </c>
      <c r="S12" s="25">
        <v>2900</v>
      </c>
      <c r="T12" s="25"/>
      <c r="U12" s="25"/>
      <c r="V12" s="25"/>
      <c r="W12" s="18" t="e">
        <f t="shared" si="4"/>
        <v>#DIV/0!</v>
      </c>
      <c r="X12" s="26"/>
    </row>
    <row r="13" spans="1:24" s="7" customFormat="1" ht="9.75" x14ac:dyDescent="0.2">
      <c r="A13" s="15" t="s">
        <v>29</v>
      </c>
      <c r="B13" s="750" t="s">
        <v>30</v>
      </c>
      <c r="C13" s="750"/>
      <c r="D13" s="16" t="s">
        <v>16</v>
      </c>
      <c r="E13" s="17">
        <f t="shared" si="6"/>
        <v>970000</v>
      </c>
      <c r="F13" s="17">
        <f t="shared" si="6"/>
        <v>970000</v>
      </c>
      <c r="G13" s="17">
        <f t="shared" si="6"/>
        <v>394636</v>
      </c>
      <c r="H13" s="18">
        <f t="shared" si="0"/>
        <v>40.684123711340206</v>
      </c>
      <c r="I13" s="17">
        <f t="shared" si="6"/>
        <v>449762</v>
      </c>
      <c r="J13" s="44">
        <v>970000</v>
      </c>
      <c r="K13" s="17">
        <v>970000</v>
      </c>
      <c r="L13" s="17">
        <v>394636</v>
      </c>
      <c r="M13" s="18">
        <f t="shared" si="2"/>
        <v>40.684123711340206</v>
      </c>
      <c r="N13" s="17">
        <v>449762</v>
      </c>
      <c r="O13" s="17">
        <v>0</v>
      </c>
      <c r="P13" s="17">
        <v>0</v>
      </c>
      <c r="Q13" s="17">
        <v>0</v>
      </c>
      <c r="R13" s="18" t="e">
        <f t="shared" si="3"/>
        <v>#DIV/0!</v>
      </c>
      <c r="S13" s="17">
        <v>0</v>
      </c>
      <c r="T13" s="17"/>
      <c r="U13" s="17"/>
      <c r="V13" s="17"/>
      <c r="W13" s="18" t="e">
        <f t="shared" si="4"/>
        <v>#DIV/0!</v>
      </c>
      <c r="X13" s="17"/>
    </row>
    <row r="14" spans="1:24" s="7" customFormat="1" ht="9.75" x14ac:dyDescent="0.2">
      <c r="A14" s="15" t="s">
        <v>31</v>
      </c>
      <c r="B14" s="21" t="s">
        <v>32</v>
      </c>
      <c r="C14" s="21"/>
      <c r="D14" s="16" t="s">
        <v>16</v>
      </c>
      <c r="E14" s="17">
        <f t="shared" si="6"/>
        <v>0</v>
      </c>
      <c r="F14" s="17">
        <f t="shared" si="6"/>
        <v>0</v>
      </c>
      <c r="G14" s="17">
        <f t="shared" si="6"/>
        <v>0</v>
      </c>
      <c r="H14" s="18" t="e">
        <f t="shared" si="0"/>
        <v>#DIV/0!</v>
      </c>
      <c r="I14" s="17">
        <f t="shared" si="6"/>
        <v>0</v>
      </c>
      <c r="J14" s="44">
        <v>0</v>
      </c>
      <c r="K14" s="17">
        <v>0</v>
      </c>
      <c r="L14" s="17">
        <v>0</v>
      </c>
      <c r="M14" s="18" t="e">
        <f t="shared" si="2"/>
        <v>#DIV/0!</v>
      </c>
      <c r="N14" s="17">
        <v>0</v>
      </c>
      <c r="O14" s="17">
        <v>0</v>
      </c>
      <c r="P14" s="17">
        <v>0</v>
      </c>
      <c r="Q14" s="17">
        <v>0</v>
      </c>
      <c r="R14" s="18" t="e">
        <f t="shared" si="3"/>
        <v>#DIV/0!</v>
      </c>
      <c r="S14" s="17">
        <v>0</v>
      </c>
      <c r="T14" s="17"/>
      <c r="U14" s="17"/>
      <c r="V14" s="17"/>
      <c r="W14" s="18" t="e">
        <f t="shared" si="4"/>
        <v>#DIV/0!</v>
      </c>
      <c r="X14" s="17"/>
    </row>
    <row r="15" spans="1:24" s="7" customFormat="1" ht="9.75" x14ac:dyDescent="0.2">
      <c r="A15" s="15" t="s">
        <v>33</v>
      </c>
      <c r="B15" s="750" t="s">
        <v>34</v>
      </c>
      <c r="C15" s="750"/>
      <c r="D15" s="16" t="s">
        <v>16</v>
      </c>
      <c r="E15" s="17">
        <f t="shared" si="6"/>
        <v>464050</v>
      </c>
      <c r="F15" s="17">
        <f t="shared" si="6"/>
        <v>1115550</v>
      </c>
      <c r="G15" s="17">
        <f t="shared" si="6"/>
        <v>26592</v>
      </c>
      <c r="H15" s="18">
        <f t="shared" si="0"/>
        <v>2.3837568912195777</v>
      </c>
      <c r="I15" s="17">
        <f t="shared" si="6"/>
        <v>95271</v>
      </c>
      <c r="J15" s="44">
        <v>464050</v>
      </c>
      <c r="K15" s="17">
        <v>1115550</v>
      </c>
      <c r="L15" s="17">
        <v>26592</v>
      </c>
      <c r="M15" s="18">
        <f t="shared" si="2"/>
        <v>2.3837568912195777</v>
      </c>
      <c r="N15" s="17">
        <v>95271</v>
      </c>
      <c r="O15" s="17">
        <v>0</v>
      </c>
      <c r="P15" s="17">
        <v>0</v>
      </c>
      <c r="Q15" s="17">
        <v>0</v>
      </c>
      <c r="R15" s="18" t="e">
        <f t="shared" si="3"/>
        <v>#DIV/0!</v>
      </c>
      <c r="S15" s="17">
        <v>0</v>
      </c>
      <c r="T15" s="17"/>
      <c r="U15" s="17"/>
      <c r="V15" s="17"/>
      <c r="W15" s="18" t="e">
        <f t="shared" si="4"/>
        <v>#DIV/0!</v>
      </c>
      <c r="X15" s="17"/>
    </row>
    <row r="16" spans="1:24" s="7" customFormat="1" ht="9.75" x14ac:dyDescent="0.2">
      <c r="A16" s="15" t="s">
        <v>35</v>
      </c>
      <c r="B16" s="750" t="s">
        <v>36</v>
      </c>
      <c r="C16" s="750"/>
      <c r="D16" s="16" t="s">
        <v>16</v>
      </c>
      <c r="E16" s="17">
        <f t="shared" si="6"/>
        <v>1000</v>
      </c>
      <c r="F16" s="17">
        <f t="shared" si="6"/>
        <v>1000</v>
      </c>
      <c r="G16" s="17">
        <f t="shared" si="6"/>
        <v>0</v>
      </c>
      <c r="H16" s="18">
        <f t="shared" si="0"/>
        <v>0</v>
      </c>
      <c r="I16" s="17">
        <f t="shared" si="6"/>
        <v>0</v>
      </c>
      <c r="J16" s="44">
        <v>1000</v>
      </c>
      <c r="K16" s="17">
        <v>1000</v>
      </c>
      <c r="L16" s="17">
        <v>0</v>
      </c>
      <c r="M16" s="18">
        <f t="shared" si="2"/>
        <v>0</v>
      </c>
      <c r="N16" s="17">
        <v>0</v>
      </c>
      <c r="O16" s="17">
        <v>0</v>
      </c>
      <c r="P16" s="17">
        <v>0</v>
      </c>
      <c r="Q16" s="17">
        <v>0</v>
      </c>
      <c r="R16" s="18" t="e">
        <f t="shared" si="3"/>
        <v>#DIV/0!</v>
      </c>
      <c r="S16" s="17">
        <v>0</v>
      </c>
      <c r="T16" s="17"/>
      <c r="U16" s="17"/>
      <c r="V16" s="17"/>
      <c r="W16" s="18" t="e">
        <f t="shared" si="4"/>
        <v>#DIV/0!</v>
      </c>
      <c r="X16" s="17"/>
    </row>
    <row r="17" spans="1:24" s="7" customFormat="1" ht="9.75" x14ac:dyDescent="0.2">
      <c r="A17" s="15" t="s">
        <v>37</v>
      </c>
      <c r="B17" s="21" t="s">
        <v>38</v>
      </c>
      <c r="C17" s="21"/>
      <c r="D17" s="16" t="s">
        <v>16</v>
      </c>
      <c r="E17" s="17">
        <f t="shared" si="6"/>
        <v>2000</v>
      </c>
      <c r="F17" s="17">
        <f t="shared" si="6"/>
        <v>2000</v>
      </c>
      <c r="G17" s="17">
        <f t="shared" si="6"/>
        <v>5925</v>
      </c>
      <c r="H17" s="18">
        <f t="shared" si="0"/>
        <v>296.25</v>
      </c>
      <c r="I17" s="17">
        <f t="shared" si="6"/>
        <v>860</v>
      </c>
      <c r="J17" s="44">
        <v>2000</v>
      </c>
      <c r="K17" s="17">
        <v>2000</v>
      </c>
      <c r="L17" s="17">
        <v>499</v>
      </c>
      <c r="M17" s="18">
        <f t="shared" si="2"/>
        <v>24.95</v>
      </c>
      <c r="N17" s="17">
        <v>860</v>
      </c>
      <c r="O17" s="17">
        <v>0</v>
      </c>
      <c r="P17" s="17">
        <v>0</v>
      </c>
      <c r="Q17" s="17">
        <v>5426</v>
      </c>
      <c r="R17" s="18" t="e">
        <f t="shared" si="3"/>
        <v>#DIV/0!</v>
      </c>
      <c r="S17" s="17">
        <v>0</v>
      </c>
      <c r="T17" s="17"/>
      <c r="U17" s="17"/>
      <c r="V17" s="17"/>
      <c r="W17" s="18" t="e">
        <f t="shared" si="4"/>
        <v>#DIV/0!</v>
      </c>
      <c r="X17" s="17"/>
    </row>
    <row r="18" spans="1:24" s="7" customFormat="1" ht="9.75" x14ac:dyDescent="0.2">
      <c r="A18" s="15" t="s">
        <v>39</v>
      </c>
      <c r="B18" s="750" t="s">
        <v>40</v>
      </c>
      <c r="C18" s="750"/>
      <c r="D18" s="16" t="s">
        <v>16</v>
      </c>
      <c r="E18" s="17">
        <f t="shared" si="6"/>
        <v>572820</v>
      </c>
      <c r="F18" s="17">
        <f t="shared" si="6"/>
        <v>572820</v>
      </c>
      <c r="G18" s="17">
        <f t="shared" si="6"/>
        <v>364368</v>
      </c>
      <c r="H18" s="18">
        <f t="shared" si="0"/>
        <v>63.609510841101915</v>
      </c>
      <c r="I18" s="17">
        <f t="shared" si="6"/>
        <v>193366</v>
      </c>
      <c r="J18" s="44">
        <v>552600</v>
      </c>
      <c r="K18" s="17">
        <v>552600</v>
      </c>
      <c r="L18" s="17">
        <v>279718</v>
      </c>
      <c r="M18" s="18">
        <f t="shared" si="2"/>
        <v>50.618530582699961</v>
      </c>
      <c r="N18" s="17">
        <v>191116</v>
      </c>
      <c r="O18" s="17">
        <v>20220</v>
      </c>
      <c r="P18" s="17">
        <v>20220</v>
      </c>
      <c r="Q18" s="17">
        <v>84650</v>
      </c>
      <c r="R18" s="18">
        <f t="shared" si="3"/>
        <v>418.64490603363009</v>
      </c>
      <c r="S18" s="17">
        <v>2250</v>
      </c>
      <c r="T18" s="17"/>
      <c r="U18" s="17"/>
      <c r="V18" s="17"/>
      <c r="W18" s="18" t="e">
        <f t="shared" si="4"/>
        <v>#DIV/0!</v>
      </c>
      <c r="X18" s="17"/>
    </row>
    <row r="19" spans="1:24" s="28" customFormat="1" ht="9.75" x14ac:dyDescent="0.2">
      <c r="A19" s="15" t="s">
        <v>41</v>
      </c>
      <c r="B19" s="750" t="s">
        <v>42</v>
      </c>
      <c r="C19" s="750"/>
      <c r="D19" s="16" t="s">
        <v>16</v>
      </c>
      <c r="E19" s="17">
        <f t="shared" si="6"/>
        <v>7975500</v>
      </c>
      <c r="F19" s="17">
        <f t="shared" si="6"/>
        <v>7975500</v>
      </c>
      <c r="G19" s="17">
        <f t="shared" si="6"/>
        <v>3979646</v>
      </c>
      <c r="H19" s="18">
        <f t="shared" si="0"/>
        <v>49.898388815748227</v>
      </c>
      <c r="I19" s="17">
        <f t="shared" si="6"/>
        <v>3334677</v>
      </c>
      <c r="J19" s="45">
        <v>0</v>
      </c>
      <c r="K19" s="17">
        <v>0</v>
      </c>
      <c r="L19" s="17">
        <v>0</v>
      </c>
      <c r="M19" s="18" t="e">
        <f t="shared" si="2"/>
        <v>#DIV/0!</v>
      </c>
      <c r="N19" s="17">
        <v>0</v>
      </c>
      <c r="O19" s="17">
        <v>7975500</v>
      </c>
      <c r="P19" s="17">
        <v>7975500</v>
      </c>
      <c r="Q19" s="17">
        <v>3979646</v>
      </c>
      <c r="R19" s="18">
        <f t="shared" si="3"/>
        <v>49.898388815748227</v>
      </c>
      <c r="S19" s="17">
        <v>3334677</v>
      </c>
      <c r="T19" s="27"/>
      <c r="U19" s="27"/>
      <c r="V19" s="27"/>
      <c r="W19" s="18" t="e">
        <f t="shared" si="4"/>
        <v>#DIV/0!</v>
      </c>
      <c r="X19" s="27"/>
    </row>
    <row r="20" spans="1:24" s="7" customFormat="1" ht="9.75" x14ac:dyDescent="0.2">
      <c r="A20" s="15" t="s">
        <v>43</v>
      </c>
      <c r="B20" s="750" t="s">
        <v>44</v>
      </c>
      <c r="C20" s="750"/>
      <c r="D20" s="16" t="s">
        <v>16</v>
      </c>
      <c r="E20" s="17">
        <f t="shared" si="6"/>
        <v>2711100</v>
      </c>
      <c r="F20" s="17">
        <f t="shared" si="6"/>
        <v>2711100</v>
      </c>
      <c r="G20" s="17">
        <v>1337546</v>
      </c>
      <c r="H20" s="18">
        <f t="shared" si="0"/>
        <v>49.335915311128325</v>
      </c>
      <c r="I20" s="17">
        <f t="shared" si="6"/>
        <v>1131137</v>
      </c>
      <c r="J20" s="44">
        <v>0</v>
      </c>
      <c r="K20" s="17">
        <v>0</v>
      </c>
      <c r="L20" s="17">
        <v>0</v>
      </c>
      <c r="M20" s="18" t="e">
        <f t="shared" si="2"/>
        <v>#DIV/0!</v>
      </c>
      <c r="N20" s="17">
        <v>0</v>
      </c>
      <c r="O20" s="17">
        <v>2711100</v>
      </c>
      <c r="P20" s="17">
        <v>2711100</v>
      </c>
      <c r="Q20" s="17">
        <v>1337546</v>
      </c>
      <c r="R20" s="18">
        <f t="shared" si="3"/>
        <v>49.335915311128325</v>
      </c>
      <c r="S20" s="17">
        <v>1131137</v>
      </c>
      <c r="T20" s="17"/>
      <c r="U20" s="17"/>
      <c r="V20" s="17"/>
      <c r="W20" s="18" t="e">
        <f t="shared" si="4"/>
        <v>#DIV/0!</v>
      </c>
      <c r="X20" s="17"/>
    </row>
    <row r="21" spans="1:24" s="7" customFormat="1" ht="9.75" x14ac:dyDescent="0.2">
      <c r="A21" s="15" t="s">
        <v>45</v>
      </c>
      <c r="B21" s="750" t="s">
        <v>46</v>
      </c>
      <c r="C21" s="750"/>
      <c r="D21" s="16" t="s">
        <v>16</v>
      </c>
      <c r="E21" s="17">
        <f t="shared" si="6"/>
        <v>180000</v>
      </c>
      <c r="F21" s="17">
        <f t="shared" si="6"/>
        <v>180000</v>
      </c>
      <c r="G21" s="17">
        <f t="shared" si="6"/>
        <v>81950</v>
      </c>
      <c r="H21" s="18">
        <f t="shared" si="0"/>
        <v>45.527777777777779</v>
      </c>
      <c r="I21" s="17">
        <f t="shared" si="6"/>
        <v>69894</v>
      </c>
      <c r="J21" s="44">
        <v>0</v>
      </c>
      <c r="K21" s="17">
        <v>0</v>
      </c>
      <c r="L21" s="17">
        <v>0</v>
      </c>
      <c r="M21" s="18" t="e">
        <f t="shared" si="2"/>
        <v>#DIV/0!</v>
      </c>
      <c r="N21" s="17">
        <v>0</v>
      </c>
      <c r="O21" s="17">
        <v>180000</v>
      </c>
      <c r="P21" s="17">
        <v>180000</v>
      </c>
      <c r="Q21" s="17">
        <v>81950</v>
      </c>
      <c r="R21" s="18">
        <f t="shared" si="3"/>
        <v>45.527777777777779</v>
      </c>
      <c r="S21" s="17">
        <v>69894</v>
      </c>
      <c r="T21" s="17"/>
      <c r="U21" s="17"/>
      <c r="V21" s="17"/>
      <c r="W21" s="18" t="e">
        <f t="shared" si="4"/>
        <v>#DIV/0!</v>
      </c>
      <c r="X21" s="17"/>
    </row>
    <row r="22" spans="1:24" s="7" customFormat="1" ht="9.75" x14ac:dyDescent="0.2">
      <c r="A22" s="15" t="s">
        <v>47</v>
      </c>
      <c r="B22" s="750" t="s">
        <v>48</v>
      </c>
      <c r="C22" s="750"/>
      <c r="D22" s="16" t="s">
        <v>16</v>
      </c>
      <c r="E22" s="17">
        <f t="shared" si="6"/>
        <v>0</v>
      </c>
      <c r="F22" s="17">
        <f t="shared" si="6"/>
        <v>0</v>
      </c>
      <c r="G22" s="17">
        <f t="shared" si="6"/>
        <v>0</v>
      </c>
      <c r="H22" s="18" t="e">
        <f t="shared" si="0"/>
        <v>#DIV/0!</v>
      </c>
      <c r="I22" s="17">
        <f t="shared" si="6"/>
        <v>0</v>
      </c>
      <c r="J22" s="44">
        <v>0</v>
      </c>
      <c r="K22" s="17">
        <v>0</v>
      </c>
      <c r="L22" s="17">
        <v>0</v>
      </c>
      <c r="M22" s="18" t="e">
        <f t="shared" si="2"/>
        <v>#DIV/0!</v>
      </c>
      <c r="N22" s="17">
        <v>0</v>
      </c>
      <c r="O22" s="17">
        <v>0</v>
      </c>
      <c r="P22" s="17">
        <v>0</v>
      </c>
      <c r="Q22" s="17">
        <v>0</v>
      </c>
      <c r="R22" s="18" t="e">
        <f t="shared" si="3"/>
        <v>#DIV/0!</v>
      </c>
      <c r="S22" s="17">
        <v>0</v>
      </c>
      <c r="T22" s="17"/>
      <c r="U22" s="17"/>
      <c r="V22" s="17"/>
      <c r="W22" s="18" t="e">
        <f t="shared" si="4"/>
        <v>#DIV/0!</v>
      </c>
      <c r="X22" s="17"/>
    </row>
    <row r="23" spans="1:24" s="7" customFormat="1" ht="9.75" x14ac:dyDescent="0.2">
      <c r="A23" s="15" t="s">
        <v>49</v>
      </c>
      <c r="B23" s="21" t="s">
        <v>50</v>
      </c>
      <c r="C23" s="21"/>
      <c r="D23" s="16" t="s">
        <v>16</v>
      </c>
      <c r="E23" s="17">
        <f t="shared" si="6"/>
        <v>0</v>
      </c>
      <c r="F23" s="17">
        <f t="shared" si="6"/>
        <v>0</v>
      </c>
      <c r="G23" s="17">
        <f t="shared" si="6"/>
        <v>0</v>
      </c>
      <c r="H23" s="18" t="e">
        <f t="shared" si="0"/>
        <v>#DIV/0!</v>
      </c>
      <c r="I23" s="17">
        <f t="shared" si="6"/>
        <v>0</v>
      </c>
      <c r="J23" s="44">
        <v>0</v>
      </c>
      <c r="K23" s="17">
        <v>0</v>
      </c>
      <c r="L23" s="17">
        <v>0</v>
      </c>
      <c r="M23" s="18" t="e">
        <f t="shared" si="2"/>
        <v>#DIV/0!</v>
      </c>
      <c r="N23" s="17">
        <v>0</v>
      </c>
      <c r="O23" s="17">
        <v>0</v>
      </c>
      <c r="P23" s="17">
        <v>0</v>
      </c>
      <c r="Q23" s="17">
        <v>0</v>
      </c>
      <c r="R23" s="18" t="e">
        <f t="shared" si="3"/>
        <v>#DIV/0!</v>
      </c>
      <c r="S23" s="17">
        <v>0</v>
      </c>
      <c r="T23" s="17"/>
      <c r="U23" s="17"/>
      <c r="V23" s="17"/>
      <c r="W23" s="18" t="e">
        <f t="shared" si="4"/>
        <v>#DIV/0!</v>
      </c>
      <c r="X23" s="17"/>
    </row>
    <row r="24" spans="1:24" s="7" customFormat="1" ht="9.75" x14ac:dyDescent="0.2">
      <c r="A24" s="15" t="s">
        <v>51</v>
      </c>
      <c r="B24" s="21" t="s">
        <v>52</v>
      </c>
      <c r="C24" s="21"/>
      <c r="D24" s="16" t="s">
        <v>16</v>
      </c>
      <c r="E24" s="17">
        <f t="shared" si="6"/>
        <v>0</v>
      </c>
      <c r="F24" s="17">
        <f t="shared" si="6"/>
        <v>0</v>
      </c>
      <c r="G24" s="17">
        <f t="shared" si="6"/>
        <v>0</v>
      </c>
      <c r="H24" s="18" t="e">
        <f t="shared" si="0"/>
        <v>#DIV/0!</v>
      </c>
      <c r="I24" s="17">
        <f t="shared" si="6"/>
        <v>0</v>
      </c>
      <c r="J24" s="44">
        <v>0</v>
      </c>
      <c r="K24" s="17">
        <v>0</v>
      </c>
      <c r="L24" s="17">
        <v>0</v>
      </c>
      <c r="M24" s="18" t="e">
        <f t="shared" si="2"/>
        <v>#DIV/0!</v>
      </c>
      <c r="N24" s="17">
        <v>0</v>
      </c>
      <c r="O24" s="17">
        <v>0</v>
      </c>
      <c r="P24" s="17">
        <v>0</v>
      </c>
      <c r="Q24" s="17">
        <v>0</v>
      </c>
      <c r="R24" s="18" t="e">
        <f t="shared" si="3"/>
        <v>#DIV/0!</v>
      </c>
      <c r="S24" s="17">
        <v>0</v>
      </c>
      <c r="T24" s="17"/>
      <c r="U24" s="17"/>
      <c r="V24" s="17"/>
      <c r="W24" s="18" t="e">
        <f t="shared" si="4"/>
        <v>#DIV/0!</v>
      </c>
      <c r="X24" s="17"/>
    </row>
    <row r="25" spans="1:24" s="7" customFormat="1" ht="9.75" x14ac:dyDescent="0.2">
      <c r="A25" s="15" t="s">
        <v>53</v>
      </c>
      <c r="B25" s="21" t="s">
        <v>54</v>
      </c>
      <c r="C25" s="21"/>
      <c r="D25" s="16" t="s">
        <v>16</v>
      </c>
      <c r="E25" s="17">
        <f t="shared" si="6"/>
        <v>0</v>
      </c>
      <c r="F25" s="17">
        <f t="shared" si="6"/>
        <v>0</v>
      </c>
      <c r="G25" s="17">
        <f t="shared" si="6"/>
        <v>0</v>
      </c>
      <c r="H25" s="18" t="e">
        <f t="shared" si="0"/>
        <v>#DIV/0!</v>
      </c>
      <c r="I25" s="17">
        <f t="shared" si="6"/>
        <v>0</v>
      </c>
      <c r="J25" s="44">
        <v>0</v>
      </c>
      <c r="K25" s="25">
        <v>0</v>
      </c>
      <c r="L25" s="25">
        <v>0</v>
      </c>
      <c r="M25" s="18" t="e">
        <f t="shared" si="2"/>
        <v>#DIV/0!</v>
      </c>
      <c r="N25" s="26">
        <v>0</v>
      </c>
      <c r="O25" s="25">
        <v>0</v>
      </c>
      <c r="P25" s="25">
        <v>0</v>
      </c>
      <c r="Q25" s="25">
        <v>0</v>
      </c>
      <c r="R25" s="18" t="e">
        <f t="shared" si="3"/>
        <v>#DIV/0!</v>
      </c>
      <c r="S25" s="25">
        <v>0</v>
      </c>
      <c r="T25" s="25"/>
      <c r="U25" s="25"/>
      <c r="V25" s="25"/>
      <c r="W25" s="18" t="e">
        <f t="shared" si="4"/>
        <v>#DIV/0!</v>
      </c>
      <c r="X25" s="25"/>
    </row>
    <row r="26" spans="1:24" s="30" customFormat="1" ht="9.75" x14ac:dyDescent="0.2">
      <c r="A26" s="15" t="s">
        <v>55</v>
      </c>
      <c r="B26" s="750" t="s">
        <v>56</v>
      </c>
      <c r="C26" s="750"/>
      <c r="D26" s="16" t="s">
        <v>16</v>
      </c>
      <c r="E26" s="17">
        <f t="shared" si="6"/>
        <v>481584</v>
      </c>
      <c r="F26" s="17">
        <f t="shared" si="6"/>
        <v>586116</v>
      </c>
      <c r="G26" s="17">
        <f t="shared" si="6"/>
        <v>293064</v>
      </c>
      <c r="H26" s="29">
        <f>G26/F26*100</f>
        <v>50.00102368814364</v>
      </c>
      <c r="I26" s="17">
        <f>SUM(N26,S26)</f>
        <v>240072</v>
      </c>
      <c r="J26" s="44">
        <v>481584</v>
      </c>
      <c r="K26" s="26">
        <v>586116</v>
      </c>
      <c r="L26" s="26">
        <v>293064</v>
      </c>
      <c r="M26" s="18">
        <f>L26/K26*100</f>
        <v>50.00102368814364</v>
      </c>
      <c r="N26" s="26">
        <v>240072</v>
      </c>
      <c r="O26" s="26">
        <v>0</v>
      </c>
      <c r="P26" s="26">
        <v>0</v>
      </c>
      <c r="Q26" s="26">
        <v>0</v>
      </c>
      <c r="R26" s="18" t="e">
        <f>Q26/P26*100</f>
        <v>#DIV/0!</v>
      </c>
      <c r="S26" s="26">
        <v>0</v>
      </c>
      <c r="T26" s="46"/>
      <c r="U26" s="46"/>
      <c r="V26" s="46"/>
      <c r="W26" s="18" t="e">
        <f>V26/U26*100</f>
        <v>#DIV/0!</v>
      </c>
      <c r="X26" s="46"/>
    </row>
    <row r="27" spans="1:24" s="30" customFormat="1" ht="9.75" x14ac:dyDescent="0.2">
      <c r="A27" s="15" t="s">
        <v>57</v>
      </c>
      <c r="B27" s="21" t="s">
        <v>58</v>
      </c>
      <c r="C27" s="21"/>
      <c r="D27" s="16" t="s">
        <v>16</v>
      </c>
      <c r="E27" s="17">
        <f t="shared" si="6"/>
        <v>0</v>
      </c>
      <c r="F27" s="17">
        <f t="shared" si="6"/>
        <v>0</v>
      </c>
      <c r="G27" s="17">
        <f t="shared" si="6"/>
        <v>0</v>
      </c>
      <c r="H27" s="29" t="e">
        <f t="shared" si="0"/>
        <v>#DIV/0!</v>
      </c>
      <c r="I27" s="17">
        <f t="shared" si="6"/>
        <v>0</v>
      </c>
      <c r="J27" s="44">
        <v>0</v>
      </c>
      <c r="K27" s="26">
        <v>0</v>
      </c>
      <c r="L27" s="26">
        <v>0</v>
      </c>
      <c r="M27" s="18" t="e">
        <f t="shared" si="2"/>
        <v>#DIV/0!</v>
      </c>
      <c r="N27" s="17">
        <v>0</v>
      </c>
      <c r="O27" s="26">
        <v>0</v>
      </c>
      <c r="P27" s="26">
        <v>0</v>
      </c>
      <c r="Q27" s="26">
        <v>0</v>
      </c>
      <c r="R27" s="18" t="e">
        <f t="shared" si="3"/>
        <v>#DIV/0!</v>
      </c>
      <c r="S27" s="26">
        <v>0</v>
      </c>
      <c r="T27" s="46"/>
      <c r="U27" s="46"/>
      <c r="V27" s="46"/>
      <c r="W27" s="18" t="e">
        <f t="shared" si="4"/>
        <v>#DIV/0!</v>
      </c>
      <c r="X27" s="46"/>
    </row>
    <row r="28" spans="1:24" s="30" customFormat="1" ht="9.75" x14ac:dyDescent="0.2">
      <c r="A28" s="15" t="s">
        <v>59</v>
      </c>
      <c r="B28" s="21" t="s">
        <v>60</v>
      </c>
      <c r="C28" s="21"/>
      <c r="D28" s="16" t="s">
        <v>16</v>
      </c>
      <c r="E28" s="17">
        <f>SUM(J28,O28)</f>
        <v>329782</v>
      </c>
      <c r="F28" s="17">
        <f>SUM(K28,P28)</f>
        <v>329782</v>
      </c>
      <c r="G28" s="17">
        <f>SUM(L28,Q28)</f>
        <v>212631</v>
      </c>
      <c r="H28" s="29">
        <f>G28/F28*100</f>
        <v>64.476229751775421</v>
      </c>
      <c r="I28" s="17">
        <f>SUM(N28,S28)</f>
        <v>79818</v>
      </c>
      <c r="J28" s="44">
        <v>329782</v>
      </c>
      <c r="K28" s="26">
        <v>329782</v>
      </c>
      <c r="L28" s="26">
        <v>212631</v>
      </c>
      <c r="M28" s="18">
        <f>L28/K28*100</f>
        <v>64.476229751775421</v>
      </c>
      <c r="N28" s="17">
        <v>79818</v>
      </c>
      <c r="O28" s="26">
        <v>0</v>
      </c>
      <c r="P28" s="26">
        <v>0</v>
      </c>
      <c r="Q28" s="26">
        <v>0</v>
      </c>
      <c r="R28" s="18" t="e">
        <f>Q28/P28*100</f>
        <v>#DIV/0!</v>
      </c>
      <c r="S28" s="26">
        <v>0</v>
      </c>
      <c r="T28" s="46"/>
      <c r="U28" s="46"/>
      <c r="V28" s="46"/>
      <c r="W28" s="18" t="e">
        <f>V28/U28*100</f>
        <v>#DIV/0!</v>
      </c>
      <c r="X28" s="46"/>
    </row>
    <row r="29" spans="1:24" s="31" customFormat="1" ht="9.75" x14ac:dyDescent="0.2">
      <c r="A29" s="15" t="s">
        <v>61</v>
      </c>
      <c r="B29" s="21" t="s">
        <v>62</v>
      </c>
      <c r="C29" s="21"/>
      <c r="D29" s="16" t="s">
        <v>16</v>
      </c>
      <c r="E29" s="17">
        <f t="shared" si="6"/>
        <v>228</v>
      </c>
      <c r="F29" s="17">
        <f t="shared" si="6"/>
        <v>228</v>
      </c>
      <c r="G29" s="17">
        <f t="shared" si="6"/>
        <v>228</v>
      </c>
      <c r="H29" s="29">
        <f t="shared" si="0"/>
        <v>100</v>
      </c>
      <c r="I29" s="17">
        <f t="shared" si="6"/>
        <v>228</v>
      </c>
      <c r="J29" s="44">
        <v>228</v>
      </c>
      <c r="K29" s="26">
        <v>228</v>
      </c>
      <c r="L29" s="26">
        <v>228</v>
      </c>
      <c r="M29" s="18">
        <f t="shared" si="2"/>
        <v>100</v>
      </c>
      <c r="N29" s="26">
        <v>228</v>
      </c>
      <c r="O29" s="26">
        <v>0</v>
      </c>
      <c r="P29" s="26">
        <v>0</v>
      </c>
      <c r="Q29" s="26">
        <v>0</v>
      </c>
      <c r="R29" s="18" t="e">
        <f t="shared" si="3"/>
        <v>#DIV/0!</v>
      </c>
      <c r="S29" s="26">
        <v>0</v>
      </c>
      <c r="T29" s="46"/>
      <c r="U29" s="46"/>
      <c r="V29" s="46"/>
      <c r="W29" s="18" t="e">
        <f t="shared" si="4"/>
        <v>#DIV/0!</v>
      </c>
      <c r="X29" s="46"/>
    </row>
    <row r="30" spans="1:24" s="7" customFormat="1" ht="9.75" x14ac:dyDescent="0.2">
      <c r="A30" s="15" t="s">
        <v>63</v>
      </c>
      <c r="B30" s="21" t="s">
        <v>64</v>
      </c>
      <c r="C30" s="21"/>
      <c r="D30" s="16" t="s">
        <v>16</v>
      </c>
      <c r="E30" s="17">
        <f t="shared" ref="E30:G31" si="7">SUM(J30,O30)</f>
        <v>0</v>
      </c>
      <c r="F30" s="17">
        <f t="shared" si="7"/>
        <v>0</v>
      </c>
      <c r="G30" s="17">
        <f t="shared" si="7"/>
        <v>0</v>
      </c>
      <c r="H30" s="29" t="e">
        <f t="shared" si="0"/>
        <v>#DIV/0!</v>
      </c>
      <c r="I30" s="17">
        <f>SUM(N30,S30)</f>
        <v>0</v>
      </c>
      <c r="J30" s="44">
        <v>0</v>
      </c>
      <c r="K30" s="26">
        <v>0</v>
      </c>
      <c r="L30" s="26">
        <v>0</v>
      </c>
      <c r="M30" s="18" t="e">
        <f t="shared" si="2"/>
        <v>#DIV/0!</v>
      </c>
      <c r="N30" s="26">
        <v>0</v>
      </c>
      <c r="O30" s="26">
        <v>0</v>
      </c>
      <c r="P30" s="26">
        <v>0</v>
      </c>
      <c r="Q30" s="26">
        <v>0</v>
      </c>
      <c r="R30" s="18" t="e">
        <f t="shared" si="3"/>
        <v>#DIV/0!</v>
      </c>
      <c r="S30" s="26">
        <v>0</v>
      </c>
      <c r="T30" s="46"/>
      <c r="U30" s="46"/>
      <c r="V30" s="46"/>
      <c r="W30" s="18" t="e">
        <f t="shared" si="4"/>
        <v>#DIV/0!</v>
      </c>
      <c r="X30" s="46"/>
    </row>
    <row r="31" spans="1:24" s="34" customFormat="1" ht="9.75" x14ac:dyDescent="0.2">
      <c r="A31" s="15" t="s">
        <v>65</v>
      </c>
      <c r="B31" s="21" t="s">
        <v>66</v>
      </c>
      <c r="C31" s="21"/>
      <c r="D31" s="16" t="s">
        <v>16</v>
      </c>
      <c r="E31" s="17">
        <f t="shared" si="7"/>
        <v>0</v>
      </c>
      <c r="F31" s="17">
        <f t="shared" si="7"/>
        <v>0</v>
      </c>
      <c r="G31" s="17">
        <f t="shared" si="7"/>
        <v>0</v>
      </c>
      <c r="H31" s="29" t="e">
        <f t="shared" si="0"/>
        <v>#DIV/0!</v>
      </c>
      <c r="I31" s="17">
        <f>SUM(N31,S31)</f>
        <v>0</v>
      </c>
      <c r="J31" s="44">
        <v>0</v>
      </c>
      <c r="K31" s="32">
        <v>0</v>
      </c>
      <c r="L31" s="32">
        <v>0</v>
      </c>
      <c r="M31" s="18" t="e">
        <f t="shared" si="2"/>
        <v>#DIV/0!</v>
      </c>
      <c r="N31" s="32">
        <v>0</v>
      </c>
      <c r="O31" s="32">
        <v>0</v>
      </c>
      <c r="P31" s="32">
        <v>0</v>
      </c>
      <c r="Q31" s="32">
        <v>0</v>
      </c>
      <c r="R31" s="18" t="e">
        <f t="shared" si="3"/>
        <v>#DIV/0!</v>
      </c>
      <c r="S31" s="32">
        <v>0</v>
      </c>
      <c r="T31" s="33"/>
      <c r="U31" s="33"/>
      <c r="V31" s="33"/>
      <c r="W31" s="18" t="e">
        <f t="shared" si="4"/>
        <v>#DIV/0!</v>
      </c>
      <c r="X31" s="33"/>
    </row>
    <row r="32" spans="1:24" s="34" customFormat="1" ht="9.75" x14ac:dyDescent="0.2">
      <c r="A32" s="15" t="s">
        <v>67</v>
      </c>
      <c r="B32" s="21" t="s">
        <v>68</v>
      </c>
      <c r="C32" s="21"/>
      <c r="D32" s="16" t="s">
        <v>16</v>
      </c>
      <c r="E32" s="17">
        <f>SUM(J32,O32)</f>
        <v>0</v>
      </c>
      <c r="F32" s="17">
        <f>SUM(K32,P32)</f>
        <v>0</v>
      </c>
      <c r="G32" s="17">
        <f>SUM(L32,Q32)</f>
        <v>0</v>
      </c>
      <c r="H32" s="29" t="e">
        <f t="shared" si="0"/>
        <v>#DIV/0!</v>
      </c>
      <c r="I32" s="17">
        <f>SUM(N32,S32)</f>
        <v>0</v>
      </c>
      <c r="J32" s="47">
        <v>0</v>
      </c>
      <c r="K32" s="33">
        <v>0</v>
      </c>
      <c r="L32" s="33">
        <v>0</v>
      </c>
      <c r="M32" s="18" t="e">
        <f t="shared" si="2"/>
        <v>#DIV/0!</v>
      </c>
      <c r="N32" s="33">
        <v>0</v>
      </c>
      <c r="O32" s="33">
        <v>0</v>
      </c>
      <c r="P32" s="33">
        <v>0</v>
      </c>
      <c r="Q32" s="33">
        <v>0</v>
      </c>
      <c r="R32" s="18" t="e">
        <f t="shared" si="3"/>
        <v>#DIV/0!</v>
      </c>
      <c r="S32" s="33">
        <v>0</v>
      </c>
      <c r="T32" s="33"/>
      <c r="U32" s="33"/>
      <c r="V32" s="33"/>
      <c r="W32" s="18" t="e">
        <f t="shared" si="4"/>
        <v>#DIV/0!</v>
      </c>
      <c r="X32" s="33"/>
    </row>
    <row r="33" spans="1:24" s="34" customFormat="1" ht="9.75" x14ac:dyDescent="0.2">
      <c r="A33" s="11" t="s">
        <v>69</v>
      </c>
      <c r="B33" s="35" t="s">
        <v>70</v>
      </c>
      <c r="C33" s="35"/>
      <c r="D33" s="12" t="s">
        <v>16</v>
      </c>
      <c r="E33" s="13">
        <f>E6-E11</f>
        <v>0</v>
      </c>
      <c r="F33" s="13">
        <f>F6-F11</f>
        <v>0</v>
      </c>
      <c r="G33" s="13">
        <f>G6-G11</f>
        <v>1853822</v>
      </c>
      <c r="H33" s="36" t="e">
        <f t="shared" si="0"/>
        <v>#DIV/0!</v>
      </c>
      <c r="I33" s="13">
        <f>I6-I11</f>
        <v>1108690</v>
      </c>
      <c r="J33" s="13">
        <f>J6-J11</f>
        <v>0</v>
      </c>
      <c r="K33" s="13">
        <f>K6-K11</f>
        <v>0</v>
      </c>
      <c r="L33" s="13">
        <f>L6-L11</f>
        <v>1638757</v>
      </c>
      <c r="M33" s="14" t="e">
        <f t="shared" si="2"/>
        <v>#DIV/0!</v>
      </c>
      <c r="N33" s="13">
        <f>N6-N11</f>
        <v>1044398</v>
      </c>
      <c r="O33" s="13">
        <f>O6-O11</f>
        <v>0</v>
      </c>
      <c r="P33" s="13">
        <f>P6-P11</f>
        <v>0</v>
      </c>
      <c r="Q33" s="13">
        <f>Q6-Q11</f>
        <v>215065</v>
      </c>
      <c r="R33" s="14" t="e">
        <f t="shared" si="3"/>
        <v>#DIV/0!</v>
      </c>
      <c r="S33" s="13">
        <f>S6-S11</f>
        <v>64292</v>
      </c>
      <c r="T33" s="13">
        <f>T6-T11</f>
        <v>0</v>
      </c>
      <c r="U33" s="13">
        <f>U6-U11</f>
        <v>0</v>
      </c>
      <c r="V33" s="13">
        <f>V6-V11</f>
        <v>0</v>
      </c>
      <c r="W33" s="14" t="e">
        <f t="shared" si="4"/>
        <v>#DIV/0!</v>
      </c>
      <c r="X33" s="13">
        <f>X6-X11</f>
        <v>0</v>
      </c>
    </row>
    <row r="34" spans="1:24" s="1" customFormat="1" ht="9.75" x14ac:dyDescent="0.2">
      <c r="A34" s="37" t="s">
        <v>71</v>
      </c>
      <c r="B34" s="749" t="s">
        <v>72</v>
      </c>
      <c r="C34" s="749"/>
      <c r="D34" s="38" t="s">
        <v>16</v>
      </c>
      <c r="E34" s="48">
        <v>22154</v>
      </c>
      <c r="F34" s="48">
        <v>22154</v>
      </c>
      <c r="G34" s="48">
        <v>22109</v>
      </c>
      <c r="H34" s="29">
        <f t="shared" si="0"/>
        <v>99.796876410580481</v>
      </c>
      <c r="I34" s="48">
        <v>20584</v>
      </c>
      <c r="J34" s="39">
        <v>0</v>
      </c>
      <c r="K34" s="39">
        <v>0</v>
      </c>
      <c r="L34" s="39">
        <v>0</v>
      </c>
      <c r="M34" s="14" t="e">
        <f t="shared" si="2"/>
        <v>#DIV/0!</v>
      </c>
      <c r="N34" s="39">
        <v>0</v>
      </c>
      <c r="O34" s="39">
        <v>22154</v>
      </c>
      <c r="P34" s="39">
        <v>22154</v>
      </c>
      <c r="Q34" s="39">
        <v>22109</v>
      </c>
      <c r="R34" s="14">
        <f t="shared" si="3"/>
        <v>99.796876410580481</v>
      </c>
      <c r="S34" s="39">
        <v>18526</v>
      </c>
      <c r="T34" s="39"/>
      <c r="U34" s="39"/>
      <c r="V34" s="39"/>
      <c r="W34" s="14" t="e">
        <f t="shared" si="4"/>
        <v>#DIV/0!</v>
      </c>
      <c r="X34" s="39"/>
    </row>
    <row r="35" spans="1:24" s="1" customFormat="1" ht="9.75" x14ac:dyDescent="0.2">
      <c r="A35" s="40" t="s">
        <v>73</v>
      </c>
      <c r="B35" s="751" t="s">
        <v>74</v>
      </c>
      <c r="C35" s="751"/>
      <c r="D35" s="40" t="s">
        <v>75</v>
      </c>
      <c r="E35" s="48">
        <v>26.96</v>
      </c>
      <c r="F35" s="48">
        <v>27</v>
      </c>
      <c r="G35" s="48">
        <v>27</v>
      </c>
      <c r="H35" s="29">
        <f t="shared" si="0"/>
        <v>100</v>
      </c>
      <c r="I35" s="48">
        <v>27</v>
      </c>
      <c r="J35" s="39">
        <v>0</v>
      </c>
      <c r="K35" s="49">
        <v>0</v>
      </c>
      <c r="L35" s="39">
        <v>0</v>
      </c>
      <c r="M35" s="14" t="e">
        <f t="shared" si="2"/>
        <v>#DIV/0!</v>
      </c>
      <c r="N35" s="39">
        <v>0</v>
      </c>
      <c r="O35" s="39">
        <v>27</v>
      </c>
      <c r="P35" s="39">
        <v>27</v>
      </c>
      <c r="Q35" s="39">
        <v>27</v>
      </c>
      <c r="R35" s="14">
        <f t="shared" si="3"/>
        <v>100</v>
      </c>
      <c r="S35" s="39">
        <v>27</v>
      </c>
      <c r="T35" s="39"/>
      <c r="U35" s="39"/>
      <c r="V35" s="39"/>
      <c r="W35" s="14" t="e">
        <f t="shared" si="4"/>
        <v>#DIV/0!</v>
      </c>
      <c r="X35" s="39"/>
    </row>
    <row r="36" spans="1:24" s="1" customFormat="1" ht="9.75" x14ac:dyDescent="0.2">
      <c r="A36" s="37" t="s">
        <v>76</v>
      </c>
      <c r="B36" s="749" t="s">
        <v>77</v>
      </c>
      <c r="C36" s="749"/>
      <c r="D36" s="38" t="s">
        <v>75</v>
      </c>
      <c r="E36" s="48">
        <v>30</v>
      </c>
      <c r="F36" s="48">
        <v>30</v>
      </c>
      <c r="G36" s="48">
        <v>30</v>
      </c>
      <c r="H36" s="29">
        <f t="shared" si="0"/>
        <v>100</v>
      </c>
      <c r="I36" s="48">
        <v>30</v>
      </c>
      <c r="J36" s="39">
        <v>0</v>
      </c>
      <c r="K36" s="39">
        <v>0</v>
      </c>
      <c r="L36" s="39">
        <v>0</v>
      </c>
      <c r="M36" s="14" t="e">
        <f t="shared" si="2"/>
        <v>#DIV/0!</v>
      </c>
      <c r="N36" s="39">
        <v>0</v>
      </c>
      <c r="O36" s="39">
        <v>30</v>
      </c>
      <c r="P36" s="39">
        <v>30</v>
      </c>
      <c r="Q36" s="39">
        <v>30</v>
      </c>
      <c r="R36" s="14">
        <f t="shared" si="3"/>
        <v>100</v>
      </c>
      <c r="S36" s="39">
        <v>30</v>
      </c>
      <c r="T36" s="39"/>
      <c r="U36" s="39"/>
      <c r="V36" s="39"/>
      <c r="W36" s="14" t="e">
        <f t="shared" si="4"/>
        <v>#DIV/0!</v>
      </c>
      <c r="X36" s="39"/>
    </row>
  </sheetData>
  <mergeCells count="38">
    <mergeCell ref="A1:X1"/>
    <mergeCell ref="A3:A5"/>
    <mergeCell ref="B3:C5"/>
    <mergeCell ref="D3:D5"/>
    <mergeCell ref="E3:I3"/>
    <mergeCell ref="J3:N3"/>
    <mergeCell ref="O3:S3"/>
    <mergeCell ref="T3:X3"/>
    <mergeCell ref="E4:E5"/>
    <mergeCell ref="F4:H4"/>
    <mergeCell ref="I4:I5"/>
    <mergeCell ref="J4:J5"/>
    <mergeCell ref="X4:X5"/>
    <mergeCell ref="B6:C6"/>
    <mergeCell ref="O4:O5"/>
    <mergeCell ref="P4:R4"/>
    <mergeCell ref="B12:C12"/>
    <mergeCell ref="K4:M4"/>
    <mergeCell ref="N4:N5"/>
    <mergeCell ref="S4:S5"/>
    <mergeCell ref="T4:T5"/>
    <mergeCell ref="U4:W4"/>
    <mergeCell ref="B8:C8"/>
    <mergeCell ref="B10:C10"/>
    <mergeCell ref="B11:C11"/>
    <mergeCell ref="B7:C7"/>
    <mergeCell ref="B13:C13"/>
    <mergeCell ref="B26:C26"/>
    <mergeCell ref="B34:C34"/>
    <mergeCell ref="B35:C35"/>
    <mergeCell ref="B15:C15"/>
    <mergeCell ref="B36:C36"/>
    <mergeCell ref="B16:C16"/>
    <mergeCell ref="B18:C18"/>
    <mergeCell ref="B19:C19"/>
    <mergeCell ref="B20:C20"/>
    <mergeCell ref="B21:C21"/>
    <mergeCell ref="B22:C22"/>
  </mergeCells>
  <pageMargins left="0.70866141732283472" right="0.70866141732283472" top="0.78740157480314965" bottom="0.78740157480314965" header="0.31496062992125984" footer="0.31496062992125984"/>
  <pageSetup paperSize="9" firstPageNumber="97" orientation="landscape" useFirstPageNumber="1" r:id="rId1"/>
  <headerFooter>
    <oddFooter>&amp;C&amp;P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9"/>
  <sheetViews>
    <sheetView topLeftCell="A34" workbookViewId="0">
      <selection activeCell="C51" sqref="C51"/>
    </sheetView>
  </sheetViews>
  <sheetFormatPr defaultRowHeight="12.75" x14ac:dyDescent="0.2"/>
  <cols>
    <col min="1" max="1" width="33.140625" style="4" customWidth="1"/>
    <col min="2" max="2" width="19.140625" style="4" customWidth="1"/>
    <col min="3" max="5" width="14.7109375" style="4" customWidth="1"/>
    <col min="6" max="7" width="13" style="4" customWidth="1"/>
    <col min="8" max="8" width="18.42578125" style="4" customWidth="1"/>
    <col min="9" max="16384" width="9.140625" style="4"/>
  </cols>
  <sheetData>
    <row r="1" spans="1:9" s="168" customFormat="1" ht="18.75" x14ac:dyDescent="0.3">
      <c r="A1" s="818" t="s">
        <v>432</v>
      </c>
      <c r="B1" s="818"/>
      <c r="C1" s="818"/>
      <c r="D1" s="818"/>
      <c r="E1" s="818"/>
      <c r="F1" s="818"/>
      <c r="G1" s="818"/>
      <c r="H1" s="818"/>
      <c r="I1" s="818"/>
    </row>
    <row r="3" spans="1:9" s="169" customFormat="1" ht="10.5" x14ac:dyDescent="0.15">
      <c r="A3" s="781" t="s">
        <v>99</v>
      </c>
      <c r="B3" s="781"/>
      <c r="C3" s="781"/>
      <c r="D3" s="781"/>
      <c r="E3" s="781"/>
      <c r="F3" s="781"/>
      <c r="G3" s="781"/>
      <c r="H3" s="781"/>
      <c r="I3" s="781"/>
    </row>
    <row r="4" spans="1:9" s="170" customFormat="1" ht="11.25" x14ac:dyDescent="0.2"/>
    <row r="5" spans="1:9" s="172" customFormat="1" ht="9.75" x14ac:dyDescent="0.2">
      <c r="A5" s="819" t="s">
        <v>100</v>
      </c>
      <c r="B5" s="820"/>
      <c r="C5" s="171" t="s">
        <v>16</v>
      </c>
      <c r="D5" s="805" t="s">
        <v>101</v>
      </c>
      <c r="E5" s="805"/>
      <c r="F5" s="805"/>
      <c r="G5" s="805"/>
      <c r="H5" s="805"/>
      <c r="I5" s="805"/>
    </row>
    <row r="6" spans="1:9" s="170" customFormat="1" ht="51" customHeight="1" x14ac:dyDescent="0.2">
      <c r="A6" s="821" t="s">
        <v>102</v>
      </c>
      <c r="B6" s="822"/>
      <c r="C6" s="173">
        <v>706893.68</v>
      </c>
      <c r="D6" s="1187" t="s">
        <v>433</v>
      </c>
      <c r="E6" s="1188"/>
      <c r="F6" s="1188"/>
      <c r="G6" s="1188"/>
      <c r="H6" s="1188"/>
      <c r="I6" s="1188"/>
    </row>
    <row r="7" spans="1:9" s="174" customFormat="1" ht="24.75" customHeight="1" x14ac:dyDescent="0.15">
      <c r="A7" s="821" t="s">
        <v>103</v>
      </c>
      <c r="B7" s="822"/>
      <c r="C7" s="173">
        <v>47075.34</v>
      </c>
      <c r="D7" s="1187" t="s">
        <v>434</v>
      </c>
      <c r="E7" s="1188"/>
      <c r="F7" s="1188"/>
      <c r="G7" s="1188"/>
      <c r="H7" s="1188"/>
      <c r="I7" s="1188"/>
    </row>
    <row r="8" spans="1:9" s="174" customFormat="1" ht="15" customHeight="1" x14ac:dyDescent="0.15">
      <c r="A8" s="829" t="s">
        <v>105</v>
      </c>
      <c r="B8" s="830"/>
      <c r="C8" s="175">
        <v>-77365.600000000006</v>
      </c>
      <c r="D8" s="831"/>
      <c r="E8" s="832"/>
      <c r="F8" s="832"/>
      <c r="G8" s="832"/>
      <c r="H8" s="832"/>
      <c r="I8" s="833"/>
    </row>
    <row r="9" spans="1:9" s="170" customFormat="1" ht="11.25" x14ac:dyDescent="0.2">
      <c r="C9" s="176"/>
    </row>
    <row r="10" spans="1:9" s="177" customFormat="1" ht="11.25" x14ac:dyDescent="0.2">
      <c r="A10" s="781" t="s">
        <v>106</v>
      </c>
      <c r="B10" s="781"/>
      <c r="C10" s="781"/>
      <c r="D10" s="781"/>
      <c r="E10" s="781"/>
      <c r="F10" s="781"/>
      <c r="G10" s="781"/>
      <c r="H10" s="781"/>
      <c r="I10" s="781"/>
    </row>
    <row r="11" spans="1:9" s="170" customFormat="1" ht="12" thickBot="1" x14ac:dyDescent="0.25">
      <c r="C11" s="176"/>
    </row>
    <row r="12" spans="1:9" s="181" customFormat="1" ht="21" x14ac:dyDescent="0.15">
      <c r="A12" s="178" t="s">
        <v>107</v>
      </c>
      <c r="B12" s="178" t="s">
        <v>108</v>
      </c>
      <c r="C12" s="179" t="s">
        <v>109</v>
      </c>
      <c r="D12" s="180" t="s">
        <v>110</v>
      </c>
      <c r="E12" s="179" t="s">
        <v>111</v>
      </c>
      <c r="F12" s="814" t="s">
        <v>112</v>
      </c>
      <c r="G12" s="815"/>
      <c r="H12" s="816" t="s">
        <v>113</v>
      </c>
      <c r="I12" s="817"/>
    </row>
    <row r="13" spans="1:9" s="181" customFormat="1" ht="81.75" customHeight="1" x14ac:dyDescent="0.15">
      <c r="A13" s="182" t="s">
        <v>114</v>
      </c>
      <c r="B13" s="359">
        <v>204556.94</v>
      </c>
      <c r="C13" s="359">
        <v>243383.14</v>
      </c>
      <c r="D13" s="359">
        <v>0</v>
      </c>
      <c r="E13" s="290">
        <f>B13+C13-D13</f>
        <v>447940.08</v>
      </c>
      <c r="F13" s="1175">
        <v>448382.07</v>
      </c>
      <c r="G13" s="1176"/>
      <c r="H13" s="1179" t="s">
        <v>435</v>
      </c>
      <c r="I13" s="1180"/>
    </row>
    <row r="14" spans="1:9" s="181" customFormat="1" ht="46.5" customHeight="1" x14ac:dyDescent="0.15">
      <c r="A14" s="182" t="s">
        <v>115</v>
      </c>
      <c r="B14" s="360">
        <v>441.99</v>
      </c>
      <c r="C14" s="360">
        <v>30000</v>
      </c>
      <c r="D14" s="360">
        <v>30000</v>
      </c>
      <c r="E14" s="296">
        <f t="shared" ref="E14:E17" si="0">B14+C14-D14</f>
        <v>441.9900000000016</v>
      </c>
      <c r="F14" s="1177"/>
      <c r="G14" s="1178"/>
      <c r="H14" s="1179" t="s">
        <v>436</v>
      </c>
      <c r="I14" s="1180"/>
    </row>
    <row r="15" spans="1:9" s="181" customFormat="1" ht="194.25" customHeight="1" x14ac:dyDescent="0.15">
      <c r="A15" s="186" t="s">
        <v>116</v>
      </c>
      <c r="B15" s="360">
        <v>963363.99</v>
      </c>
      <c r="C15" s="360">
        <v>1223444</v>
      </c>
      <c r="D15" s="360">
        <v>1623074</v>
      </c>
      <c r="E15" s="296">
        <f t="shared" si="0"/>
        <v>563733.99000000022</v>
      </c>
      <c r="F15" s="1181">
        <v>563733.99</v>
      </c>
      <c r="G15" s="1182"/>
      <c r="H15" s="1179" t="s">
        <v>437</v>
      </c>
      <c r="I15" s="1180"/>
    </row>
    <row r="16" spans="1:9" s="181" customFormat="1" ht="35.25" customHeight="1" x14ac:dyDescent="0.15">
      <c r="A16" s="190" t="s">
        <v>117</v>
      </c>
      <c r="B16" s="296">
        <v>418.61</v>
      </c>
      <c r="C16" s="296">
        <v>150000</v>
      </c>
      <c r="D16" s="296">
        <v>70000</v>
      </c>
      <c r="E16" s="296">
        <f t="shared" si="0"/>
        <v>80418.609999999986</v>
      </c>
      <c r="F16" s="1183">
        <v>80418.61</v>
      </c>
      <c r="G16" s="1184"/>
      <c r="H16" s="1179" t="s">
        <v>438</v>
      </c>
      <c r="I16" s="1180"/>
    </row>
    <row r="17" spans="1:9" s="181" customFormat="1" ht="86.25" customHeight="1" x14ac:dyDescent="0.15">
      <c r="A17" s="194" t="s">
        <v>118</v>
      </c>
      <c r="B17" s="361">
        <v>101781.27</v>
      </c>
      <c r="C17" s="361">
        <v>94222.3</v>
      </c>
      <c r="D17" s="361">
        <v>52080</v>
      </c>
      <c r="E17" s="297">
        <f t="shared" si="0"/>
        <v>143923.57</v>
      </c>
      <c r="F17" s="1185">
        <v>120488.77</v>
      </c>
      <c r="G17" s="1186"/>
      <c r="H17" s="1179" t="s">
        <v>439</v>
      </c>
      <c r="I17" s="1180"/>
    </row>
    <row r="18" spans="1:9" s="181" customFormat="1" thickBot="1" x14ac:dyDescent="0.2">
      <c r="A18" s="198" t="s">
        <v>120</v>
      </c>
      <c r="B18" s="199">
        <f>SUM(B13:B17)</f>
        <v>1270562.8</v>
      </c>
      <c r="C18" s="200">
        <f>SUM(C13:C17)</f>
        <v>1741049.4400000002</v>
      </c>
      <c r="D18" s="201">
        <f>SUM(D13:D17)</f>
        <v>1775154</v>
      </c>
      <c r="E18" s="200">
        <f>SUM(E13:E17)</f>
        <v>1236458.2400000005</v>
      </c>
      <c r="F18" s="804">
        <f>SUM(F13:G17)</f>
        <v>1213023.4400000002</v>
      </c>
      <c r="G18" s="804"/>
      <c r="H18" s="202"/>
      <c r="I18" s="203"/>
    </row>
    <row r="19" spans="1:9" s="204" customFormat="1" ht="11.25" x14ac:dyDescent="0.2">
      <c r="C19" s="205"/>
    </row>
    <row r="20" spans="1:9" s="177" customFormat="1" ht="11.25" x14ac:dyDescent="0.2">
      <c r="A20" s="781" t="s">
        <v>121</v>
      </c>
      <c r="B20" s="781"/>
      <c r="C20" s="781"/>
      <c r="D20" s="781"/>
      <c r="E20" s="781"/>
      <c r="F20" s="781"/>
      <c r="G20" s="781"/>
      <c r="H20" s="781"/>
      <c r="I20" s="781"/>
    </row>
    <row r="21" spans="1:9" s="170" customFormat="1" ht="11.25" x14ac:dyDescent="0.2">
      <c r="C21" s="176"/>
    </row>
    <row r="22" spans="1:9" s="170" customFormat="1" ht="11.25" x14ac:dyDescent="0.2">
      <c r="A22" s="171" t="s">
        <v>122</v>
      </c>
      <c r="B22" s="171" t="s">
        <v>16</v>
      </c>
      <c r="C22" s="206" t="s">
        <v>123</v>
      </c>
      <c r="D22" s="805" t="s">
        <v>124</v>
      </c>
      <c r="E22" s="805"/>
      <c r="F22" s="805"/>
      <c r="G22" s="805"/>
      <c r="H22" s="805"/>
      <c r="I22" s="805"/>
    </row>
    <row r="23" spans="1:9" s="170" customFormat="1" ht="25.5" customHeight="1" x14ac:dyDescent="0.2">
      <c r="A23" s="251" t="s">
        <v>440</v>
      </c>
      <c r="B23" s="208">
        <v>137201</v>
      </c>
      <c r="C23" s="209" t="s">
        <v>441</v>
      </c>
      <c r="D23" s="1045" t="s">
        <v>442</v>
      </c>
      <c r="E23" s="1046"/>
      <c r="F23" s="1046"/>
      <c r="G23" s="1046"/>
      <c r="H23" s="1046"/>
      <c r="I23" s="1047"/>
    </row>
    <row r="24" spans="1:9" s="174" customFormat="1" ht="11.25" x14ac:dyDescent="0.2">
      <c r="A24" s="210" t="s">
        <v>120</v>
      </c>
      <c r="B24" s="211">
        <f>SUM(B23:B23)</f>
        <v>137201</v>
      </c>
      <c r="C24" s="806"/>
      <c r="D24" s="806"/>
      <c r="E24" s="806"/>
      <c r="F24" s="806"/>
      <c r="G24" s="806"/>
      <c r="H24" s="806"/>
      <c r="I24" s="807"/>
    </row>
    <row r="25" spans="1:9" s="204" customFormat="1" ht="11.25" x14ac:dyDescent="0.2">
      <c r="C25" s="205"/>
    </row>
    <row r="26" spans="1:9" s="177" customFormat="1" ht="11.25" x14ac:dyDescent="0.2">
      <c r="A26" s="781" t="s">
        <v>126</v>
      </c>
      <c r="B26" s="781"/>
      <c r="C26" s="781"/>
      <c r="D26" s="781"/>
      <c r="E26" s="781"/>
      <c r="F26" s="781"/>
      <c r="G26" s="781"/>
      <c r="H26" s="781"/>
      <c r="I26" s="781"/>
    </row>
    <row r="27" spans="1:9" s="170" customFormat="1" ht="11.25" x14ac:dyDescent="0.2">
      <c r="C27" s="176"/>
    </row>
    <row r="28" spans="1:9" s="170" customFormat="1" ht="11.25" x14ac:dyDescent="0.2">
      <c r="A28" s="171" t="s">
        <v>122</v>
      </c>
      <c r="B28" s="171" t="s">
        <v>16</v>
      </c>
      <c r="C28" s="206" t="s">
        <v>123</v>
      </c>
      <c r="D28" s="805" t="s">
        <v>127</v>
      </c>
      <c r="E28" s="805"/>
      <c r="F28" s="805"/>
      <c r="G28" s="805"/>
      <c r="H28" s="805"/>
      <c r="I28" s="808"/>
    </row>
    <row r="29" spans="1:9" s="170" customFormat="1" ht="11.25" customHeight="1" x14ac:dyDescent="0.2">
      <c r="A29" s="207"/>
      <c r="B29" s="208">
        <v>0</v>
      </c>
      <c r="C29" s="209"/>
      <c r="D29" s="1045" t="s">
        <v>443</v>
      </c>
      <c r="E29" s="1046"/>
      <c r="F29" s="1046"/>
      <c r="G29" s="1046"/>
      <c r="H29" s="1046"/>
      <c r="I29" s="1047"/>
    </row>
    <row r="30" spans="1:9" s="174" customFormat="1" ht="10.5" x14ac:dyDescent="0.15">
      <c r="A30" s="210" t="s">
        <v>120</v>
      </c>
      <c r="B30" s="211">
        <f>SUM(B29:B29)</f>
        <v>0</v>
      </c>
      <c r="C30" s="784"/>
      <c r="D30" s="784"/>
      <c r="E30" s="784"/>
      <c r="F30" s="784"/>
      <c r="G30" s="784"/>
      <c r="H30" s="784"/>
      <c r="I30" s="784"/>
    </row>
    <row r="31" spans="1:9" s="170" customFormat="1" ht="11.25" x14ac:dyDescent="0.2">
      <c r="C31" s="176"/>
    </row>
    <row r="32" spans="1:9" s="170" customFormat="1" ht="11.25" x14ac:dyDescent="0.2">
      <c r="C32" s="176"/>
    </row>
    <row r="33" spans="1:9" s="177" customFormat="1" ht="11.25" x14ac:dyDescent="0.2">
      <c r="A33" s="781" t="s">
        <v>129</v>
      </c>
      <c r="B33" s="781"/>
      <c r="C33" s="781"/>
      <c r="D33" s="781"/>
      <c r="E33" s="781"/>
      <c r="F33" s="781"/>
      <c r="G33" s="781"/>
      <c r="H33" s="781"/>
      <c r="I33" s="781"/>
    </row>
    <row r="34" spans="1:9" s="170" customFormat="1" ht="11.25" x14ac:dyDescent="0.2">
      <c r="C34" s="212"/>
    </row>
    <row r="35" spans="1:9" s="170" customFormat="1" ht="11.25" x14ac:dyDescent="0.2">
      <c r="A35" s="171" t="s">
        <v>130</v>
      </c>
      <c r="B35" s="206" t="s">
        <v>131</v>
      </c>
      <c r="C35" s="785" t="s">
        <v>132</v>
      </c>
      <c r="D35" s="785"/>
      <c r="E35" s="785"/>
      <c r="F35" s="785"/>
      <c r="G35" s="785"/>
      <c r="H35" s="785"/>
      <c r="I35" s="786"/>
    </row>
    <row r="36" spans="1:9" s="170" customFormat="1" ht="11.25" x14ac:dyDescent="0.2">
      <c r="A36" s="213">
        <v>30000</v>
      </c>
      <c r="B36" s="213">
        <v>30000</v>
      </c>
      <c r="C36" s="854" t="s">
        <v>444</v>
      </c>
      <c r="D36" s="854"/>
      <c r="E36" s="854"/>
      <c r="F36" s="854"/>
      <c r="G36" s="854"/>
      <c r="H36" s="854"/>
      <c r="I36" s="854"/>
    </row>
    <row r="37" spans="1:9" s="174" customFormat="1" ht="10.5" x14ac:dyDescent="0.15">
      <c r="A37" s="214">
        <f>SUM(A36:A36)</f>
        <v>30000</v>
      </c>
      <c r="B37" s="214">
        <f>SUM(B36:B36)</f>
        <v>30000</v>
      </c>
      <c r="C37" s="788" t="s">
        <v>120</v>
      </c>
      <c r="D37" s="789"/>
      <c r="E37" s="789"/>
      <c r="F37" s="789"/>
      <c r="G37" s="789"/>
      <c r="H37" s="789"/>
      <c r="I37" s="790"/>
    </row>
    <row r="38" spans="1:9" s="170" customFormat="1" ht="11.25" x14ac:dyDescent="0.2">
      <c r="C38" s="212"/>
    </row>
    <row r="39" spans="1:9" s="170" customFormat="1" ht="11.25" x14ac:dyDescent="0.2">
      <c r="A39" s="781" t="s">
        <v>177</v>
      </c>
      <c r="B39" s="766"/>
      <c r="C39" s="766"/>
      <c r="D39" s="766"/>
      <c r="E39" s="766"/>
      <c r="F39" s="766"/>
      <c r="G39" s="766"/>
      <c r="H39" s="766"/>
      <c r="I39" s="766"/>
    </row>
    <row r="40" spans="1:9" s="170" customFormat="1" ht="11.25" x14ac:dyDescent="0.2">
      <c r="C40" s="212"/>
    </row>
    <row r="41" spans="1:9" s="216" customFormat="1" ht="31.5" x14ac:dyDescent="0.25">
      <c r="A41" s="767" t="s">
        <v>135</v>
      </c>
      <c r="B41" s="768"/>
      <c r="C41" s="215" t="s">
        <v>136</v>
      </c>
      <c r="D41" s="215" t="s">
        <v>137</v>
      </c>
      <c r="E41" s="215" t="s">
        <v>138</v>
      </c>
      <c r="F41" s="215" t="s">
        <v>139</v>
      </c>
      <c r="G41" s="215" t="s">
        <v>140</v>
      </c>
    </row>
    <row r="42" spans="1:9" s="170" customFormat="1" ht="12" x14ac:dyDescent="0.2">
      <c r="A42" s="1171" t="s">
        <v>445</v>
      </c>
      <c r="B42" s="1172"/>
      <c r="C42" s="362" t="s">
        <v>446</v>
      </c>
      <c r="D42" s="363"/>
      <c r="E42" s="363">
        <v>5000000</v>
      </c>
      <c r="F42" s="364">
        <v>43220</v>
      </c>
      <c r="G42" s="365">
        <v>43220</v>
      </c>
    </row>
    <row r="43" spans="1:9" s="170" customFormat="1" ht="12" x14ac:dyDescent="0.2">
      <c r="A43" s="1173"/>
      <c r="B43" s="1174"/>
      <c r="C43" s="366" t="s">
        <v>447</v>
      </c>
      <c r="D43" s="367">
        <v>5000000</v>
      </c>
      <c r="E43" s="367"/>
      <c r="F43" s="368">
        <v>43220</v>
      </c>
      <c r="G43" s="369">
        <v>43220</v>
      </c>
    </row>
    <row r="44" spans="1:9" s="170" customFormat="1" ht="12" x14ac:dyDescent="0.2">
      <c r="A44" s="1171" t="s">
        <v>448</v>
      </c>
      <c r="B44" s="1172"/>
      <c r="C44" s="362" t="s">
        <v>449</v>
      </c>
      <c r="D44" s="363"/>
      <c r="E44" s="363">
        <v>70000</v>
      </c>
      <c r="F44" s="370">
        <v>43281</v>
      </c>
      <c r="G44" s="371">
        <v>43281</v>
      </c>
    </row>
    <row r="45" spans="1:9" s="170" customFormat="1" ht="12" x14ac:dyDescent="0.2">
      <c r="A45" s="1173"/>
      <c r="B45" s="1174"/>
      <c r="C45" s="366" t="s">
        <v>450</v>
      </c>
      <c r="D45" s="367">
        <v>70000</v>
      </c>
      <c r="E45" s="367"/>
      <c r="F45" s="372">
        <v>43281</v>
      </c>
      <c r="G45" s="373">
        <v>43281</v>
      </c>
    </row>
    <row r="46" spans="1:9" s="170" customFormat="1" ht="12" x14ac:dyDescent="0.2">
      <c r="A46" s="1173"/>
      <c r="B46" s="1174"/>
      <c r="C46" s="374" t="s">
        <v>142</v>
      </c>
      <c r="D46" s="375"/>
      <c r="E46" s="375">
        <v>27578.5</v>
      </c>
      <c r="F46" s="370">
        <v>43281</v>
      </c>
      <c r="G46" s="371">
        <v>43281</v>
      </c>
    </row>
    <row r="47" spans="1:9" s="170" customFormat="1" ht="12" x14ac:dyDescent="0.2">
      <c r="A47" s="1173"/>
      <c r="B47" s="1174"/>
      <c r="C47" s="374" t="s">
        <v>451</v>
      </c>
      <c r="D47" s="375"/>
      <c r="E47" s="375">
        <v>2421.5</v>
      </c>
      <c r="F47" s="370">
        <v>43281</v>
      </c>
      <c r="G47" s="371">
        <v>43281</v>
      </c>
    </row>
    <row r="48" spans="1:9" s="170" customFormat="1" ht="12" x14ac:dyDescent="0.2">
      <c r="A48" s="1173"/>
      <c r="B48" s="1174"/>
      <c r="C48" s="374" t="s">
        <v>450</v>
      </c>
      <c r="D48" s="375">
        <v>30000</v>
      </c>
      <c r="E48" s="375"/>
      <c r="F48" s="368">
        <v>43281</v>
      </c>
      <c r="G48" s="369">
        <v>43281</v>
      </c>
    </row>
    <row r="49" spans="1:9" s="170" customFormat="1" ht="11.25" x14ac:dyDescent="0.2">
      <c r="A49" s="773" t="s">
        <v>178</v>
      </c>
      <c r="B49" s="774"/>
      <c r="C49" s="233"/>
      <c r="D49" s="234">
        <f>SUM(D42:D48)</f>
        <v>5100000</v>
      </c>
      <c r="E49" s="234">
        <f>SUM(E42:E48)</f>
        <v>5100000</v>
      </c>
      <c r="F49" s="795"/>
      <c r="G49" s="796"/>
    </row>
    <row r="50" spans="1:9" s="170" customFormat="1" ht="11.25" x14ac:dyDescent="0.2">
      <c r="A50" s="235"/>
      <c r="C50" s="212"/>
    </row>
    <row r="51" spans="1:9" s="170" customFormat="1" ht="11.25" x14ac:dyDescent="0.2">
      <c r="A51" s="766" t="s">
        <v>180</v>
      </c>
      <c r="B51" s="766"/>
      <c r="C51" s="766"/>
      <c r="D51" s="766"/>
      <c r="E51" s="766"/>
      <c r="F51" s="766"/>
      <c r="G51" s="766"/>
      <c r="H51" s="766"/>
      <c r="I51" s="766"/>
    </row>
    <row r="52" spans="1:9" s="170" customFormat="1" ht="11.25" x14ac:dyDescent="0.2">
      <c r="C52" s="212"/>
    </row>
    <row r="53" spans="1:9" s="216" customFormat="1" ht="31.5" x14ac:dyDescent="0.25">
      <c r="A53" s="767" t="s">
        <v>135</v>
      </c>
      <c r="B53" s="768"/>
      <c r="C53" s="215" t="s">
        <v>136</v>
      </c>
      <c r="D53" s="215" t="s">
        <v>137</v>
      </c>
      <c r="E53" s="215" t="s">
        <v>138</v>
      </c>
      <c r="F53" s="215" t="s">
        <v>139</v>
      </c>
      <c r="G53" s="215" t="s">
        <v>140</v>
      </c>
    </row>
    <row r="54" spans="1:9" s="170" customFormat="1" ht="11.25" customHeight="1" x14ac:dyDescent="0.2">
      <c r="A54" s="1171" t="s">
        <v>452</v>
      </c>
      <c r="B54" s="1172"/>
      <c r="C54" s="362" t="s">
        <v>453</v>
      </c>
      <c r="D54" s="363">
        <v>21810</v>
      </c>
      <c r="E54" s="363"/>
      <c r="F54" s="364">
        <v>43281</v>
      </c>
      <c r="G54" s="364">
        <v>43281</v>
      </c>
    </row>
    <row r="55" spans="1:9" s="170" customFormat="1" ht="11.25" customHeight="1" x14ac:dyDescent="0.2">
      <c r="A55" s="1173"/>
      <c r="B55" s="1174"/>
      <c r="C55" s="374" t="s">
        <v>155</v>
      </c>
      <c r="D55" s="375">
        <v>3390</v>
      </c>
      <c r="E55" s="375"/>
      <c r="F55" s="370">
        <v>43281</v>
      </c>
      <c r="G55" s="370">
        <v>43281</v>
      </c>
    </row>
    <row r="56" spans="1:9" s="170" customFormat="1" ht="11.25" customHeight="1" x14ac:dyDescent="0.2">
      <c r="A56" s="1173"/>
      <c r="B56" s="1174"/>
      <c r="C56" s="374" t="s">
        <v>454</v>
      </c>
      <c r="D56" s="375"/>
      <c r="E56" s="375">
        <v>24700</v>
      </c>
      <c r="F56" s="370">
        <v>43281</v>
      </c>
      <c r="G56" s="370">
        <v>43281</v>
      </c>
    </row>
    <row r="57" spans="1:9" s="170" customFormat="1" ht="11.25" customHeight="1" x14ac:dyDescent="0.2">
      <c r="A57" s="1173"/>
      <c r="B57" s="1174"/>
      <c r="C57" s="374" t="s">
        <v>455</v>
      </c>
      <c r="D57" s="375"/>
      <c r="E57" s="375">
        <v>500</v>
      </c>
      <c r="F57" s="368">
        <v>43281</v>
      </c>
      <c r="G57" s="368">
        <v>43281</v>
      </c>
    </row>
    <row r="58" spans="1:9" s="170" customFormat="1" ht="11.25" x14ac:dyDescent="0.2">
      <c r="A58" s="773" t="s">
        <v>178</v>
      </c>
      <c r="B58" s="774"/>
      <c r="C58" s="233"/>
      <c r="D58" s="234">
        <f>SUM(D54:D57)</f>
        <v>25200</v>
      </c>
      <c r="E58" s="234">
        <f>SUM(E54:E57)</f>
        <v>25200</v>
      </c>
      <c r="F58" s="775"/>
      <c r="G58" s="776"/>
    </row>
    <row r="59" spans="1:9" s="170" customFormat="1" ht="11.25" x14ac:dyDescent="0.2">
      <c r="C59" s="212"/>
    </row>
    <row r="60" spans="1:9" s="177" customFormat="1" ht="11.25" x14ac:dyDescent="0.2">
      <c r="A60" s="777" t="s">
        <v>238</v>
      </c>
      <c r="B60" s="777"/>
      <c r="C60" s="777"/>
      <c r="D60" s="777"/>
      <c r="E60" s="777"/>
      <c r="F60" s="777"/>
      <c r="G60" s="777"/>
      <c r="H60" s="777"/>
      <c r="I60" s="777"/>
    </row>
    <row r="61" spans="1:9" s="170" customFormat="1" ht="12" x14ac:dyDescent="0.2">
      <c r="A61" s="376" t="s">
        <v>456</v>
      </c>
    </row>
    <row r="62" spans="1:9" s="170" customFormat="1" ht="11.25" x14ac:dyDescent="0.2"/>
    <row r="63" spans="1:9" s="169" customFormat="1" ht="10.5" x14ac:dyDescent="0.15">
      <c r="A63" s="781" t="s">
        <v>165</v>
      </c>
      <c r="B63" s="781"/>
      <c r="C63" s="781"/>
      <c r="D63" s="781"/>
      <c r="E63" s="781"/>
      <c r="F63" s="781"/>
      <c r="G63" s="781"/>
      <c r="H63" s="781"/>
      <c r="I63" s="781"/>
    </row>
    <row r="64" spans="1:9" s="170" customFormat="1" ht="12" x14ac:dyDescent="0.2">
      <c r="A64" s="377" t="s">
        <v>457</v>
      </c>
      <c r="B64" s="287"/>
      <c r="C64" s="287"/>
      <c r="D64" s="287"/>
      <c r="E64" s="287"/>
      <c r="F64" s="287"/>
      <c r="G64" s="287"/>
      <c r="H64" s="287"/>
      <c r="I64" s="287"/>
    </row>
    <row r="65" spans="1:9" s="170" customFormat="1" ht="39.75" customHeight="1" x14ac:dyDescent="0.2">
      <c r="A65" s="1143" t="s">
        <v>458</v>
      </c>
      <c r="B65" s="1143"/>
      <c r="C65" s="1143"/>
      <c r="D65" s="1143"/>
      <c r="E65" s="1143"/>
      <c r="F65" s="1143"/>
      <c r="G65" s="1143"/>
      <c r="H65" s="1143"/>
      <c r="I65" s="1143"/>
    </row>
    <row r="66" spans="1:9" s="170" customFormat="1" ht="12" x14ac:dyDescent="0.2">
      <c r="A66" s="1143"/>
      <c r="B66" s="1143"/>
      <c r="C66" s="1143"/>
      <c r="D66" s="1143"/>
      <c r="E66" s="1143"/>
      <c r="F66" s="1143"/>
      <c r="G66" s="1143"/>
      <c r="H66" s="1143"/>
      <c r="I66" s="1143"/>
    </row>
    <row r="67" spans="1:9" x14ac:dyDescent="0.2">
      <c r="A67" s="376" t="s">
        <v>362</v>
      </c>
      <c r="B67" s="376" t="s">
        <v>459</v>
      </c>
      <c r="C67" s="376"/>
      <c r="D67" s="376"/>
      <c r="E67" s="376" t="s">
        <v>460</v>
      </c>
      <c r="F67" s="376" t="s">
        <v>461</v>
      </c>
      <c r="G67" s="376"/>
    </row>
    <row r="68" spans="1:9" ht="14.25" customHeight="1" x14ac:dyDescent="0.2">
      <c r="A68" s="378" t="s">
        <v>364</v>
      </c>
      <c r="B68" s="379">
        <v>43308</v>
      </c>
      <c r="C68" s="376"/>
      <c r="D68" s="376"/>
      <c r="E68" s="376"/>
      <c r="F68" s="376"/>
      <c r="G68" s="376"/>
    </row>
    <row r="69" spans="1:9" ht="13.5" customHeight="1" x14ac:dyDescent="0.2">
      <c r="A69" s="246"/>
    </row>
  </sheetData>
  <mergeCells count="50">
    <mergeCell ref="F12:G12"/>
    <mergeCell ref="H12:I12"/>
    <mergeCell ref="A1:I1"/>
    <mergeCell ref="A3:I3"/>
    <mergeCell ref="A5:B5"/>
    <mergeCell ref="D5:I5"/>
    <mergeCell ref="A6:B6"/>
    <mergeCell ref="D6:I6"/>
    <mergeCell ref="A7:B7"/>
    <mergeCell ref="D7:I7"/>
    <mergeCell ref="A8:B8"/>
    <mergeCell ref="D8:I8"/>
    <mergeCell ref="A10:I10"/>
    <mergeCell ref="D23:I23"/>
    <mergeCell ref="F13:G14"/>
    <mergeCell ref="H13:I13"/>
    <mergeCell ref="H14:I14"/>
    <mergeCell ref="F15:G15"/>
    <mergeCell ref="H15:I15"/>
    <mergeCell ref="F16:G16"/>
    <mergeCell ref="H16:I16"/>
    <mergeCell ref="F17:G17"/>
    <mergeCell ref="H17:I17"/>
    <mergeCell ref="F18:G18"/>
    <mergeCell ref="A20:I20"/>
    <mergeCell ref="D22:I22"/>
    <mergeCell ref="A42:B43"/>
    <mergeCell ref="C24:I24"/>
    <mergeCell ref="A26:I26"/>
    <mergeCell ref="D28:I28"/>
    <mergeCell ref="D29:I29"/>
    <mergeCell ref="C30:I30"/>
    <mergeCell ref="A33:I33"/>
    <mergeCell ref="C35:I35"/>
    <mergeCell ref="C36:I36"/>
    <mergeCell ref="C37:I37"/>
    <mergeCell ref="A39:I39"/>
    <mergeCell ref="A41:B41"/>
    <mergeCell ref="A66:I66"/>
    <mergeCell ref="A44:B48"/>
    <mergeCell ref="A49:B49"/>
    <mergeCell ref="F49:G49"/>
    <mergeCell ref="A51:I51"/>
    <mergeCell ref="A53:B53"/>
    <mergeCell ref="A54:B57"/>
    <mergeCell ref="A58:B58"/>
    <mergeCell ref="F58:G58"/>
    <mergeCell ref="A60:I60"/>
    <mergeCell ref="A63:I63"/>
    <mergeCell ref="A65:I65"/>
  </mergeCells>
  <pageMargins left="0.70866141732283472" right="0.70866141732283472" top="0.78740157480314965" bottom="0.78740157480314965" header="0.31496062992125984" footer="0.31496062992125984"/>
  <pageSetup paperSize="9" scale="57" firstPageNumber="125" orientation="portrait" useFirstPageNumber="1" r:id="rId1"/>
  <headerFooter>
    <oddFooter>&amp;C&amp;P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6"/>
  <sheetViews>
    <sheetView workbookViewId="0">
      <selection activeCell="C51" sqref="C51"/>
    </sheetView>
  </sheetViews>
  <sheetFormatPr defaultColWidth="3.7109375" defaultRowHeight="15" x14ac:dyDescent="0.25"/>
  <cols>
    <col min="1" max="1" width="3.140625" style="2" customWidth="1"/>
    <col min="2" max="2" width="3.7109375" style="3" customWidth="1"/>
    <col min="3" max="3" width="21" style="3" customWidth="1"/>
    <col min="4" max="4" width="4.85546875" style="3" customWidth="1"/>
    <col min="5" max="7" width="6.28515625" style="3" customWidth="1"/>
    <col min="8" max="8" width="5" style="3" customWidth="1"/>
    <col min="9" max="12" width="6.28515625" style="3" customWidth="1"/>
    <col min="13" max="13" width="5" style="3" customWidth="1"/>
    <col min="14" max="17" width="6.28515625" style="3" customWidth="1"/>
    <col min="18" max="18" width="5" style="3" customWidth="1"/>
    <col min="19" max="22" width="6.28515625" style="3" customWidth="1"/>
    <col min="23" max="23" width="5" style="3" customWidth="1"/>
    <col min="24" max="24" width="6.28515625" style="3" customWidth="1"/>
    <col min="25" max="16384" width="3.7109375" style="3"/>
  </cols>
  <sheetData>
    <row r="1" spans="1:24" s="6" customFormat="1" ht="15.75" x14ac:dyDescent="0.25">
      <c r="A1" s="759" t="s">
        <v>81</v>
      </c>
      <c r="B1" s="759"/>
      <c r="C1" s="759"/>
      <c r="D1" s="759"/>
      <c r="E1" s="759"/>
      <c r="F1" s="759"/>
      <c r="G1" s="759"/>
      <c r="H1" s="759"/>
      <c r="I1" s="759"/>
      <c r="J1" s="759"/>
      <c r="K1" s="759"/>
      <c r="L1" s="759"/>
      <c r="M1" s="759"/>
      <c r="N1" s="759"/>
      <c r="O1" s="759"/>
      <c r="P1" s="759"/>
      <c r="Q1" s="759"/>
      <c r="R1" s="759"/>
      <c r="S1" s="759"/>
      <c r="T1" s="759"/>
      <c r="U1" s="759"/>
      <c r="V1" s="759"/>
      <c r="W1" s="759"/>
      <c r="X1" s="759"/>
    </row>
    <row r="3" spans="1:24" s="7" customFormat="1" ht="9.75" customHeight="1" x14ac:dyDescent="0.2">
      <c r="A3" s="752" t="s">
        <v>1</v>
      </c>
      <c r="B3" s="761" t="s">
        <v>2</v>
      </c>
      <c r="C3" s="760"/>
      <c r="D3" s="761" t="s">
        <v>3</v>
      </c>
      <c r="E3" s="762" t="s">
        <v>4</v>
      </c>
      <c r="F3" s="762"/>
      <c r="G3" s="762"/>
      <c r="H3" s="762"/>
      <c r="I3" s="762"/>
      <c r="J3" s="762" t="s">
        <v>5</v>
      </c>
      <c r="K3" s="762"/>
      <c r="L3" s="762"/>
      <c r="M3" s="762"/>
      <c r="N3" s="762"/>
      <c r="O3" s="762" t="s">
        <v>6</v>
      </c>
      <c r="P3" s="762"/>
      <c r="Q3" s="762"/>
      <c r="R3" s="762"/>
      <c r="S3" s="762"/>
      <c r="T3" s="762" t="s">
        <v>7</v>
      </c>
      <c r="U3" s="762"/>
      <c r="V3" s="762"/>
      <c r="W3" s="762"/>
      <c r="X3" s="762"/>
    </row>
    <row r="4" spans="1:24" s="8" customFormat="1" ht="9.75" customHeight="1" x14ac:dyDescent="0.2">
      <c r="A4" s="760"/>
      <c r="B4" s="760"/>
      <c r="C4" s="760"/>
      <c r="D4" s="761"/>
      <c r="E4" s="754" t="s">
        <v>8</v>
      </c>
      <c r="F4" s="755" t="s">
        <v>9</v>
      </c>
      <c r="G4" s="755"/>
      <c r="H4" s="755"/>
      <c r="I4" s="752" t="s">
        <v>10</v>
      </c>
      <c r="J4" s="754" t="s">
        <v>8</v>
      </c>
      <c r="K4" s="755" t="s">
        <v>9</v>
      </c>
      <c r="L4" s="755"/>
      <c r="M4" s="755"/>
      <c r="N4" s="752" t="s">
        <v>10</v>
      </c>
      <c r="O4" s="754" t="s">
        <v>8</v>
      </c>
      <c r="P4" s="755" t="s">
        <v>9</v>
      </c>
      <c r="Q4" s="755"/>
      <c r="R4" s="755"/>
      <c r="S4" s="752" t="s">
        <v>10</v>
      </c>
      <c r="T4" s="754" t="s">
        <v>8</v>
      </c>
      <c r="U4" s="755" t="s">
        <v>9</v>
      </c>
      <c r="V4" s="755"/>
      <c r="W4" s="755"/>
      <c r="X4" s="752" t="s">
        <v>10</v>
      </c>
    </row>
    <row r="5" spans="1:24" s="10" customFormat="1" ht="9.75" customHeight="1" x14ac:dyDescent="0.2">
      <c r="A5" s="760"/>
      <c r="B5" s="760"/>
      <c r="C5" s="760"/>
      <c r="D5" s="761"/>
      <c r="E5" s="754"/>
      <c r="F5" s="9" t="s">
        <v>11</v>
      </c>
      <c r="G5" s="9" t="s">
        <v>12</v>
      </c>
      <c r="H5" s="9" t="s">
        <v>13</v>
      </c>
      <c r="I5" s="752"/>
      <c r="J5" s="754"/>
      <c r="K5" s="9" t="s">
        <v>11</v>
      </c>
      <c r="L5" s="9" t="s">
        <v>12</v>
      </c>
      <c r="M5" s="9" t="s">
        <v>13</v>
      </c>
      <c r="N5" s="752"/>
      <c r="O5" s="754"/>
      <c r="P5" s="9" t="s">
        <v>11</v>
      </c>
      <c r="Q5" s="9" t="s">
        <v>12</v>
      </c>
      <c r="R5" s="9" t="s">
        <v>13</v>
      </c>
      <c r="S5" s="752"/>
      <c r="T5" s="754"/>
      <c r="U5" s="9" t="s">
        <v>11</v>
      </c>
      <c r="V5" s="9" t="s">
        <v>12</v>
      </c>
      <c r="W5" s="9" t="s">
        <v>13</v>
      </c>
      <c r="X5" s="752"/>
    </row>
    <row r="6" spans="1:24" s="7" customFormat="1" ht="9.75" customHeight="1" x14ac:dyDescent="0.2">
      <c r="A6" s="11" t="s">
        <v>14</v>
      </c>
      <c r="B6" s="753" t="s">
        <v>15</v>
      </c>
      <c r="C6" s="753"/>
      <c r="D6" s="12" t="s">
        <v>16</v>
      </c>
      <c r="E6" s="13">
        <f>SUM(E7:E9)</f>
        <v>12396338</v>
      </c>
      <c r="F6" s="13">
        <f>SUM(F7:F9)</f>
        <v>13051338</v>
      </c>
      <c r="G6" s="13">
        <f>SUM(G7:G9)</f>
        <v>6712040</v>
      </c>
      <c r="H6" s="14">
        <f t="shared" ref="H6:H36" si="0">G6/F6*100</f>
        <v>51.42798385881968</v>
      </c>
      <c r="I6" s="13">
        <f>SUM(I7:I9)</f>
        <v>5486454</v>
      </c>
      <c r="J6" s="13">
        <f>SUM(J7:J9)</f>
        <v>10177500</v>
      </c>
      <c r="K6" s="13">
        <f t="shared" ref="K6:X6" si="1">SUM(K7:K9)</f>
        <v>10832500</v>
      </c>
      <c r="L6" s="13">
        <f t="shared" si="1"/>
        <v>5722564</v>
      </c>
      <c r="M6" s="14">
        <f t="shared" ref="M6:M36" si="2">L6/K6*100</f>
        <v>52.827731363951067</v>
      </c>
      <c r="N6" s="13">
        <f t="shared" ref="N6" si="3">SUM(N7:N9)</f>
        <v>4590417</v>
      </c>
      <c r="O6" s="13">
        <f t="shared" si="1"/>
        <v>2218838</v>
      </c>
      <c r="P6" s="13">
        <f t="shared" si="1"/>
        <v>2218838</v>
      </c>
      <c r="Q6" s="13">
        <f t="shared" si="1"/>
        <v>989476</v>
      </c>
      <c r="R6" s="14">
        <f t="shared" ref="R6:R36" si="4">Q6/P6*100</f>
        <v>44.594332709282966</v>
      </c>
      <c r="S6" s="13">
        <f t="shared" ref="S6" si="5">SUM(S7:S9)</f>
        <v>896037</v>
      </c>
      <c r="T6" s="13">
        <f t="shared" si="1"/>
        <v>0</v>
      </c>
      <c r="U6" s="13">
        <f t="shared" si="1"/>
        <v>0</v>
      </c>
      <c r="V6" s="13">
        <f t="shared" si="1"/>
        <v>0</v>
      </c>
      <c r="W6" s="14" t="e">
        <f t="shared" ref="W6:W36" si="6">V6/U6*100</f>
        <v>#DIV/0!</v>
      </c>
      <c r="X6" s="13">
        <f t="shared" si="1"/>
        <v>0</v>
      </c>
    </row>
    <row r="7" spans="1:24" s="7" customFormat="1" ht="9.75" x14ac:dyDescent="0.2">
      <c r="A7" s="15" t="s">
        <v>17</v>
      </c>
      <c r="B7" s="750" t="s">
        <v>18</v>
      </c>
      <c r="C7" s="750"/>
      <c r="D7" s="16" t="s">
        <v>16</v>
      </c>
      <c r="E7" s="17">
        <f t="shared" ref="E7:G10" si="7">SUM(J7,O7)</f>
        <v>651000</v>
      </c>
      <c r="F7" s="17">
        <f t="shared" si="7"/>
        <v>651000</v>
      </c>
      <c r="G7" s="17">
        <f t="shared" si="7"/>
        <v>304314</v>
      </c>
      <c r="H7" s="18">
        <f t="shared" si="0"/>
        <v>46.745622119815664</v>
      </c>
      <c r="I7" s="17">
        <f>SUM(N7,S7)</f>
        <v>340917</v>
      </c>
      <c r="J7" s="42">
        <v>651000</v>
      </c>
      <c r="K7" s="19">
        <v>651000</v>
      </c>
      <c r="L7" s="19">
        <v>304314</v>
      </c>
      <c r="M7" s="18">
        <f t="shared" si="2"/>
        <v>46.745622119815664</v>
      </c>
      <c r="N7" s="19">
        <v>340917</v>
      </c>
      <c r="O7" s="19"/>
      <c r="P7" s="19"/>
      <c r="Q7" s="19"/>
      <c r="R7" s="18" t="e">
        <f t="shared" si="4"/>
        <v>#DIV/0!</v>
      </c>
      <c r="S7" s="19"/>
      <c r="T7" s="19"/>
      <c r="U7" s="19"/>
      <c r="V7" s="19"/>
      <c r="W7" s="18" t="e">
        <f t="shared" si="6"/>
        <v>#DIV/0!</v>
      </c>
      <c r="X7" s="19"/>
    </row>
    <row r="8" spans="1:24" s="7" customFormat="1" ht="9.75" x14ac:dyDescent="0.2">
      <c r="A8" s="20" t="s">
        <v>19</v>
      </c>
      <c r="B8" s="758" t="s">
        <v>20</v>
      </c>
      <c r="C8" s="758"/>
      <c r="D8" s="16" t="s">
        <v>16</v>
      </c>
      <c r="E8" s="17">
        <f t="shared" si="7"/>
        <v>0</v>
      </c>
      <c r="F8" s="17">
        <f t="shared" si="7"/>
        <v>0</v>
      </c>
      <c r="G8" s="17">
        <f t="shared" si="7"/>
        <v>0</v>
      </c>
      <c r="H8" s="18" t="e">
        <f t="shared" si="0"/>
        <v>#DIV/0!</v>
      </c>
      <c r="I8" s="17">
        <f>SUM(N8,S8)</f>
        <v>0</v>
      </c>
      <c r="J8" s="43">
        <v>0</v>
      </c>
      <c r="K8" s="17">
        <v>0</v>
      </c>
      <c r="L8" s="17"/>
      <c r="M8" s="18" t="e">
        <f t="shared" si="2"/>
        <v>#DIV/0!</v>
      </c>
      <c r="N8" s="17">
        <v>0</v>
      </c>
      <c r="O8" s="17"/>
      <c r="P8" s="17"/>
      <c r="Q8" s="17"/>
      <c r="R8" s="18" t="e">
        <f t="shared" si="4"/>
        <v>#DIV/0!</v>
      </c>
      <c r="S8" s="17"/>
      <c r="T8" s="17"/>
      <c r="U8" s="17"/>
      <c r="V8" s="17"/>
      <c r="W8" s="18" t="e">
        <f t="shared" si="6"/>
        <v>#DIV/0!</v>
      </c>
      <c r="X8" s="17"/>
    </row>
    <row r="9" spans="1:24" s="7" customFormat="1" ht="9.75" x14ac:dyDescent="0.2">
      <c r="A9" s="20" t="s">
        <v>21</v>
      </c>
      <c r="B9" s="21" t="s">
        <v>22</v>
      </c>
      <c r="C9" s="22"/>
      <c r="D9" s="16" t="s">
        <v>16</v>
      </c>
      <c r="E9" s="17">
        <f t="shared" si="7"/>
        <v>11745338</v>
      </c>
      <c r="F9" s="17">
        <f t="shared" si="7"/>
        <v>12400338</v>
      </c>
      <c r="G9" s="17">
        <f t="shared" si="7"/>
        <v>6407726</v>
      </c>
      <c r="H9" s="18">
        <f t="shared" si="0"/>
        <v>51.67380114961383</v>
      </c>
      <c r="I9" s="17">
        <f>SUM(N9,S9)</f>
        <v>5145537</v>
      </c>
      <c r="J9" s="43">
        <v>9526500</v>
      </c>
      <c r="K9" s="17">
        <v>10181500</v>
      </c>
      <c r="L9" s="17">
        <v>5418250</v>
      </c>
      <c r="M9" s="18">
        <f t="shared" si="2"/>
        <v>53.216618376467117</v>
      </c>
      <c r="N9" s="17">
        <v>4249500</v>
      </c>
      <c r="O9" s="17">
        <v>2218838</v>
      </c>
      <c r="P9" s="17">
        <v>2218838</v>
      </c>
      <c r="Q9" s="17">
        <v>989476</v>
      </c>
      <c r="R9" s="18">
        <f t="shared" si="4"/>
        <v>44.594332709282966</v>
      </c>
      <c r="S9" s="17">
        <v>896037</v>
      </c>
      <c r="T9" s="17"/>
      <c r="U9" s="17"/>
      <c r="V9" s="17"/>
      <c r="W9" s="18" t="e">
        <f t="shared" si="6"/>
        <v>#DIV/0!</v>
      </c>
      <c r="X9" s="17"/>
    </row>
    <row r="10" spans="1:24" s="7" customFormat="1" ht="9.75" x14ac:dyDescent="0.2">
      <c r="A10" s="11" t="s">
        <v>23</v>
      </c>
      <c r="B10" s="753" t="s">
        <v>24</v>
      </c>
      <c r="C10" s="753"/>
      <c r="D10" s="12" t="s">
        <v>16</v>
      </c>
      <c r="E10" s="23">
        <f t="shared" si="7"/>
        <v>0</v>
      </c>
      <c r="F10" s="23">
        <f t="shared" si="7"/>
        <v>0</v>
      </c>
      <c r="G10" s="23">
        <f t="shared" si="7"/>
        <v>0</v>
      </c>
      <c r="H10" s="14" t="e">
        <f t="shared" si="0"/>
        <v>#DIV/0!</v>
      </c>
      <c r="I10" s="23">
        <f>SUM(N10,S10)</f>
        <v>0</v>
      </c>
      <c r="J10" s="24"/>
      <c r="K10" s="23"/>
      <c r="L10" s="23"/>
      <c r="M10" s="14" t="e">
        <f t="shared" si="2"/>
        <v>#DIV/0!</v>
      </c>
      <c r="N10" s="23"/>
      <c r="O10" s="23"/>
      <c r="P10" s="23"/>
      <c r="Q10" s="23"/>
      <c r="R10" s="14" t="e">
        <f t="shared" si="4"/>
        <v>#DIV/0!</v>
      </c>
      <c r="S10" s="23"/>
      <c r="T10" s="23"/>
      <c r="U10" s="23"/>
      <c r="V10" s="23"/>
      <c r="W10" s="14" t="e">
        <f t="shared" si="6"/>
        <v>#DIV/0!</v>
      </c>
      <c r="X10" s="23"/>
    </row>
    <row r="11" spans="1:24" s="7" customFormat="1" ht="9.75" x14ac:dyDescent="0.2">
      <c r="A11" s="11" t="s">
        <v>25</v>
      </c>
      <c r="B11" s="753" t="s">
        <v>26</v>
      </c>
      <c r="C11" s="753"/>
      <c r="D11" s="12" t="s">
        <v>16</v>
      </c>
      <c r="E11" s="13">
        <f>SUM(E12:E31)</f>
        <v>12396338</v>
      </c>
      <c r="F11" s="13">
        <f>SUM(F12:F31)</f>
        <v>13051338</v>
      </c>
      <c r="G11" s="13">
        <f>SUM(G12:G31)</f>
        <v>5884978</v>
      </c>
      <c r="H11" s="14">
        <f t="shared" si="0"/>
        <v>45.090993735661435</v>
      </c>
      <c r="I11" s="13">
        <f>SUM(I12:I31)</f>
        <v>5323272</v>
      </c>
      <c r="J11" s="13">
        <f>SUM(J12:J31)</f>
        <v>10177500</v>
      </c>
      <c r="K11" s="13">
        <f>SUM(K12:K31)</f>
        <v>10832500</v>
      </c>
      <c r="L11" s="13">
        <f>SUM(L12:L31)</f>
        <v>4895502</v>
      </c>
      <c r="M11" s="14">
        <f t="shared" si="2"/>
        <v>45.192725594276482</v>
      </c>
      <c r="N11" s="13">
        <f>SUM(N12:N31)</f>
        <v>4417235</v>
      </c>
      <c r="O11" s="13">
        <f>SUM(O12:O31)</f>
        <v>2218838</v>
      </c>
      <c r="P11" s="13">
        <f>SUM(P12:P31)</f>
        <v>2218838</v>
      </c>
      <c r="Q11" s="13">
        <f>SUM(Q12:Q31)</f>
        <v>989476</v>
      </c>
      <c r="R11" s="14">
        <f t="shared" si="4"/>
        <v>44.594332709282966</v>
      </c>
      <c r="S11" s="13">
        <f>SUM(S12:S31)</f>
        <v>906037</v>
      </c>
      <c r="T11" s="13">
        <f>SUM(T12:T31)</f>
        <v>0</v>
      </c>
      <c r="U11" s="13">
        <f>SUM(U12:U31)</f>
        <v>0</v>
      </c>
      <c r="V11" s="13">
        <f>SUM(V12:V31)</f>
        <v>0</v>
      </c>
      <c r="W11" s="14" t="e">
        <f t="shared" si="6"/>
        <v>#DIV/0!</v>
      </c>
      <c r="X11" s="13">
        <f>SUM(X12:X31)</f>
        <v>0</v>
      </c>
    </row>
    <row r="12" spans="1:24" s="7" customFormat="1" ht="9.75" x14ac:dyDescent="0.2">
      <c r="A12" s="15" t="s">
        <v>27</v>
      </c>
      <c r="B12" s="750" t="s">
        <v>28</v>
      </c>
      <c r="C12" s="750"/>
      <c r="D12" s="16" t="s">
        <v>16</v>
      </c>
      <c r="E12" s="17">
        <f t="shared" ref="E12:I29" si="8">SUM(J12,O12)</f>
        <v>1689638</v>
      </c>
      <c r="F12" s="17">
        <f t="shared" si="8"/>
        <v>1767638</v>
      </c>
      <c r="G12" s="17">
        <f t="shared" si="8"/>
        <v>828311</v>
      </c>
      <c r="H12" s="18">
        <f t="shared" si="0"/>
        <v>46.859764273001595</v>
      </c>
      <c r="I12" s="17">
        <f t="shared" si="8"/>
        <v>769900</v>
      </c>
      <c r="J12" s="44">
        <v>1160000</v>
      </c>
      <c r="K12" s="25">
        <v>1238000</v>
      </c>
      <c r="L12" s="25">
        <v>608768</v>
      </c>
      <c r="M12" s="18">
        <f t="shared" si="2"/>
        <v>49.173505654281094</v>
      </c>
      <c r="N12" s="25">
        <v>585238</v>
      </c>
      <c r="O12" s="25">
        <v>529638</v>
      </c>
      <c r="P12" s="25">
        <v>529638</v>
      </c>
      <c r="Q12" s="25">
        <v>219543</v>
      </c>
      <c r="R12" s="18">
        <f t="shared" si="4"/>
        <v>41.451519717240828</v>
      </c>
      <c r="S12" s="25">
        <v>184662</v>
      </c>
      <c r="T12" s="25"/>
      <c r="U12" s="25"/>
      <c r="V12" s="25"/>
      <c r="W12" s="18" t="e">
        <f t="shared" si="6"/>
        <v>#DIV/0!</v>
      </c>
      <c r="X12" s="26"/>
    </row>
    <row r="13" spans="1:24" s="7" customFormat="1" ht="9.75" x14ac:dyDescent="0.2">
      <c r="A13" s="15" t="s">
        <v>29</v>
      </c>
      <c r="B13" s="750" t="s">
        <v>30</v>
      </c>
      <c r="C13" s="750"/>
      <c r="D13" s="16" t="s">
        <v>16</v>
      </c>
      <c r="E13" s="17">
        <f t="shared" si="8"/>
        <v>585000</v>
      </c>
      <c r="F13" s="17">
        <f t="shared" si="8"/>
        <v>585000</v>
      </c>
      <c r="G13" s="17">
        <f t="shared" si="8"/>
        <v>135457</v>
      </c>
      <c r="H13" s="18">
        <f t="shared" si="0"/>
        <v>23.155042735042734</v>
      </c>
      <c r="I13" s="17">
        <f t="shared" si="8"/>
        <v>187497</v>
      </c>
      <c r="J13" s="44">
        <v>580000</v>
      </c>
      <c r="K13" s="17">
        <v>580000</v>
      </c>
      <c r="L13" s="17">
        <v>135457</v>
      </c>
      <c r="M13" s="18">
        <f t="shared" si="2"/>
        <v>23.354655172413793</v>
      </c>
      <c r="N13" s="17">
        <v>187497</v>
      </c>
      <c r="O13" s="17">
        <v>5000</v>
      </c>
      <c r="P13" s="17">
        <v>5000</v>
      </c>
      <c r="Q13" s="17">
        <v>0</v>
      </c>
      <c r="R13" s="18">
        <f t="shared" si="4"/>
        <v>0</v>
      </c>
      <c r="S13" s="17">
        <v>0</v>
      </c>
      <c r="T13" s="17"/>
      <c r="U13" s="17"/>
      <c r="V13" s="17"/>
      <c r="W13" s="18" t="e">
        <f t="shared" si="6"/>
        <v>#DIV/0!</v>
      </c>
      <c r="X13" s="17"/>
    </row>
    <row r="14" spans="1:24" s="7" customFormat="1" ht="9.75" x14ac:dyDescent="0.2">
      <c r="A14" s="15" t="s">
        <v>31</v>
      </c>
      <c r="B14" s="21" t="s">
        <v>32</v>
      </c>
      <c r="C14" s="21"/>
      <c r="D14" s="16" t="s">
        <v>16</v>
      </c>
      <c r="E14" s="17">
        <f t="shared" si="8"/>
        <v>0</v>
      </c>
      <c r="F14" s="17">
        <f t="shared" si="8"/>
        <v>0</v>
      </c>
      <c r="G14" s="17">
        <f t="shared" si="8"/>
        <v>0</v>
      </c>
      <c r="H14" s="18" t="e">
        <f t="shared" si="0"/>
        <v>#DIV/0!</v>
      </c>
      <c r="I14" s="17">
        <f t="shared" si="8"/>
        <v>0</v>
      </c>
      <c r="J14" s="44"/>
      <c r="K14" s="17"/>
      <c r="L14" s="17"/>
      <c r="M14" s="18" t="e">
        <f t="shared" si="2"/>
        <v>#DIV/0!</v>
      </c>
      <c r="N14" s="17"/>
      <c r="O14" s="17"/>
      <c r="P14" s="17"/>
      <c r="Q14" s="17"/>
      <c r="R14" s="18" t="e">
        <f t="shared" si="4"/>
        <v>#DIV/0!</v>
      </c>
      <c r="S14" s="17"/>
      <c r="T14" s="17"/>
      <c r="U14" s="17"/>
      <c r="V14" s="17"/>
      <c r="W14" s="18" t="e">
        <f t="shared" si="6"/>
        <v>#DIV/0!</v>
      </c>
      <c r="X14" s="17"/>
    </row>
    <row r="15" spans="1:24" s="7" customFormat="1" ht="9.75" x14ac:dyDescent="0.2">
      <c r="A15" s="15" t="s">
        <v>33</v>
      </c>
      <c r="B15" s="750" t="s">
        <v>34</v>
      </c>
      <c r="C15" s="750"/>
      <c r="D15" s="16" t="s">
        <v>16</v>
      </c>
      <c r="E15" s="17">
        <f t="shared" si="8"/>
        <v>142000</v>
      </c>
      <c r="F15" s="17">
        <f t="shared" si="8"/>
        <v>142000</v>
      </c>
      <c r="G15" s="17">
        <f t="shared" si="8"/>
        <v>76860</v>
      </c>
      <c r="H15" s="18">
        <f t="shared" si="0"/>
        <v>54.12676056338028</v>
      </c>
      <c r="I15" s="17">
        <f t="shared" si="8"/>
        <v>42932</v>
      </c>
      <c r="J15" s="44">
        <v>142000</v>
      </c>
      <c r="K15" s="17">
        <v>142000</v>
      </c>
      <c r="L15" s="17">
        <v>76860</v>
      </c>
      <c r="M15" s="18">
        <f t="shared" si="2"/>
        <v>54.12676056338028</v>
      </c>
      <c r="N15" s="17">
        <v>42932</v>
      </c>
      <c r="O15" s="17"/>
      <c r="P15" s="17"/>
      <c r="Q15" s="17"/>
      <c r="R15" s="18" t="e">
        <f t="shared" si="4"/>
        <v>#DIV/0!</v>
      </c>
      <c r="S15" s="17"/>
      <c r="T15" s="17"/>
      <c r="U15" s="17"/>
      <c r="V15" s="17"/>
      <c r="W15" s="18" t="e">
        <f t="shared" si="6"/>
        <v>#DIV/0!</v>
      </c>
      <c r="X15" s="17"/>
    </row>
    <row r="16" spans="1:24" s="7" customFormat="1" ht="9.75" x14ac:dyDescent="0.2">
      <c r="A16" s="15" t="s">
        <v>35</v>
      </c>
      <c r="B16" s="750" t="s">
        <v>36</v>
      </c>
      <c r="C16" s="750"/>
      <c r="D16" s="16" t="s">
        <v>16</v>
      </c>
      <c r="E16" s="17">
        <f t="shared" si="8"/>
        <v>42000</v>
      </c>
      <c r="F16" s="17">
        <f t="shared" si="8"/>
        <v>42000</v>
      </c>
      <c r="G16" s="17">
        <f t="shared" si="8"/>
        <v>21666</v>
      </c>
      <c r="H16" s="18">
        <f t="shared" si="0"/>
        <v>51.585714285714289</v>
      </c>
      <c r="I16" s="17">
        <f t="shared" si="8"/>
        <v>17714</v>
      </c>
      <c r="J16" s="44">
        <v>22000</v>
      </c>
      <c r="K16" s="17">
        <v>22000</v>
      </c>
      <c r="L16" s="17">
        <v>14090</v>
      </c>
      <c r="M16" s="18">
        <f t="shared" si="2"/>
        <v>64.045454545454547</v>
      </c>
      <c r="N16" s="17">
        <v>7913</v>
      </c>
      <c r="O16" s="17">
        <v>20000</v>
      </c>
      <c r="P16" s="17">
        <v>20000</v>
      </c>
      <c r="Q16" s="17">
        <v>7576</v>
      </c>
      <c r="R16" s="18">
        <f t="shared" si="4"/>
        <v>37.880000000000003</v>
      </c>
      <c r="S16" s="17">
        <v>9801</v>
      </c>
      <c r="T16" s="17"/>
      <c r="U16" s="17"/>
      <c r="V16" s="17"/>
      <c r="W16" s="18" t="e">
        <f t="shared" si="6"/>
        <v>#DIV/0!</v>
      </c>
      <c r="X16" s="17"/>
    </row>
    <row r="17" spans="1:24" s="7" customFormat="1" ht="9.75" x14ac:dyDescent="0.2">
      <c r="A17" s="15" t="s">
        <v>37</v>
      </c>
      <c r="B17" s="21" t="s">
        <v>38</v>
      </c>
      <c r="C17" s="21"/>
      <c r="D17" s="16" t="s">
        <v>16</v>
      </c>
      <c r="E17" s="17">
        <f t="shared" si="8"/>
        <v>6000</v>
      </c>
      <c r="F17" s="17">
        <f t="shared" si="8"/>
        <v>7000</v>
      </c>
      <c r="G17" s="17">
        <f t="shared" si="8"/>
        <v>3214</v>
      </c>
      <c r="H17" s="18">
        <f t="shared" si="0"/>
        <v>45.914285714285711</v>
      </c>
      <c r="I17" s="17">
        <f t="shared" si="8"/>
        <v>1839</v>
      </c>
      <c r="J17" s="44">
        <v>6000</v>
      </c>
      <c r="K17" s="17">
        <v>7000</v>
      </c>
      <c r="L17" s="17">
        <v>3214</v>
      </c>
      <c r="M17" s="18">
        <f t="shared" si="2"/>
        <v>45.914285714285711</v>
      </c>
      <c r="N17" s="17">
        <v>1839</v>
      </c>
      <c r="O17" s="17"/>
      <c r="P17" s="17"/>
      <c r="Q17" s="17"/>
      <c r="R17" s="18" t="e">
        <f t="shared" si="4"/>
        <v>#DIV/0!</v>
      </c>
      <c r="S17" s="17"/>
      <c r="T17" s="17"/>
      <c r="U17" s="17"/>
      <c r="V17" s="17"/>
      <c r="W17" s="18" t="e">
        <f t="shared" si="6"/>
        <v>#DIV/0!</v>
      </c>
      <c r="X17" s="17"/>
    </row>
    <row r="18" spans="1:24" s="7" customFormat="1" ht="9.75" x14ac:dyDescent="0.2">
      <c r="A18" s="15" t="s">
        <v>39</v>
      </c>
      <c r="B18" s="750" t="s">
        <v>40</v>
      </c>
      <c r="C18" s="750"/>
      <c r="D18" s="16" t="s">
        <v>16</v>
      </c>
      <c r="E18" s="17">
        <f t="shared" si="8"/>
        <v>651900</v>
      </c>
      <c r="F18" s="17">
        <f t="shared" si="8"/>
        <v>743900</v>
      </c>
      <c r="G18" s="17">
        <f t="shared" si="8"/>
        <v>390440</v>
      </c>
      <c r="H18" s="18">
        <f t="shared" si="0"/>
        <v>52.485549132947973</v>
      </c>
      <c r="I18" s="17">
        <f t="shared" si="8"/>
        <v>363690</v>
      </c>
      <c r="J18" s="44">
        <v>630000</v>
      </c>
      <c r="K18" s="17">
        <v>722000</v>
      </c>
      <c r="L18" s="17">
        <v>377871</v>
      </c>
      <c r="M18" s="18">
        <f t="shared" si="2"/>
        <v>52.336703601108034</v>
      </c>
      <c r="N18" s="17">
        <v>353649</v>
      </c>
      <c r="O18" s="17">
        <v>21900</v>
      </c>
      <c r="P18" s="17">
        <v>21900</v>
      </c>
      <c r="Q18" s="17">
        <v>12569</v>
      </c>
      <c r="R18" s="18">
        <f t="shared" si="4"/>
        <v>57.392694063926939</v>
      </c>
      <c r="S18" s="17">
        <v>10041</v>
      </c>
      <c r="T18" s="17"/>
      <c r="U18" s="17"/>
      <c r="V18" s="17"/>
      <c r="W18" s="18" t="e">
        <f t="shared" si="6"/>
        <v>#DIV/0!</v>
      </c>
      <c r="X18" s="17"/>
    </row>
    <row r="19" spans="1:24" s="28" customFormat="1" ht="9.75" x14ac:dyDescent="0.2">
      <c r="A19" s="15" t="s">
        <v>41</v>
      </c>
      <c r="B19" s="750" t="s">
        <v>42</v>
      </c>
      <c r="C19" s="750"/>
      <c r="D19" s="16" t="s">
        <v>16</v>
      </c>
      <c r="E19" s="17">
        <f t="shared" si="8"/>
        <v>6430000</v>
      </c>
      <c r="F19" s="17">
        <f t="shared" si="8"/>
        <v>6430000</v>
      </c>
      <c r="G19" s="17">
        <f t="shared" si="8"/>
        <v>3097639</v>
      </c>
      <c r="H19" s="18">
        <f t="shared" si="0"/>
        <v>48.174790046656298</v>
      </c>
      <c r="I19" s="17">
        <f t="shared" si="8"/>
        <v>2701712</v>
      </c>
      <c r="J19" s="45">
        <v>5230000</v>
      </c>
      <c r="K19" s="17">
        <v>5230000</v>
      </c>
      <c r="L19" s="17">
        <v>2547548</v>
      </c>
      <c r="M19" s="18">
        <f t="shared" si="2"/>
        <v>48.71028680688336</v>
      </c>
      <c r="N19" s="17">
        <v>2189456</v>
      </c>
      <c r="O19" s="17">
        <v>1200000</v>
      </c>
      <c r="P19" s="17">
        <v>1200000</v>
      </c>
      <c r="Q19" s="17">
        <v>550091</v>
      </c>
      <c r="R19" s="18">
        <f t="shared" si="4"/>
        <v>45.840916666666665</v>
      </c>
      <c r="S19" s="17">
        <v>512256</v>
      </c>
      <c r="T19" s="27"/>
      <c r="U19" s="27"/>
      <c r="V19" s="27"/>
      <c r="W19" s="18" t="e">
        <f t="shared" si="6"/>
        <v>#DIV/0!</v>
      </c>
      <c r="X19" s="27"/>
    </row>
    <row r="20" spans="1:24" s="7" customFormat="1" ht="9.75" x14ac:dyDescent="0.2">
      <c r="A20" s="15" t="s">
        <v>43</v>
      </c>
      <c r="B20" s="750" t="s">
        <v>44</v>
      </c>
      <c r="C20" s="750"/>
      <c r="D20" s="16" t="s">
        <v>16</v>
      </c>
      <c r="E20" s="17">
        <f t="shared" si="8"/>
        <v>2189300</v>
      </c>
      <c r="F20" s="17">
        <f t="shared" si="8"/>
        <v>2189300</v>
      </c>
      <c r="G20" s="17">
        <f t="shared" si="8"/>
        <v>1041672</v>
      </c>
      <c r="H20" s="18">
        <f t="shared" si="0"/>
        <v>47.580139770702971</v>
      </c>
      <c r="I20" s="17">
        <f t="shared" si="8"/>
        <v>911343</v>
      </c>
      <c r="J20" s="44">
        <v>1778000</v>
      </c>
      <c r="K20" s="17">
        <v>1778000</v>
      </c>
      <c r="L20" s="17">
        <v>855980</v>
      </c>
      <c r="M20" s="18">
        <f t="shared" si="2"/>
        <v>48.142857142857146</v>
      </c>
      <c r="N20" s="17">
        <v>735986</v>
      </c>
      <c r="O20" s="17">
        <v>411300</v>
      </c>
      <c r="P20" s="17">
        <v>411300</v>
      </c>
      <c r="Q20" s="17">
        <v>185692</v>
      </c>
      <c r="R20" s="18">
        <f t="shared" si="4"/>
        <v>45.147580841235104</v>
      </c>
      <c r="S20" s="17">
        <v>175357</v>
      </c>
      <c r="T20" s="17"/>
      <c r="U20" s="17"/>
      <c r="V20" s="17"/>
      <c r="W20" s="18" t="e">
        <f t="shared" si="6"/>
        <v>#DIV/0!</v>
      </c>
      <c r="X20" s="17"/>
    </row>
    <row r="21" spans="1:24" s="7" customFormat="1" ht="9.75" x14ac:dyDescent="0.2">
      <c r="A21" s="15" t="s">
        <v>45</v>
      </c>
      <c r="B21" s="750" t="s">
        <v>46</v>
      </c>
      <c r="C21" s="750"/>
      <c r="D21" s="16" t="s">
        <v>16</v>
      </c>
      <c r="E21" s="17">
        <f t="shared" si="8"/>
        <v>232500</v>
      </c>
      <c r="F21" s="17">
        <f t="shared" si="8"/>
        <v>232500</v>
      </c>
      <c r="G21" s="17">
        <f t="shared" si="8"/>
        <v>113320</v>
      </c>
      <c r="H21" s="18">
        <f t="shared" si="0"/>
        <v>48.739784946236561</v>
      </c>
      <c r="I21" s="17">
        <f t="shared" si="8"/>
        <v>107434</v>
      </c>
      <c r="J21" s="44">
        <v>201500</v>
      </c>
      <c r="K21" s="17">
        <v>201500</v>
      </c>
      <c r="L21" s="17">
        <v>99315</v>
      </c>
      <c r="M21" s="18">
        <f t="shared" si="2"/>
        <v>49.287841191067002</v>
      </c>
      <c r="N21" s="17">
        <v>93514</v>
      </c>
      <c r="O21" s="17">
        <v>31000</v>
      </c>
      <c r="P21" s="17">
        <v>31000</v>
      </c>
      <c r="Q21" s="17">
        <v>14005</v>
      </c>
      <c r="R21" s="18">
        <f t="shared" si="4"/>
        <v>45.177419354838712</v>
      </c>
      <c r="S21" s="17">
        <v>13920</v>
      </c>
      <c r="T21" s="17"/>
      <c r="U21" s="17"/>
      <c r="V21" s="17"/>
      <c r="W21" s="18" t="e">
        <f t="shared" si="6"/>
        <v>#DIV/0!</v>
      </c>
      <c r="X21" s="17"/>
    </row>
    <row r="22" spans="1:24" s="7" customFormat="1" ht="9.75" x14ac:dyDescent="0.2">
      <c r="A22" s="15" t="s">
        <v>47</v>
      </c>
      <c r="B22" s="750" t="s">
        <v>48</v>
      </c>
      <c r="C22" s="750"/>
      <c r="D22" s="16" t="s">
        <v>16</v>
      </c>
      <c r="E22" s="17">
        <f t="shared" si="8"/>
        <v>0</v>
      </c>
      <c r="F22" s="17">
        <f t="shared" si="8"/>
        <v>0</v>
      </c>
      <c r="G22" s="17">
        <f t="shared" si="8"/>
        <v>0</v>
      </c>
      <c r="H22" s="18" t="e">
        <f t="shared" si="0"/>
        <v>#DIV/0!</v>
      </c>
      <c r="I22" s="17">
        <f t="shared" si="8"/>
        <v>0</v>
      </c>
      <c r="J22" s="44"/>
      <c r="K22" s="17"/>
      <c r="L22" s="17"/>
      <c r="M22" s="18" t="e">
        <f t="shared" si="2"/>
        <v>#DIV/0!</v>
      </c>
      <c r="N22" s="17"/>
      <c r="O22" s="17"/>
      <c r="P22" s="17"/>
      <c r="Q22" s="17"/>
      <c r="R22" s="18" t="e">
        <f t="shared" si="4"/>
        <v>#DIV/0!</v>
      </c>
      <c r="S22" s="17"/>
      <c r="T22" s="17"/>
      <c r="U22" s="17"/>
      <c r="V22" s="17"/>
      <c r="W22" s="18" t="e">
        <f t="shared" si="6"/>
        <v>#DIV/0!</v>
      </c>
      <c r="X22" s="17"/>
    </row>
    <row r="23" spans="1:24" s="7" customFormat="1" ht="9.75" x14ac:dyDescent="0.2">
      <c r="A23" s="15" t="s">
        <v>49</v>
      </c>
      <c r="B23" s="21" t="s">
        <v>50</v>
      </c>
      <c r="C23" s="21"/>
      <c r="D23" s="16" t="s">
        <v>16</v>
      </c>
      <c r="E23" s="17">
        <f t="shared" si="8"/>
        <v>0</v>
      </c>
      <c r="F23" s="17">
        <f t="shared" si="8"/>
        <v>0</v>
      </c>
      <c r="G23" s="17">
        <f t="shared" si="8"/>
        <v>0</v>
      </c>
      <c r="H23" s="18" t="e">
        <f t="shared" si="0"/>
        <v>#DIV/0!</v>
      </c>
      <c r="I23" s="17">
        <f t="shared" si="8"/>
        <v>0</v>
      </c>
      <c r="J23" s="44"/>
      <c r="K23" s="17"/>
      <c r="L23" s="17"/>
      <c r="M23" s="18" t="e">
        <f t="shared" si="2"/>
        <v>#DIV/0!</v>
      </c>
      <c r="N23" s="17"/>
      <c r="O23" s="17"/>
      <c r="P23" s="17"/>
      <c r="Q23" s="17"/>
      <c r="R23" s="18" t="e">
        <f t="shared" si="4"/>
        <v>#DIV/0!</v>
      </c>
      <c r="S23" s="17"/>
      <c r="T23" s="17"/>
      <c r="U23" s="17"/>
      <c r="V23" s="17"/>
      <c r="W23" s="18" t="e">
        <f t="shared" si="6"/>
        <v>#DIV/0!</v>
      </c>
      <c r="X23" s="17"/>
    </row>
    <row r="24" spans="1:24" s="7" customFormat="1" ht="9.75" x14ac:dyDescent="0.2">
      <c r="A24" s="15" t="s">
        <v>51</v>
      </c>
      <c r="B24" s="21" t="s">
        <v>52</v>
      </c>
      <c r="C24" s="21"/>
      <c r="D24" s="16" t="s">
        <v>16</v>
      </c>
      <c r="E24" s="17">
        <f t="shared" si="8"/>
        <v>0</v>
      </c>
      <c r="F24" s="17">
        <f t="shared" si="8"/>
        <v>0</v>
      </c>
      <c r="G24" s="17">
        <f t="shared" si="8"/>
        <v>0</v>
      </c>
      <c r="H24" s="18" t="e">
        <f t="shared" si="0"/>
        <v>#DIV/0!</v>
      </c>
      <c r="I24" s="17">
        <f t="shared" si="8"/>
        <v>0</v>
      </c>
      <c r="J24" s="44"/>
      <c r="K24" s="17"/>
      <c r="L24" s="17"/>
      <c r="M24" s="18" t="e">
        <f t="shared" si="2"/>
        <v>#DIV/0!</v>
      </c>
      <c r="N24" s="17"/>
      <c r="O24" s="17"/>
      <c r="P24" s="17"/>
      <c r="Q24" s="17"/>
      <c r="R24" s="18" t="e">
        <f t="shared" si="4"/>
        <v>#DIV/0!</v>
      </c>
      <c r="S24" s="17"/>
      <c r="T24" s="17"/>
      <c r="U24" s="17"/>
      <c r="V24" s="17"/>
      <c r="W24" s="18" t="e">
        <f t="shared" si="6"/>
        <v>#DIV/0!</v>
      </c>
      <c r="X24" s="17"/>
    </row>
    <row r="25" spans="1:24" s="7" customFormat="1" ht="9.75" x14ac:dyDescent="0.2">
      <c r="A25" s="15" t="s">
        <v>53</v>
      </c>
      <c r="B25" s="21" t="s">
        <v>54</v>
      </c>
      <c r="C25" s="21"/>
      <c r="D25" s="16" t="s">
        <v>16</v>
      </c>
      <c r="E25" s="17">
        <f t="shared" si="8"/>
        <v>0</v>
      </c>
      <c r="F25" s="17">
        <f t="shared" si="8"/>
        <v>0</v>
      </c>
      <c r="G25" s="17">
        <f t="shared" si="8"/>
        <v>0</v>
      </c>
      <c r="H25" s="18" t="e">
        <f t="shared" si="0"/>
        <v>#DIV/0!</v>
      </c>
      <c r="I25" s="17">
        <f t="shared" si="8"/>
        <v>0</v>
      </c>
      <c r="J25" s="44"/>
      <c r="K25" s="25"/>
      <c r="L25" s="25"/>
      <c r="M25" s="18" t="e">
        <f t="shared" si="2"/>
        <v>#DIV/0!</v>
      </c>
      <c r="N25" s="25"/>
      <c r="O25" s="25"/>
      <c r="P25" s="25"/>
      <c r="Q25" s="25"/>
      <c r="R25" s="18" t="e">
        <f t="shared" si="4"/>
        <v>#DIV/0!</v>
      </c>
      <c r="S25" s="25"/>
      <c r="T25" s="25"/>
      <c r="U25" s="25"/>
      <c r="V25" s="25"/>
      <c r="W25" s="18" t="e">
        <f t="shared" si="6"/>
        <v>#DIV/0!</v>
      </c>
      <c r="X25" s="25"/>
    </row>
    <row r="26" spans="1:24" s="30" customFormat="1" ht="9.75" x14ac:dyDescent="0.2">
      <c r="A26" s="15" t="s">
        <v>55</v>
      </c>
      <c r="B26" s="750" t="s">
        <v>56</v>
      </c>
      <c r="C26" s="750"/>
      <c r="D26" s="16" t="s">
        <v>16</v>
      </c>
      <c r="E26" s="17">
        <f t="shared" si="8"/>
        <v>371000</v>
      </c>
      <c r="F26" s="17">
        <f t="shared" si="8"/>
        <v>371000</v>
      </c>
      <c r="G26" s="17">
        <f t="shared" si="8"/>
        <v>175242</v>
      </c>
      <c r="H26" s="29">
        <f>G26/F26*100</f>
        <v>47.235040431266846</v>
      </c>
      <c r="I26" s="17">
        <f>SUM(N26,S26)</f>
        <v>178384</v>
      </c>
      <c r="J26" s="44">
        <v>371000</v>
      </c>
      <c r="K26" s="26">
        <v>371000</v>
      </c>
      <c r="L26" s="26">
        <v>175242</v>
      </c>
      <c r="M26" s="18">
        <f>L26/K26*100</f>
        <v>47.235040431266846</v>
      </c>
      <c r="N26" s="26">
        <v>178384</v>
      </c>
      <c r="O26" s="26"/>
      <c r="P26" s="26"/>
      <c r="Q26" s="26"/>
      <c r="R26" s="18" t="e">
        <f>Q26/P26*100</f>
        <v>#DIV/0!</v>
      </c>
      <c r="S26" s="26"/>
      <c r="T26" s="46"/>
      <c r="U26" s="46"/>
      <c r="V26" s="46"/>
      <c r="W26" s="18" t="e">
        <f>V26/U26*100</f>
        <v>#DIV/0!</v>
      </c>
      <c r="X26" s="46"/>
    </row>
    <row r="27" spans="1:24" s="30" customFormat="1" ht="9.75" x14ac:dyDescent="0.2">
      <c r="A27" s="15" t="s">
        <v>57</v>
      </c>
      <c r="B27" s="21" t="s">
        <v>58</v>
      </c>
      <c r="C27" s="21"/>
      <c r="D27" s="16" t="s">
        <v>16</v>
      </c>
      <c r="E27" s="17">
        <f t="shared" si="8"/>
        <v>5800</v>
      </c>
      <c r="F27" s="17">
        <f t="shared" si="8"/>
        <v>5800</v>
      </c>
      <c r="G27" s="17">
        <f t="shared" si="8"/>
        <v>-20</v>
      </c>
      <c r="H27" s="29">
        <f t="shared" si="0"/>
        <v>-0.34482758620689657</v>
      </c>
      <c r="I27" s="17">
        <f t="shared" si="8"/>
        <v>-660</v>
      </c>
      <c r="J27" s="44">
        <v>5800</v>
      </c>
      <c r="K27" s="26">
        <v>5800</v>
      </c>
      <c r="L27" s="26">
        <v>-20</v>
      </c>
      <c r="M27" s="18">
        <f t="shared" si="2"/>
        <v>-0.34482758620689657</v>
      </c>
      <c r="N27" s="26">
        <v>-660</v>
      </c>
      <c r="O27" s="26"/>
      <c r="P27" s="26"/>
      <c r="Q27" s="26"/>
      <c r="R27" s="18" t="e">
        <f t="shared" si="4"/>
        <v>#DIV/0!</v>
      </c>
      <c r="S27" s="26"/>
      <c r="T27" s="46"/>
      <c r="U27" s="46"/>
      <c r="V27" s="46"/>
      <c r="W27" s="18" t="e">
        <f t="shared" si="6"/>
        <v>#DIV/0!</v>
      </c>
      <c r="X27" s="46"/>
    </row>
    <row r="28" spans="1:24" s="30" customFormat="1" ht="9.75" x14ac:dyDescent="0.2">
      <c r="A28" s="15" t="s">
        <v>59</v>
      </c>
      <c r="B28" s="21" t="s">
        <v>60</v>
      </c>
      <c r="C28" s="21"/>
      <c r="D28" s="16" t="s">
        <v>16</v>
      </c>
      <c r="E28" s="17">
        <f>SUM(J28,O28)</f>
        <v>50000</v>
      </c>
      <c r="F28" s="17">
        <f>SUM(K28,P28)</f>
        <v>534000</v>
      </c>
      <c r="G28" s="17">
        <f>SUM(L28,Q28)</f>
        <v>0</v>
      </c>
      <c r="H28" s="29">
        <f>G28/F28*100</f>
        <v>0</v>
      </c>
      <c r="I28" s="17">
        <f>SUM(N28,S28)</f>
        <v>40310</v>
      </c>
      <c r="J28" s="44">
        <v>50000</v>
      </c>
      <c r="K28" s="26">
        <v>534000</v>
      </c>
      <c r="L28" s="26">
        <v>0</v>
      </c>
      <c r="M28" s="18">
        <f>L28/K28*100</f>
        <v>0</v>
      </c>
      <c r="N28" s="26">
        <v>40310</v>
      </c>
      <c r="O28" s="26"/>
      <c r="P28" s="26"/>
      <c r="Q28" s="26"/>
      <c r="R28" s="18" t="e">
        <f>Q28/P28*100</f>
        <v>#DIV/0!</v>
      </c>
      <c r="S28" s="26"/>
      <c r="T28" s="46"/>
      <c r="U28" s="46"/>
      <c r="V28" s="46"/>
      <c r="W28" s="18" t="e">
        <f>V28/U28*100</f>
        <v>#DIV/0!</v>
      </c>
      <c r="X28" s="46"/>
    </row>
    <row r="29" spans="1:24" s="31" customFormat="1" ht="9.75" x14ac:dyDescent="0.2">
      <c r="A29" s="15" t="s">
        <v>61</v>
      </c>
      <c r="B29" s="21" t="s">
        <v>62</v>
      </c>
      <c r="C29" s="21"/>
      <c r="D29" s="16" t="s">
        <v>16</v>
      </c>
      <c r="E29" s="17">
        <f t="shared" si="8"/>
        <v>1200</v>
      </c>
      <c r="F29" s="17">
        <f t="shared" si="8"/>
        <v>1200</v>
      </c>
      <c r="G29" s="17">
        <f t="shared" si="8"/>
        <v>1177</v>
      </c>
      <c r="H29" s="29">
        <f t="shared" si="0"/>
        <v>98.083333333333329</v>
      </c>
      <c r="I29" s="17">
        <f t="shared" si="8"/>
        <v>1177</v>
      </c>
      <c r="J29" s="44">
        <v>1200</v>
      </c>
      <c r="K29" s="26">
        <v>1200</v>
      </c>
      <c r="L29" s="26">
        <v>1177</v>
      </c>
      <c r="M29" s="18">
        <f t="shared" si="2"/>
        <v>98.083333333333329</v>
      </c>
      <c r="N29" s="26">
        <v>1177</v>
      </c>
      <c r="O29" s="26"/>
      <c r="P29" s="26"/>
      <c r="Q29" s="26"/>
      <c r="R29" s="18" t="e">
        <f t="shared" si="4"/>
        <v>#DIV/0!</v>
      </c>
      <c r="S29" s="26"/>
      <c r="T29" s="46"/>
      <c r="U29" s="46"/>
      <c r="V29" s="46"/>
      <c r="W29" s="18" t="e">
        <f t="shared" si="6"/>
        <v>#DIV/0!</v>
      </c>
      <c r="X29" s="46"/>
    </row>
    <row r="30" spans="1:24" s="7" customFormat="1" ht="9.75" x14ac:dyDescent="0.2">
      <c r="A30" s="15" t="s">
        <v>63</v>
      </c>
      <c r="B30" s="21" t="s">
        <v>64</v>
      </c>
      <c r="C30" s="21"/>
      <c r="D30" s="16" t="s">
        <v>16</v>
      </c>
      <c r="E30" s="17">
        <f t="shared" ref="E30:G31" si="9">SUM(J30,O30)</f>
        <v>0</v>
      </c>
      <c r="F30" s="17">
        <f t="shared" si="9"/>
        <v>0</v>
      </c>
      <c r="G30" s="17">
        <f t="shared" si="9"/>
        <v>0</v>
      </c>
      <c r="H30" s="29" t="e">
        <f t="shared" si="0"/>
        <v>#DIV/0!</v>
      </c>
      <c r="I30" s="17">
        <f>SUM(N30,S30)</f>
        <v>0</v>
      </c>
      <c r="J30" s="44"/>
      <c r="K30" s="26"/>
      <c r="L30" s="26"/>
      <c r="M30" s="18" t="e">
        <f t="shared" si="2"/>
        <v>#DIV/0!</v>
      </c>
      <c r="N30" s="26"/>
      <c r="O30" s="26"/>
      <c r="P30" s="26"/>
      <c r="Q30" s="26"/>
      <c r="R30" s="18" t="e">
        <f t="shared" si="4"/>
        <v>#DIV/0!</v>
      </c>
      <c r="S30" s="26"/>
      <c r="T30" s="46"/>
      <c r="U30" s="46"/>
      <c r="V30" s="46"/>
      <c r="W30" s="18" t="e">
        <f t="shared" si="6"/>
        <v>#DIV/0!</v>
      </c>
      <c r="X30" s="46"/>
    </row>
    <row r="31" spans="1:24" s="34" customFormat="1" ht="9.75" x14ac:dyDescent="0.2">
      <c r="A31" s="15" t="s">
        <v>65</v>
      </c>
      <c r="B31" s="21" t="s">
        <v>66</v>
      </c>
      <c r="C31" s="21"/>
      <c r="D31" s="16" t="s">
        <v>16</v>
      </c>
      <c r="E31" s="17">
        <f t="shared" si="9"/>
        <v>0</v>
      </c>
      <c r="F31" s="17">
        <f t="shared" si="9"/>
        <v>0</v>
      </c>
      <c r="G31" s="17">
        <f t="shared" si="9"/>
        <v>0</v>
      </c>
      <c r="H31" s="29" t="e">
        <f t="shared" si="0"/>
        <v>#DIV/0!</v>
      </c>
      <c r="I31" s="17">
        <f>SUM(N31,S31)</f>
        <v>0</v>
      </c>
      <c r="J31" s="44"/>
      <c r="K31" s="32"/>
      <c r="L31" s="32"/>
      <c r="M31" s="18" t="e">
        <f t="shared" si="2"/>
        <v>#DIV/0!</v>
      </c>
      <c r="N31" s="32"/>
      <c r="O31" s="32"/>
      <c r="P31" s="32"/>
      <c r="Q31" s="32"/>
      <c r="R31" s="18" t="e">
        <f t="shared" si="4"/>
        <v>#DIV/0!</v>
      </c>
      <c r="S31" s="32"/>
      <c r="T31" s="33"/>
      <c r="U31" s="33"/>
      <c r="V31" s="33"/>
      <c r="W31" s="18" t="e">
        <f t="shared" si="6"/>
        <v>#DIV/0!</v>
      </c>
      <c r="X31" s="33"/>
    </row>
    <row r="32" spans="1:24" s="34" customFormat="1" ht="9.75" x14ac:dyDescent="0.2">
      <c r="A32" s="15" t="s">
        <v>67</v>
      </c>
      <c r="B32" s="21" t="s">
        <v>68</v>
      </c>
      <c r="C32" s="21"/>
      <c r="D32" s="16" t="s">
        <v>16</v>
      </c>
      <c r="E32" s="17">
        <f>SUM(J32,O32)</f>
        <v>0</v>
      </c>
      <c r="F32" s="17">
        <f>SUM(K32,P32)</f>
        <v>0</v>
      </c>
      <c r="G32" s="17">
        <f>SUM(L32,Q32)</f>
        <v>0</v>
      </c>
      <c r="H32" s="29" t="e">
        <f t="shared" si="0"/>
        <v>#DIV/0!</v>
      </c>
      <c r="I32" s="17">
        <f>SUM(N32,S32)</f>
        <v>0</v>
      </c>
      <c r="J32" s="47"/>
      <c r="K32" s="33"/>
      <c r="L32" s="33"/>
      <c r="M32" s="18" t="e">
        <f t="shared" si="2"/>
        <v>#DIV/0!</v>
      </c>
      <c r="N32" s="33"/>
      <c r="O32" s="33"/>
      <c r="P32" s="33"/>
      <c r="Q32" s="33"/>
      <c r="R32" s="18" t="e">
        <f t="shared" si="4"/>
        <v>#DIV/0!</v>
      </c>
      <c r="S32" s="33"/>
      <c r="T32" s="33"/>
      <c r="U32" s="33"/>
      <c r="V32" s="33"/>
      <c r="W32" s="18" t="e">
        <f t="shared" si="6"/>
        <v>#DIV/0!</v>
      </c>
      <c r="X32" s="33"/>
    </row>
    <row r="33" spans="1:24" s="34" customFormat="1" ht="9.75" x14ac:dyDescent="0.2">
      <c r="A33" s="11" t="s">
        <v>69</v>
      </c>
      <c r="B33" s="35" t="s">
        <v>70</v>
      </c>
      <c r="C33" s="35"/>
      <c r="D33" s="12" t="s">
        <v>16</v>
      </c>
      <c r="E33" s="13">
        <f>E6-E11</f>
        <v>0</v>
      </c>
      <c r="F33" s="13">
        <f>F6-F11</f>
        <v>0</v>
      </c>
      <c r="G33" s="13">
        <f>G6-G11</f>
        <v>827062</v>
      </c>
      <c r="H33" s="36" t="e">
        <f t="shared" si="0"/>
        <v>#DIV/0!</v>
      </c>
      <c r="I33" s="13">
        <f>I6-I11</f>
        <v>163182</v>
      </c>
      <c r="J33" s="13">
        <f>J6-J11</f>
        <v>0</v>
      </c>
      <c r="K33" s="13">
        <f>K6-K11</f>
        <v>0</v>
      </c>
      <c r="L33" s="13">
        <f>L6-L11</f>
        <v>827062</v>
      </c>
      <c r="M33" s="14" t="e">
        <f t="shared" si="2"/>
        <v>#DIV/0!</v>
      </c>
      <c r="N33" s="13">
        <f>N6-N11</f>
        <v>173182</v>
      </c>
      <c r="O33" s="13">
        <f>O6-O11</f>
        <v>0</v>
      </c>
      <c r="P33" s="13">
        <f>P6-P11</f>
        <v>0</v>
      </c>
      <c r="Q33" s="13">
        <f>Q6-Q11</f>
        <v>0</v>
      </c>
      <c r="R33" s="14" t="e">
        <f t="shared" si="4"/>
        <v>#DIV/0!</v>
      </c>
      <c r="S33" s="13">
        <f>S6-S11</f>
        <v>-10000</v>
      </c>
      <c r="T33" s="13">
        <f>T6-T11</f>
        <v>0</v>
      </c>
      <c r="U33" s="13">
        <f>U6-U11</f>
        <v>0</v>
      </c>
      <c r="V33" s="13">
        <f>V6-V11</f>
        <v>0</v>
      </c>
      <c r="W33" s="14" t="e">
        <f t="shared" si="6"/>
        <v>#DIV/0!</v>
      </c>
      <c r="X33" s="13">
        <f>X6-X11</f>
        <v>0</v>
      </c>
    </row>
    <row r="34" spans="1:24" s="1" customFormat="1" ht="9.75" x14ac:dyDescent="0.2">
      <c r="A34" s="37" t="s">
        <v>71</v>
      </c>
      <c r="B34" s="749" t="s">
        <v>72</v>
      </c>
      <c r="C34" s="749"/>
      <c r="D34" s="38" t="s">
        <v>16</v>
      </c>
      <c r="E34" s="48">
        <v>23901</v>
      </c>
      <c r="F34" s="48">
        <v>23901</v>
      </c>
      <c r="G34" s="48">
        <v>23182</v>
      </c>
      <c r="H34" s="29">
        <f t="shared" si="0"/>
        <v>96.991757667043217</v>
      </c>
      <c r="I34" s="48">
        <v>20203</v>
      </c>
      <c r="J34" s="39">
        <v>23657</v>
      </c>
      <c r="K34" s="39">
        <v>23657</v>
      </c>
      <c r="L34" s="39">
        <v>23241</v>
      </c>
      <c r="M34" s="14">
        <f t="shared" si="2"/>
        <v>98.241535274971469</v>
      </c>
      <c r="N34" s="39">
        <v>19950</v>
      </c>
      <c r="O34" s="39">
        <v>24062</v>
      </c>
      <c r="P34" s="39">
        <v>24062</v>
      </c>
      <c r="Q34" s="39">
        <v>22920</v>
      </c>
      <c r="R34" s="14">
        <f t="shared" si="4"/>
        <v>95.253927354334635</v>
      </c>
      <c r="S34" s="39">
        <v>20319</v>
      </c>
      <c r="T34" s="39"/>
      <c r="U34" s="39"/>
      <c r="V34" s="39"/>
      <c r="W34" s="14" t="e">
        <f t="shared" si="6"/>
        <v>#DIV/0!</v>
      </c>
      <c r="X34" s="39"/>
    </row>
    <row r="35" spans="1:24" s="1" customFormat="1" ht="9.75" x14ac:dyDescent="0.2">
      <c r="A35" s="40" t="s">
        <v>73</v>
      </c>
      <c r="B35" s="751" t="s">
        <v>74</v>
      </c>
      <c r="C35" s="751"/>
      <c r="D35" s="40" t="s">
        <v>75</v>
      </c>
      <c r="E35" s="48">
        <v>22</v>
      </c>
      <c r="F35" s="48">
        <v>22</v>
      </c>
      <c r="G35" s="48">
        <v>22</v>
      </c>
      <c r="H35" s="29">
        <f t="shared" si="0"/>
        <v>100</v>
      </c>
      <c r="I35" s="48">
        <v>22</v>
      </c>
      <c r="J35" s="39">
        <v>18</v>
      </c>
      <c r="K35" s="39">
        <v>18</v>
      </c>
      <c r="L35" s="39">
        <v>18</v>
      </c>
      <c r="M35" s="14">
        <f t="shared" si="2"/>
        <v>100</v>
      </c>
      <c r="N35" s="39">
        <v>18</v>
      </c>
      <c r="O35" s="39">
        <v>4</v>
      </c>
      <c r="P35" s="39">
        <v>4</v>
      </c>
      <c r="Q35" s="39">
        <v>4</v>
      </c>
      <c r="R35" s="14">
        <f t="shared" si="4"/>
        <v>100</v>
      </c>
      <c r="S35" s="39">
        <v>4</v>
      </c>
      <c r="T35" s="39"/>
      <c r="U35" s="39"/>
      <c r="V35" s="39"/>
      <c r="W35" s="14" t="e">
        <f t="shared" si="6"/>
        <v>#DIV/0!</v>
      </c>
      <c r="X35" s="39"/>
    </row>
    <row r="36" spans="1:24" s="1" customFormat="1" ht="9.75" x14ac:dyDescent="0.2">
      <c r="A36" s="37" t="s">
        <v>76</v>
      </c>
      <c r="B36" s="749" t="s">
        <v>77</v>
      </c>
      <c r="C36" s="749"/>
      <c r="D36" s="38" t="s">
        <v>75</v>
      </c>
      <c r="E36" s="48">
        <v>22</v>
      </c>
      <c r="F36" s="48">
        <v>22</v>
      </c>
      <c r="G36" s="48">
        <v>22</v>
      </c>
      <c r="H36" s="29">
        <f t="shared" si="0"/>
        <v>100</v>
      </c>
      <c r="I36" s="48">
        <v>22</v>
      </c>
      <c r="J36" s="39">
        <v>20</v>
      </c>
      <c r="K36" s="39">
        <v>20</v>
      </c>
      <c r="L36" s="39">
        <v>20</v>
      </c>
      <c r="M36" s="14">
        <f t="shared" si="2"/>
        <v>100</v>
      </c>
      <c r="N36" s="39">
        <v>20</v>
      </c>
      <c r="O36" s="39">
        <v>2</v>
      </c>
      <c r="P36" s="39">
        <v>2</v>
      </c>
      <c r="Q36" s="39">
        <v>2</v>
      </c>
      <c r="R36" s="14">
        <f t="shared" si="4"/>
        <v>100</v>
      </c>
      <c r="S36" s="39">
        <v>2</v>
      </c>
      <c r="T36" s="39"/>
      <c r="U36" s="39"/>
      <c r="V36" s="39"/>
      <c r="W36" s="14" t="e">
        <f t="shared" si="6"/>
        <v>#DIV/0!</v>
      </c>
      <c r="X36" s="39"/>
    </row>
  </sheetData>
  <mergeCells count="38">
    <mergeCell ref="A1:X1"/>
    <mergeCell ref="A3:A5"/>
    <mergeCell ref="B3:C5"/>
    <mergeCell ref="D3:D5"/>
    <mergeCell ref="E3:I3"/>
    <mergeCell ref="J3:N3"/>
    <mergeCell ref="O3:S3"/>
    <mergeCell ref="T3:X3"/>
    <mergeCell ref="E4:E5"/>
    <mergeCell ref="F4:H4"/>
    <mergeCell ref="I4:I5"/>
    <mergeCell ref="J4:J5"/>
    <mergeCell ref="X4:X5"/>
    <mergeCell ref="B6:C6"/>
    <mergeCell ref="O4:O5"/>
    <mergeCell ref="P4:R4"/>
    <mergeCell ref="B12:C12"/>
    <mergeCell ref="K4:M4"/>
    <mergeCell ref="N4:N5"/>
    <mergeCell ref="S4:S5"/>
    <mergeCell ref="T4:T5"/>
    <mergeCell ref="U4:W4"/>
    <mergeCell ref="B8:C8"/>
    <mergeCell ref="B10:C10"/>
    <mergeCell ref="B11:C11"/>
    <mergeCell ref="B7:C7"/>
    <mergeCell ref="B13:C13"/>
    <mergeCell ref="B26:C26"/>
    <mergeCell ref="B34:C34"/>
    <mergeCell ref="B35:C35"/>
    <mergeCell ref="B15:C15"/>
    <mergeCell ref="B36:C36"/>
    <mergeCell ref="B16:C16"/>
    <mergeCell ref="B18:C18"/>
    <mergeCell ref="B19:C19"/>
    <mergeCell ref="B20:C20"/>
    <mergeCell ref="B21:C21"/>
    <mergeCell ref="B22:C22"/>
  </mergeCells>
  <pageMargins left="0.70866141732283472" right="0.70866141732283472" top="0.78740157480314965" bottom="0.78740157480314965" header="0.31496062992125984" footer="0.31496062992125984"/>
  <pageSetup paperSize="9" scale="85" firstPageNumber="126" orientation="landscape" useFirstPageNumber="1" r:id="rId1"/>
  <headerFooter>
    <oddFooter>&amp;C&amp;P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9"/>
  <sheetViews>
    <sheetView topLeftCell="A34" workbookViewId="0">
      <selection activeCell="C51" sqref="C51"/>
    </sheetView>
  </sheetViews>
  <sheetFormatPr defaultRowHeight="12.75" x14ac:dyDescent="0.2"/>
  <cols>
    <col min="1" max="1" width="33.140625" style="4" customWidth="1"/>
    <col min="2" max="2" width="19.140625" style="4" customWidth="1"/>
    <col min="3" max="5" width="14.7109375" style="4" customWidth="1"/>
    <col min="6" max="7" width="13" style="4" customWidth="1"/>
    <col min="8" max="8" width="18.42578125" style="4" customWidth="1"/>
    <col min="9" max="16384" width="9.140625" style="4"/>
  </cols>
  <sheetData>
    <row r="1" spans="1:9" s="168" customFormat="1" ht="18.75" x14ac:dyDescent="0.3">
      <c r="A1" s="818" t="s">
        <v>81</v>
      </c>
      <c r="B1" s="818"/>
      <c r="C1" s="818"/>
      <c r="D1" s="818"/>
      <c r="E1" s="818"/>
      <c r="F1" s="818"/>
      <c r="G1" s="818"/>
      <c r="H1" s="818"/>
      <c r="I1" s="818"/>
    </row>
    <row r="3" spans="1:9" s="169" customFormat="1" ht="10.5" x14ac:dyDescent="0.15">
      <c r="A3" s="781" t="s">
        <v>99</v>
      </c>
      <c r="B3" s="781"/>
      <c r="C3" s="781"/>
      <c r="D3" s="781"/>
      <c r="E3" s="781"/>
      <c r="F3" s="781"/>
      <c r="G3" s="781"/>
      <c r="H3" s="781"/>
      <c r="I3" s="781"/>
    </row>
    <row r="4" spans="1:9" s="170" customFormat="1" ht="11.25" x14ac:dyDescent="0.2"/>
    <row r="5" spans="1:9" s="172" customFormat="1" ht="9.75" x14ac:dyDescent="0.2">
      <c r="A5" s="819" t="s">
        <v>100</v>
      </c>
      <c r="B5" s="820"/>
      <c r="C5" s="171" t="s">
        <v>16</v>
      </c>
      <c r="D5" s="805" t="s">
        <v>101</v>
      </c>
      <c r="E5" s="805"/>
      <c r="F5" s="805"/>
      <c r="G5" s="805"/>
      <c r="H5" s="805"/>
      <c r="I5" s="805"/>
    </row>
    <row r="6" spans="1:9" s="170" customFormat="1" ht="51" customHeight="1" x14ac:dyDescent="0.2">
      <c r="A6" s="821" t="s">
        <v>102</v>
      </c>
      <c r="B6" s="822"/>
      <c r="C6" s="173">
        <v>827062.13</v>
      </c>
      <c r="D6" s="823" t="s">
        <v>216</v>
      </c>
      <c r="E6" s="824"/>
      <c r="F6" s="824"/>
      <c r="G6" s="824"/>
      <c r="H6" s="824"/>
      <c r="I6" s="825"/>
    </row>
    <row r="7" spans="1:9" s="174" customFormat="1" ht="24.75" customHeight="1" x14ac:dyDescent="0.15">
      <c r="A7" s="821" t="s">
        <v>103</v>
      </c>
      <c r="B7" s="822"/>
      <c r="C7" s="173">
        <v>0</v>
      </c>
      <c r="D7" s="826" t="s">
        <v>217</v>
      </c>
      <c r="E7" s="827"/>
      <c r="F7" s="827"/>
      <c r="G7" s="827"/>
      <c r="H7" s="827"/>
      <c r="I7" s="828"/>
    </row>
    <row r="8" spans="1:9" s="174" customFormat="1" ht="15" customHeight="1" x14ac:dyDescent="0.15">
      <c r="A8" s="829" t="s">
        <v>105</v>
      </c>
      <c r="B8" s="830"/>
      <c r="C8" s="175">
        <v>0</v>
      </c>
      <c r="D8" s="831"/>
      <c r="E8" s="832"/>
      <c r="F8" s="832"/>
      <c r="G8" s="832"/>
      <c r="H8" s="832"/>
      <c r="I8" s="833"/>
    </row>
    <row r="9" spans="1:9" s="170" customFormat="1" ht="11.25" x14ac:dyDescent="0.2">
      <c r="C9" s="176"/>
    </row>
    <row r="10" spans="1:9" s="177" customFormat="1" ht="11.25" x14ac:dyDescent="0.2">
      <c r="A10" s="781" t="s">
        <v>106</v>
      </c>
      <c r="B10" s="781"/>
      <c r="C10" s="781"/>
      <c r="D10" s="781"/>
      <c r="E10" s="781"/>
      <c r="F10" s="781"/>
      <c r="G10" s="781"/>
      <c r="H10" s="781"/>
      <c r="I10" s="781"/>
    </row>
    <row r="11" spans="1:9" s="170" customFormat="1" ht="12" thickBot="1" x14ac:dyDescent="0.25">
      <c r="C11" s="176"/>
    </row>
    <row r="12" spans="1:9" s="181" customFormat="1" ht="21" x14ac:dyDescent="0.15">
      <c r="A12" s="178" t="s">
        <v>107</v>
      </c>
      <c r="B12" s="178" t="s">
        <v>108</v>
      </c>
      <c r="C12" s="179" t="s">
        <v>109</v>
      </c>
      <c r="D12" s="180" t="s">
        <v>110</v>
      </c>
      <c r="E12" s="179" t="s">
        <v>111</v>
      </c>
      <c r="F12" s="814" t="s">
        <v>112</v>
      </c>
      <c r="G12" s="815"/>
      <c r="H12" s="816" t="s">
        <v>113</v>
      </c>
      <c r="I12" s="817"/>
    </row>
    <row r="13" spans="1:9" s="181" customFormat="1" ht="122.25" customHeight="1" x14ac:dyDescent="0.15">
      <c r="A13" s="182" t="s">
        <v>114</v>
      </c>
      <c r="B13" s="183">
        <v>126477.81</v>
      </c>
      <c r="C13" s="184">
        <v>68079.16</v>
      </c>
      <c r="D13" s="185">
        <v>17496</v>
      </c>
      <c r="E13" s="184">
        <f>B13+C13-D13</f>
        <v>177060.97</v>
      </c>
      <c r="F13" s="809">
        <v>177060.97</v>
      </c>
      <c r="G13" s="809"/>
      <c r="H13" s="801" t="s">
        <v>218</v>
      </c>
      <c r="I13" s="802"/>
    </row>
    <row r="14" spans="1:9" s="181" customFormat="1" ht="43.5" customHeight="1" x14ac:dyDescent="0.15">
      <c r="A14" s="182" t="s">
        <v>115</v>
      </c>
      <c r="B14" s="183">
        <v>0</v>
      </c>
      <c r="C14" s="184">
        <v>0</v>
      </c>
      <c r="D14" s="185">
        <v>0</v>
      </c>
      <c r="E14" s="184">
        <f t="shared" ref="E14:E17" si="0">B14+C14-D14</f>
        <v>0</v>
      </c>
      <c r="F14" s="810">
        <v>0</v>
      </c>
      <c r="G14" s="811"/>
      <c r="H14" s="801"/>
      <c r="I14" s="812"/>
    </row>
    <row r="15" spans="1:9" s="181" customFormat="1" ht="147.75" customHeight="1" x14ac:dyDescent="0.15">
      <c r="A15" s="186" t="s">
        <v>116</v>
      </c>
      <c r="B15" s="187">
        <v>136505.20000000001</v>
      </c>
      <c r="C15" s="188">
        <v>192738</v>
      </c>
      <c r="D15" s="189">
        <v>167996</v>
      </c>
      <c r="E15" s="184">
        <f t="shared" si="0"/>
        <v>161247.20000000001</v>
      </c>
      <c r="F15" s="813">
        <v>161247.20000000001</v>
      </c>
      <c r="G15" s="813"/>
      <c r="H15" s="801" t="s">
        <v>219</v>
      </c>
      <c r="I15" s="802"/>
    </row>
    <row r="16" spans="1:9" s="181" customFormat="1" ht="96.75" customHeight="1" x14ac:dyDescent="0.15">
      <c r="A16" s="190" t="s">
        <v>117</v>
      </c>
      <c r="B16" s="191">
        <v>90135</v>
      </c>
      <c r="C16" s="192">
        <v>20000</v>
      </c>
      <c r="D16" s="193">
        <v>0</v>
      </c>
      <c r="E16" s="184">
        <f t="shared" si="0"/>
        <v>110135</v>
      </c>
      <c r="F16" s="800">
        <v>110135</v>
      </c>
      <c r="G16" s="800"/>
      <c r="H16" s="801" t="s">
        <v>220</v>
      </c>
      <c r="I16" s="802"/>
    </row>
    <row r="17" spans="1:9" s="181" customFormat="1" ht="167.25" customHeight="1" x14ac:dyDescent="0.15">
      <c r="A17" s="194" t="s">
        <v>118</v>
      </c>
      <c r="B17" s="195">
        <v>41144.04</v>
      </c>
      <c r="C17" s="196">
        <v>61201</v>
      </c>
      <c r="D17" s="197">
        <v>58536</v>
      </c>
      <c r="E17" s="184">
        <f t="shared" si="0"/>
        <v>43809.040000000008</v>
      </c>
      <c r="F17" s="803">
        <v>32647.040000000001</v>
      </c>
      <c r="G17" s="803"/>
      <c r="H17" s="801" t="s">
        <v>221</v>
      </c>
      <c r="I17" s="802"/>
    </row>
    <row r="18" spans="1:9" s="181" customFormat="1" thickBot="1" x14ac:dyDescent="0.2">
      <c r="A18" s="198" t="s">
        <v>120</v>
      </c>
      <c r="B18" s="199">
        <f>SUM(B13:B17)</f>
        <v>394262.05</v>
      </c>
      <c r="C18" s="200">
        <f>SUM(C13:C17)</f>
        <v>342018.16000000003</v>
      </c>
      <c r="D18" s="201">
        <f>SUM(D13:D17)</f>
        <v>244028</v>
      </c>
      <c r="E18" s="200">
        <f>SUM(E13:E17)</f>
        <v>492252.21000000008</v>
      </c>
      <c r="F18" s="804">
        <f>SUM(F13:G17)</f>
        <v>481090.21</v>
      </c>
      <c r="G18" s="804"/>
      <c r="H18" s="202"/>
      <c r="I18" s="203"/>
    </row>
    <row r="19" spans="1:9" s="204" customFormat="1" ht="11.25" x14ac:dyDescent="0.2">
      <c r="C19" s="205"/>
    </row>
    <row r="20" spans="1:9" s="177" customFormat="1" ht="11.25" x14ac:dyDescent="0.2">
      <c r="A20" s="781" t="s">
        <v>121</v>
      </c>
      <c r="B20" s="781"/>
      <c r="C20" s="781"/>
      <c r="D20" s="781"/>
      <c r="E20" s="781"/>
      <c r="F20" s="781"/>
      <c r="G20" s="781"/>
      <c r="H20" s="781"/>
      <c r="I20" s="781"/>
    </row>
    <row r="21" spans="1:9" s="170" customFormat="1" ht="11.25" x14ac:dyDescent="0.2">
      <c r="C21" s="176"/>
    </row>
    <row r="22" spans="1:9" s="170" customFormat="1" ht="11.25" x14ac:dyDescent="0.2">
      <c r="A22" s="171" t="s">
        <v>122</v>
      </c>
      <c r="B22" s="171" t="s">
        <v>16</v>
      </c>
      <c r="C22" s="206" t="s">
        <v>123</v>
      </c>
      <c r="D22" s="805" t="s">
        <v>124</v>
      </c>
      <c r="E22" s="805"/>
      <c r="F22" s="805"/>
      <c r="G22" s="805"/>
      <c r="H22" s="805"/>
      <c r="I22" s="805"/>
    </row>
    <row r="23" spans="1:9" s="170" customFormat="1" ht="62.25" customHeight="1" x14ac:dyDescent="0.2">
      <c r="A23" s="251" t="s">
        <v>222</v>
      </c>
      <c r="B23" s="208">
        <v>23020</v>
      </c>
      <c r="C23" s="209"/>
      <c r="D23" s="1045" t="s">
        <v>223</v>
      </c>
      <c r="E23" s="798"/>
      <c r="F23" s="798"/>
      <c r="G23" s="798"/>
      <c r="H23" s="798"/>
      <c r="I23" s="799"/>
    </row>
    <row r="24" spans="1:9" s="174" customFormat="1" ht="11.25" x14ac:dyDescent="0.2">
      <c r="A24" s="210" t="s">
        <v>120</v>
      </c>
      <c r="B24" s="211">
        <f>SUM(B23:B23)</f>
        <v>23020</v>
      </c>
      <c r="C24" s="806"/>
      <c r="D24" s="806"/>
      <c r="E24" s="806"/>
      <c r="F24" s="806"/>
      <c r="G24" s="806"/>
      <c r="H24" s="806"/>
      <c r="I24" s="807"/>
    </row>
    <row r="25" spans="1:9" s="204" customFormat="1" ht="11.25" x14ac:dyDescent="0.2">
      <c r="C25" s="205"/>
    </row>
    <row r="26" spans="1:9" s="204" customFormat="1" ht="11.25" x14ac:dyDescent="0.2">
      <c r="C26" s="205"/>
    </row>
    <row r="27" spans="1:9" s="177" customFormat="1" ht="11.25" x14ac:dyDescent="0.2">
      <c r="A27" s="781" t="s">
        <v>126</v>
      </c>
      <c r="B27" s="781"/>
      <c r="C27" s="781"/>
      <c r="D27" s="781"/>
      <c r="E27" s="781"/>
      <c r="F27" s="781"/>
      <c r="G27" s="781"/>
      <c r="H27" s="781"/>
      <c r="I27" s="781"/>
    </row>
    <row r="28" spans="1:9" s="170" customFormat="1" ht="11.25" x14ac:dyDescent="0.2">
      <c r="C28" s="176"/>
    </row>
    <row r="29" spans="1:9" s="170" customFormat="1" ht="11.25" x14ac:dyDescent="0.2">
      <c r="A29" s="171" t="s">
        <v>122</v>
      </c>
      <c r="B29" s="171" t="s">
        <v>16</v>
      </c>
      <c r="C29" s="206" t="s">
        <v>123</v>
      </c>
      <c r="D29" s="805" t="s">
        <v>127</v>
      </c>
      <c r="E29" s="805"/>
      <c r="F29" s="805"/>
      <c r="G29" s="805"/>
      <c r="H29" s="805"/>
      <c r="I29" s="808"/>
    </row>
    <row r="30" spans="1:9" s="170" customFormat="1" ht="11.25" customHeight="1" x14ac:dyDescent="0.2">
      <c r="A30" s="207"/>
      <c r="B30" s="208"/>
      <c r="C30" s="209"/>
      <c r="D30" s="1045" t="s">
        <v>128</v>
      </c>
      <c r="E30" s="1046"/>
      <c r="F30" s="1046"/>
      <c r="G30" s="1046"/>
      <c r="H30" s="1046"/>
      <c r="I30" s="1047"/>
    </row>
    <row r="31" spans="1:9" s="174" customFormat="1" ht="10.5" x14ac:dyDescent="0.15">
      <c r="A31" s="210" t="s">
        <v>120</v>
      </c>
      <c r="B31" s="211">
        <f>SUM(B30:B30)</f>
        <v>0</v>
      </c>
      <c r="C31" s="784"/>
      <c r="D31" s="784"/>
      <c r="E31" s="784"/>
      <c r="F31" s="784"/>
      <c r="G31" s="784"/>
      <c r="H31" s="784"/>
      <c r="I31" s="784"/>
    </row>
    <row r="32" spans="1:9" s="170" customFormat="1" ht="11.25" x14ac:dyDescent="0.2">
      <c r="C32" s="176"/>
    </row>
    <row r="33" spans="1:9" s="170" customFormat="1" ht="11.25" x14ac:dyDescent="0.2">
      <c r="C33" s="176"/>
    </row>
    <row r="34" spans="1:9" s="177" customFormat="1" ht="11.25" x14ac:dyDescent="0.2">
      <c r="A34" s="781" t="s">
        <v>129</v>
      </c>
      <c r="B34" s="781"/>
      <c r="C34" s="781"/>
      <c r="D34" s="781"/>
      <c r="E34" s="781"/>
      <c r="F34" s="781"/>
      <c r="G34" s="781"/>
      <c r="H34" s="781"/>
      <c r="I34" s="781"/>
    </row>
    <row r="35" spans="1:9" s="170" customFormat="1" ht="11.25" x14ac:dyDescent="0.2">
      <c r="C35" s="212"/>
    </row>
    <row r="36" spans="1:9" s="170" customFormat="1" ht="11.25" x14ac:dyDescent="0.2">
      <c r="A36" s="171" t="s">
        <v>130</v>
      </c>
      <c r="B36" s="206" t="s">
        <v>131</v>
      </c>
      <c r="C36" s="785" t="s">
        <v>132</v>
      </c>
      <c r="D36" s="785"/>
      <c r="E36" s="785"/>
      <c r="F36" s="785"/>
      <c r="G36" s="785"/>
      <c r="H36" s="785"/>
      <c r="I36" s="786"/>
    </row>
    <row r="37" spans="1:9" s="170" customFormat="1" ht="11.25" x14ac:dyDescent="0.2">
      <c r="A37" s="213"/>
      <c r="B37" s="213"/>
      <c r="C37" s="854" t="s">
        <v>224</v>
      </c>
      <c r="D37" s="787"/>
      <c r="E37" s="787"/>
      <c r="F37" s="787"/>
      <c r="G37" s="787"/>
      <c r="H37" s="787"/>
      <c r="I37" s="787"/>
    </row>
    <row r="38" spans="1:9" s="174" customFormat="1" ht="10.5" x14ac:dyDescent="0.15">
      <c r="A38" s="214">
        <f>SUM(A37:A37)</f>
        <v>0</v>
      </c>
      <c r="B38" s="214">
        <f>SUM(B37:B37)</f>
        <v>0</v>
      </c>
      <c r="C38" s="788" t="s">
        <v>120</v>
      </c>
      <c r="D38" s="789"/>
      <c r="E38" s="789"/>
      <c r="F38" s="789"/>
      <c r="G38" s="789"/>
      <c r="H38" s="789"/>
      <c r="I38" s="790"/>
    </row>
    <row r="39" spans="1:9" s="170" customFormat="1" ht="11.25" x14ac:dyDescent="0.2">
      <c r="C39" s="212"/>
    </row>
    <row r="40" spans="1:9" s="170" customFormat="1" ht="11.25" x14ac:dyDescent="0.2">
      <c r="C40" s="212"/>
    </row>
    <row r="41" spans="1:9" s="170" customFormat="1" ht="11.25" x14ac:dyDescent="0.2">
      <c r="A41" s="781" t="s">
        <v>177</v>
      </c>
      <c r="B41" s="766"/>
      <c r="C41" s="766"/>
      <c r="D41" s="766"/>
      <c r="E41" s="766"/>
      <c r="F41" s="766"/>
      <c r="G41" s="766"/>
      <c r="H41" s="766"/>
      <c r="I41" s="766"/>
    </row>
    <row r="42" spans="1:9" s="170" customFormat="1" ht="11.25" x14ac:dyDescent="0.2">
      <c r="C42" s="212"/>
    </row>
    <row r="43" spans="1:9" s="216" customFormat="1" ht="31.5" x14ac:dyDescent="0.25">
      <c r="A43" s="767" t="s">
        <v>135</v>
      </c>
      <c r="B43" s="768"/>
      <c r="C43" s="215" t="s">
        <v>136</v>
      </c>
      <c r="D43" s="215" t="s">
        <v>137</v>
      </c>
      <c r="E43" s="215" t="s">
        <v>138</v>
      </c>
      <c r="F43" s="215" t="s">
        <v>139</v>
      </c>
      <c r="G43" s="215" t="s">
        <v>140</v>
      </c>
    </row>
    <row r="44" spans="1:9" s="170" customFormat="1" ht="12" x14ac:dyDescent="0.2">
      <c r="A44" s="791" t="s">
        <v>225</v>
      </c>
      <c r="B44" s="792"/>
      <c r="C44" s="217" t="s">
        <v>226</v>
      </c>
      <c r="D44" s="252">
        <v>10000</v>
      </c>
      <c r="E44" s="253"/>
      <c r="F44" s="220">
        <v>43165</v>
      </c>
      <c r="G44" s="221">
        <v>43217</v>
      </c>
    </row>
    <row r="45" spans="1:9" s="170" customFormat="1" ht="12" x14ac:dyDescent="0.2">
      <c r="A45" s="791" t="s">
        <v>227</v>
      </c>
      <c r="B45" s="792"/>
      <c r="C45" s="217" t="s">
        <v>228</v>
      </c>
      <c r="D45" s="252"/>
      <c r="E45" s="254">
        <v>9000</v>
      </c>
      <c r="F45" s="220">
        <v>43165</v>
      </c>
      <c r="G45" s="221">
        <v>43217</v>
      </c>
    </row>
    <row r="46" spans="1:9" s="170" customFormat="1" ht="12" x14ac:dyDescent="0.2">
      <c r="A46" s="791" t="s">
        <v>229</v>
      </c>
      <c r="B46" s="792"/>
      <c r="C46" s="217" t="s">
        <v>230</v>
      </c>
      <c r="D46" s="252"/>
      <c r="E46" s="254">
        <v>1000</v>
      </c>
      <c r="F46" s="220">
        <v>43165</v>
      </c>
      <c r="G46" s="221">
        <v>43217</v>
      </c>
    </row>
    <row r="47" spans="1:9" s="170" customFormat="1" ht="12" x14ac:dyDescent="0.2">
      <c r="A47" s="791" t="s">
        <v>231</v>
      </c>
      <c r="B47" s="792"/>
      <c r="C47" s="217" t="s">
        <v>226</v>
      </c>
      <c r="D47" s="252">
        <v>645000</v>
      </c>
      <c r="E47" s="254"/>
      <c r="F47" s="220">
        <v>43249</v>
      </c>
      <c r="G47" s="221">
        <v>43278</v>
      </c>
    </row>
    <row r="48" spans="1:9" s="170" customFormat="1" ht="12" x14ac:dyDescent="0.2">
      <c r="A48" s="791" t="s">
        <v>232</v>
      </c>
      <c r="B48" s="792"/>
      <c r="C48" s="217" t="s">
        <v>233</v>
      </c>
      <c r="D48" s="252"/>
      <c r="E48" s="254">
        <v>69000</v>
      </c>
      <c r="F48" s="220">
        <v>43249</v>
      </c>
      <c r="G48" s="221">
        <v>43278</v>
      </c>
    </row>
    <row r="49" spans="1:9" s="170" customFormat="1" ht="12" x14ac:dyDescent="0.2">
      <c r="A49" s="791" t="s">
        <v>234</v>
      </c>
      <c r="B49" s="792"/>
      <c r="C49" s="217" t="s">
        <v>235</v>
      </c>
      <c r="D49" s="252"/>
      <c r="E49" s="254">
        <v>92000</v>
      </c>
      <c r="F49" s="220">
        <v>43249</v>
      </c>
      <c r="G49" s="221">
        <v>43278</v>
      </c>
    </row>
    <row r="50" spans="1:9" s="170" customFormat="1" ht="12" customHeight="1" x14ac:dyDescent="0.2">
      <c r="A50" s="791" t="s">
        <v>236</v>
      </c>
      <c r="B50" s="792"/>
      <c r="C50" s="217" t="s">
        <v>237</v>
      </c>
      <c r="D50" s="252"/>
      <c r="E50" s="254">
        <v>484000</v>
      </c>
      <c r="F50" s="220">
        <v>43249</v>
      </c>
      <c r="G50" s="221">
        <v>43278</v>
      </c>
    </row>
    <row r="51" spans="1:9" s="170" customFormat="1" ht="11.25" x14ac:dyDescent="0.2">
      <c r="A51" s="773" t="s">
        <v>178</v>
      </c>
      <c r="B51" s="774"/>
      <c r="C51" s="233"/>
      <c r="D51" s="234">
        <f>SUM(D44:D50)</f>
        <v>655000</v>
      </c>
      <c r="E51" s="234">
        <f>SUM(E44:E50)</f>
        <v>655000</v>
      </c>
      <c r="F51" s="795"/>
      <c r="G51" s="796"/>
    </row>
    <row r="52" spans="1:9" s="170" customFormat="1" ht="15" x14ac:dyDescent="0.25">
      <c r="A52" s="782"/>
      <c r="B52" s="783"/>
      <c r="C52" s="212"/>
    </row>
    <row r="53" spans="1:9" s="170" customFormat="1" ht="11.25" x14ac:dyDescent="0.2">
      <c r="A53" s="235"/>
      <c r="C53" s="212"/>
    </row>
    <row r="54" spans="1:9" s="170" customFormat="1" ht="11.25" x14ac:dyDescent="0.2">
      <c r="A54" s="766" t="s">
        <v>180</v>
      </c>
      <c r="B54" s="766"/>
      <c r="C54" s="766"/>
      <c r="D54" s="766"/>
      <c r="E54" s="766"/>
      <c r="F54" s="766"/>
      <c r="G54" s="766"/>
      <c r="H54" s="766"/>
      <c r="I54" s="766"/>
    </row>
    <row r="55" spans="1:9" s="170" customFormat="1" ht="11.25" x14ac:dyDescent="0.2">
      <c r="C55" s="212"/>
    </row>
    <row r="56" spans="1:9" s="216" customFormat="1" ht="31.5" x14ac:dyDescent="0.25">
      <c r="A56" s="767" t="s">
        <v>135</v>
      </c>
      <c r="B56" s="768"/>
      <c r="C56" s="215" t="s">
        <v>136</v>
      </c>
      <c r="D56" s="215" t="s">
        <v>137</v>
      </c>
      <c r="E56" s="215" t="s">
        <v>138</v>
      </c>
      <c r="F56" s="215" t="s">
        <v>139</v>
      </c>
      <c r="G56" s="215" t="s">
        <v>140</v>
      </c>
    </row>
    <row r="57" spans="1:9" s="170" customFormat="1" ht="11.25" customHeight="1" x14ac:dyDescent="0.2">
      <c r="A57" s="1189" t="s">
        <v>217</v>
      </c>
      <c r="B57" s="770"/>
      <c r="C57" s="236"/>
      <c r="D57" s="237"/>
      <c r="E57" s="237"/>
      <c r="F57" s="247"/>
      <c r="G57" s="247"/>
    </row>
    <row r="58" spans="1:9" s="170" customFormat="1" ht="11.25" x14ac:dyDescent="0.2">
      <c r="A58" s="773" t="s">
        <v>178</v>
      </c>
      <c r="B58" s="774"/>
      <c r="C58" s="233"/>
      <c r="D58" s="234">
        <f>SUM(D57:D57)</f>
        <v>0</v>
      </c>
      <c r="E58" s="234">
        <f>SUM(E57:E57)</f>
        <v>0</v>
      </c>
      <c r="F58" s="775"/>
      <c r="G58" s="776"/>
    </row>
    <row r="59" spans="1:9" s="170" customFormat="1" ht="11.25" x14ac:dyDescent="0.2">
      <c r="C59" s="212"/>
    </row>
    <row r="60" spans="1:9" s="170" customFormat="1" ht="11.25" x14ac:dyDescent="0.2">
      <c r="C60" s="212"/>
    </row>
    <row r="61" spans="1:9" s="177" customFormat="1" ht="11.25" x14ac:dyDescent="0.2">
      <c r="A61" s="777" t="s">
        <v>238</v>
      </c>
      <c r="B61" s="777"/>
      <c r="C61" s="777"/>
      <c r="D61" s="777"/>
      <c r="E61" s="777"/>
      <c r="F61" s="777"/>
      <c r="G61" s="777"/>
      <c r="H61" s="777"/>
      <c r="I61" s="777"/>
    </row>
    <row r="62" spans="1:9" s="170" customFormat="1" ht="11.25" x14ac:dyDescent="0.2">
      <c r="A62" s="170" t="s">
        <v>239</v>
      </c>
    </row>
    <row r="63" spans="1:9" s="170" customFormat="1" ht="11.25" x14ac:dyDescent="0.2"/>
    <row r="64" spans="1:9" s="169" customFormat="1" ht="10.5" x14ac:dyDescent="0.15">
      <c r="A64" s="781" t="s">
        <v>165</v>
      </c>
      <c r="B64" s="781"/>
      <c r="C64" s="781"/>
      <c r="D64" s="781"/>
      <c r="E64" s="781"/>
      <c r="F64" s="781"/>
      <c r="G64" s="781"/>
      <c r="H64" s="781"/>
      <c r="I64" s="781"/>
    </row>
    <row r="65" spans="1:9" s="170" customFormat="1" ht="11.25" x14ac:dyDescent="0.2"/>
    <row r="66" spans="1:9" s="170" customFormat="1" ht="47.25" customHeight="1" x14ac:dyDescent="0.2">
      <c r="A66" s="763" t="s">
        <v>240</v>
      </c>
      <c r="B66" s="764"/>
      <c r="C66" s="764"/>
      <c r="D66" s="764"/>
      <c r="E66" s="764"/>
      <c r="F66" s="764"/>
      <c r="G66" s="764"/>
      <c r="H66" s="764"/>
      <c r="I66" s="765"/>
    </row>
    <row r="67" spans="1:9" s="170" customFormat="1" ht="16.5" customHeight="1" x14ac:dyDescent="0.2">
      <c r="A67" s="763" t="s">
        <v>241</v>
      </c>
      <c r="B67" s="764"/>
      <c r="C67" s="764"/>
      <c r="D67" s="764"/>
      <c r="E67" s="764"/>
      <c r="F67" s="764"/>
      <c r="G67" s="764"/>
      <c r="H67" s="764"/>
      <c r="I67" s="765"/>
    </row>
    <row r="68" spans="1:9" s="170" customFormat="1" ht="18.75" customHeight="1" x14ac:dyDescent="0.2">
      <c r="A68" s="763" t="s">
        <v>242</v>
      </c>
      <c r="B68" s="764"/>
      <c r="C68" s="764"/>
      <c r="D68" s="764"/>
      <c r="E68" s="764"/>
      <c r="F68" s="764"/>
      <c r="G68" s="764"/>
      <c r="H68" s="764"/>
      <c r="I68" s="765"/>
    </row>
    <row r="69" spans="1:9" ht="36.75" customHeight="1" x14ac:dyDescent="0.2">
      <c r="A69" s="763" t="s">
        <v>243</v>
      </c>
      <c r="B69" s="764"/>
      <c r="C69" s="764"/>
      <c r="D69" s="764"/>
      <c r="E69" s="764"/>
      <c r="F69" s="764"/>
      <c r="G69" s="764"/>
      <c r="H69" s="764"/>
      <c r="I69" s="765"/>
    </row>
    <row r="70" spans="1:9" ht="13.5" customHeight="1" x14ac:dyDescent="0.2">
      <c r="A70" s="246"/>
    </row>
    <row r="71" spans="1:9" x14ac:dyDescent="0.2">
      <c r="A71" s="4" t="s">
        <v>244</v>
      </c>
    </row>
    <row r="72" spans="1:9" x14ac:dyDescent="0.2">
      <c r="A72" s="246" t="s">
        <v>245</v>
      </c>
    </row>
    <row r="74" spans="1:9" x14ac:dyDescent="0.2">
      <c r="A74" s="4" t="s">
        <v>246</v>
      </c>
    </row>
    <row r="79" spans="1:9" x14ac:dyDescent="0.2">
      <c r="A79" s="246"/>
    </row>
  </sheetData>
  <mergeCells count="59">
    <mergeCell ref="F12:G12"/>
    <mergeCell ref="H12:I12"/>
    <mergeCell ref="A1:I1"/>
    <mergeCell ref="A3:I3"/>
    <mergeCell ref="A5:B5"/>
    <mergeCell ref="D5:I5"/>
    <mergeCell ref="A6:B6"/>
    <mergeCell ref="D6:I6"/>
    <mergeCell ref="A7:B7"/>
    <mergeCell ref="D7:I7"/>
    <mergeCell ref="A8:B8"/>
    <mergeCell ref="D8:I8"/>
    <mergeCell ref="A10:I10"/>
    <mergeCell ref="A20:I20"/>
    <mergeCell ref="F13:G13"/>
    <mergeCell ref="H13:I13"/>
    <mergeCell ref="F14:G14"/>
    <mergeCell ref="H14:I14"/>
    <mergeCell ref="F15:G15"/>
    <mergeCell ref="H15:I15"/>
    <mergeCell ref="F16:G16"/>
    <mergeCell ref="H16:I16"/>
    <mergeCell ref="F17:G17"/>
    <mergeCell ref="H17:I17"/>
    <mergeCell ref="F18:G18"/>
    <mergeCell ref="A41:I41"/>
    <mergeCell ref="D22:I22"/>
    <mergeCell ref="D23:I23"/>
    <mergeCell ref="C24:I24"/>
    <mergeCell ref="A27:I27"/>
    <mergeCell ref="D29:I29"/>
    <mergeCell ref="D30:I30"/>
    <mergeCell ref="C31:I31"/>
    <mergeCell ref="A34:I34"/>
    <mergeCell ref="C36:I36"/>
    <mergeCell ref="C37:I37"/>
    <mergeCell ref="C38:I38"/>
    <mergeCell ref="A54:I54"/>
    <mergeCell ref="A43:B43"/>
    <mergeCell ref="A44:B44"/>
    <mergeCell ref="A45:B45"/>
    <mergeCell ref="A46:B46"/>
    <mergeCell ref="A47:B47"/>
    <mergeCell ref="A48:B48"/>
    <mergeCell ref="A49:B49"/>
    <mergeCell ref="A50:B50"/>
    <mergeCell ref="A51:B51"/>
    <mergeCell ref="F51:G51"/>
    <mergeCell ref="A52:B52"/>
    <mergeCell ref="A66:I66"/>
    <mergeCell ref="A67:I67"/>
    <mergeCell ref="A68:I68"/>
    <mergeCell ref="A69:I69"/>
    <mergeCell ref="A56:B56"/>
    <mergeCell ref="A57:B57"/>
    <mergeCell ref="A58:B58"/>
    <mergeCell ref="F58:G58"/>
    <mergeCell ref="A61:I61"/>
    <mergeCell ref="A64:I64"/>
  </mergeCells>
  <pageMargins left="0.70866141732283472" right="0.70866141732283472" top="0.78740157480314965" bottom="0.78740157480314965" header="0.31496062992125984" footer="0.31496062992125984"/>
  <pageSetup paperSize="9" scale="58" firstPageNumber="127" fitToHeight="2" orientation="portrait" useFirstPageNumber="1" r:id="rId1"/>
  <headerFooter>
    <oddFooter>&amp;C&amp;P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6"/>
  <sheetViews>
    <sheetView tabSelected="1" workbookViewId="0">
      <selection activeCell="L35" sqref="L35"/>
    </sheetView>
  </sheetViews>
  <sheetFormatPr defaultColWidth="3.7109375" defaultRowHeight="15" x14ac:dyDescent="0.25"/>
  <cols>
    <col min="1" max="1" width="3.140625" style="2" customWidth="1"/>
    <col min="2" max="2" width="3.7109375" style="3" customWidth="1"/>
    <col min="3" max="3" width="21" style="3" customWidth="1"/>
    <col min="4" max="4" width="4.85546875" style="3" customWidth="1"/>
    <col min="5" max="7" width="6.28515625" style="3" customWidth="1"/>
    <col min="8" max="8" width="5" style="3" customWidth="1"/>
    <col min="9" max="12" width="6.28515625" style="3" customWidth="1"/>
    <col min="13" max="13" width="5" style="3" customWidth="1"/>
    <col min="14" max="17" width="6.28515625" style="3" customWidth="1"/>
    <col min="18" max="18" width="5" style="3" customWidth="1"/>
    <col min="19" max="22" width="6.28515625" style="3" customWidth="1"/>
    <col min="23" max="23" width="5" style="3" customWidth="1"/>
    <col min="24" max="24" width="6.28515625" style="3" customWidth="1"/>
    <col min="25" max="16384" width="3.7109375" style="3"/>
  </cols>
  <sheetData>
    <row r="1" spans="1:24" s="6" customFormat="1" ht="15.75" x14ac:dyDescent="0.25">
      <c r="A1" s="759" t="s">
        <v>0</v>
      </c>
      <c r="B1" s="759"/>
      <c r="C1" s="759"/>
      <c r="D1" s="759"/>
      <c r="E1" s="759"/>
      <c r="F1" s="759"/>
      <c r="G1" s="759"/>
      <c r="H1" s="759"/>
      <c r="I1" s="759"/>
      <c r="J1" s="759"/>
      <c r="K1" s="759"/>
      <c r="L1" s="759"/>
      <c r="M1" s="759"/>
      <c r="N1" s="759"/>
      <c r="O1" s="759"/>
      <c r="P1" s="759"/>
      <c r="Q1" s="759"/>
      <c r="R1" s="759"/>
      <c r="S1" s="759"/>
      <c r="T1" s="759"/>
      <c r="U1" s="759"/>
      <c r="V1" s="759"/>
      <c r="W1" s="759"/>
      <c r="X1" s="759"/>
    </row>
    <row r="3" spans="1:24" s="7" customFormat="1" ht="9.75" customHeight="1" x14ac:dyDescent="0.2">
      <c r="A3" s="752" t="s">
        <v>1</v>
      </c>
      <c r="B3" s="761" t="s">
        <v>2</v>
      </c>
      <c r="C3" s="760"/>
      <c r="D3" s="761" t="s">
        <v>3</v>
      </c>
      <c r="E3" s="762" t="s">
        <v>4</v>
      </c>
      <c r="F3" s="762"/>
      <c r="G3" s="762"/>
      <c r="H3" s="762"/>
      <c r="I3" s="762"/>
      <c r="J3" s="762" t="s">
        <v>5</v>
      </c>
      <c r="K3" s="762"/>
      <c r="L3" s="762"/>
      <c r="M3" s="762"/>
      <c r="N3" s="762"/>
      <c r="O3" s="762" t="s">
        <v>6</v>
      </c>
      <c r="P3" s="762"/>
      <c r="Q3" s="762"/>
      <c r="R3" s="762"/>
      <c r="S3" s="762"/>
      <c r="T3" s="762" t="s">
        <v>7</v>
      </c>
      <c r="U3" s="762"/>
      <c r="V3" s="762"/>
      <c r="W3" s="762"/>
      <c r="X3" s="762"/>
    </row>
    <row r="4" spans="1:24" s="8" customFormat="1" ht="9.75" customHeight="1" x14ac:dyDescent="0.2">
      <c r="A4" s="760"/>
      <c r="B4" s="760"/>
      <c r="C4" s="760"/>
      <c r="D4" s="761"/>
      <c r="E4" s="754" t="s">
        <v>8</v>
      </c>
      <c r="F4" s="755" t="s">
        <v>9</v>
      </c>
      <c r="G4" s="755"/>
      <c r="H4" s="755"/>
      <c r="I4" s="752" t="s">
        <v>10</v>
      </c>
      <c r="J4" s="754" t="s">
        <v>8</v>
      </c>
      <c r="K4" s="755" t="s">
        <v>9</v>
      </c>
      <c r="L4" s="755"/>
      <c r="M4" s="755"/>
      <c r="N4" s="752" t="s">
        <v>10</v>
      </c>
      <c r="O4" s="754" t="s">
        <v>8</v>
      </c>
      <c r="P4" s="755" t="s">
        <v>9</v>
      </c>
      <c r="Q4" s="755"/>
      <c r="R4" s="755"/>
      <c r="S4" s="752" t="s">
        <v>10</v>
      </c>
      <c r="T4" s="754" t="s">
        <v>8</v>
      </c>
      <c r="U4" s="755" t="s">
        <v>9</v>
      </c>
      <c r="V4" s="755"/>
      <c r="W4" s="755"/>
      <c r="X4" s="752" t="s">
        <v>10</v>
      </c>
    </row>
    <row r="5" spans="1:24" s="10" customFormat="1" ht="9.75" customHeight="1" x14ac:dyDescent="0.2">
      <c r="A5" s="760"/>
      <c r="B5" s="760"/>
      <c r="C5" s="760"/>
      <c r="D5" s="761"/>
      <c r="E5" s="754"/>
      <c r="F5" s="9" t="s">
        <v>11</v>
      </c>
      <c r="G5" s="9" t="s">
        <v>12</v>
      </c>
      <c r="H5" s="9" t="s">
        <v>13</v>
      </c>
      <c r="I5" s="752"/>
      <c r="J5" s="754"/>
      <c r="K5" s="9" t="s">
        <v>11</v>
      </c>
      <c r="L5" s="9" t="s">
        <v>12</v>
      </c>
      <c r="M5" s="9" t="s">
        <v>13</v>
      </c>
      <c r="N5" s="752"/>
      <c r="O5" s="754"/>
      <c r="P5" s="9" t="s">
        <v>11</v>
      </c>
      <c r="Q5" s="9" t="s">
        <v>12</v>
      </c>
      <c r="R5" s="9" t="s">
        <v>13</v>
      </c>
      <c r="S5" s="752"/>
      <c r="T5" s="754"/>
      <c r="U5" s="9" t="s">
        <v>11</v>
      </c>
      <c r="V5" s="9" t="s">
        <v>12</v>
      </c>
      <c r="W5" s="9" t="s">
        <v>13</v>
      </c>
      <c r="X5" s="752"/>
    </row>
    <row r="6" spans="1:24" s="7" customFormat="1" ht="9.75" customHeight="1" x14ac:dyDescent="0.2">
      <c r="A6" s="11" t="s">
        <v>14</v>
      </c>
      <c r="B6" s="753" t="s">
        <v>15</v>
      </c>
      <c r="C6" s="753"/>
      <c r="D6" s="12" t="s">
        <v>16</v>
      </c>
      <c r="E6" s="13">
        <f>SUM(E7:E9)</f>
        <v>11787000</v>
      </c>
      <c r="F6" s="13">
        <f>SUM(F7:F9)</f>
        <v>11801250</v>
      </c>
      <c r="G6" s="13">
        <f>SUM(G7:G9)</f>
        <v>6358386.3200000003</v>
      </c>
      <c r="H6" s="14">
        <f t="shared" ref="H6:H36" si="0">G6/F6*100</f>
        <v>53.878922317551115</v>
      </c>
      <c r="I6" s="13">
        <f>SUM(I7:I9)</f>
        <v>6642623.0700000003</v>
      </c>
      <c r="J6" s="13">
        <f>SUM(J7:J9)</f>
        <v>11787000</v>
      </c>
      <c r="K6" s="13">
        <f t="shared" ref="K6:X6" si="1">SUM(K7:K9)</f>
        <v>11801250</v>
      </c>
      <c r="L6" s="13">
        <f t="shared" si="1"/>
        <v>6358386.3200000003</v>
      </c>
      <c r="M6" s="14">
        <f t="shared" ref="M6:M36" si="2">L6/K6*100</f>
        <v>53.878922317551115</v>
      </c>
      <c r="N6" s="13">
        <f t="shared" si="1"/>
        <v>6642623.29</v>
      </c>
      <c r="O6" s="13">
        <f t="shared" si="1"/>
        <v>0</v>
      </c>
      <c r="P6" s="13">
        <f t="shared" si="1"/>
        <v>0</v>
      </c>
      <c r="Q6" s="13">
        <f t="shared" si="1"/>
        <v>0</v>
      </c>
      <c r="R6" s="14" t="e">
        <f t="shared" ref="R6:R36" si="3">Q6/P6*100</f>
        <v>#DIV/0!</v>
      </c>
      <c r="S6" s="13">
        <f t="shared" si="1"/>
        <v>0</v>
      </c>
      <c r="T6" s="13">
        <f t="shared" si="1"/>
        <v>655000</v>
      </c>
      <c r="U6" s="13">
        <f t="shared" si="1"/>
        <v>706300</v>
      </c>
      <c r="V6" s="13">
        <f t="shared" si="1"/>
        <v>553366.5</v>
      </c>
      <c r="W6" s="14">
        <f t="shared" ref="W6:W36" si="4">V6/U6*100</f>
        <v>78.347232054367836</v>
      </c>
      <c r="X6" s="13">
        <f t="shared" si="1"/>
        <v>473404.1</v>
      </c>
    </row>
    <row r="7" spans="1:24" s="7" customFormat="1" ht="9.75" x14ac:dyDescent="0.2">
      <c r="A7" s="15" t="s">
        <v>17</v>
      </c>
      <c r="B7" s="750" t="s">
        <v>18</v>
      </c>
      <c r="C7" s="750"/>
      <c r="D7" s="16" t="s">
        <v>16</v>
      </c>
      <c r="E7" s="17">
        <v>5467540</v>
      </c>
      <c r="F7" s="17">
        <v>5481790</v>
      </c>
      <c r="G7" s="17">
        <v>4320021</v>
      </c>
      <c r="H7" s="18">
        <f t="shared" si="0"/>
        <v>78.806758376369771</v>
      </c>
      <c r="I7" s="17">
        <v>3989024.78</v>
      </c>
      <c r="J7" s="17">
        <v>5467540</v>
      </c>
      <c r="K7" s="17">
        <v>5481790</v>
      </c>
      <c r="L7" s="17">
        <v>4320021</v>
      </c>
      <c r="M7" s="18">
        <f t="shared" si="2"/>
        <v>78.806758376369771</v>
      </c>
      <c r="N7" s="17">
        <v>3989025</v>
      </c>
      <c r="O7" s="19"/>
      <c r="P7" s="19"/>
      <c r="Q7" s="19"/>
      <c r="R7" s="18" t="e">
        <f t="shared" si="3"/>
        <v>#DIV/0!</v>
      </c>
      <c r="S7" s="19"/>
      <c r="T7" s="19">
        <v>655000</v>
      </c>
      <c r="U7" s="19">
        <v>706300</v>
      </c>
      <c r="V7" s="19">
        <v>553366.5</v>
      </c>
      <c r="W7" s="18">
        <f t="shared" si="4"/>
        <v>78.347232054367836</v>
      </c>
      <c r="X7" s="19">
        <v>473404.1</v>
      </c>
    </row>
    <row r="8" spans="1:24" s="7" customFormat="1" ht="9.75" x14ac:dyDescent="0.2">
      <c r="A8" s="20" t="s">
        <v>19</v>
      </c>
      <c r="B8" s="758" t="s">
        <v>20</v>
      </c>
      <c r="C8" s="758"/>
      <c r="D8" s="16" t="s">
        <v>16</v>
      </c>
      <c r="E8" s="17">
        <v>600</v>
      </c>
      <c r="F8" s="17">
        <v>600</v>
      </c>
      <c r="G8" s="17">
        <v>305.24</v>
      </c>
      <c r="H8" s="18">
        <f t="shared" si="0"/>
        <v>50.873333333333335</v>
      </c>
      <c r="I8" s="17">
        <v>229</v>
      </c>
      <c r="J8" s="17">
        <v>600</v>
      </c>
      <c r="K8" s="17">
        <v>600</v>
      </c>
      <c r="L8" s="17">
        <v>305.24</v>
      </c>
      <c r="M8" s="18">
        <f t="shared" si="2"/>
        <v>50.873333333333335</v>
      </c>
      <c r="N8" s="17">
        <v>229</v>
      </c>
      <c r="O8" s="17"/>
      <c r="P8" s="17"/>
      <c r="Q8" s="17"/>
      <c r="R8" s="18" t="e">
        <f t="shared" si="3"/>
        <v>#DIV/0!</v>
      </c>
      <c r="S8" s="17"/>
      <c r="T8" s="17">
        <v>0</v>
      </c>
      <c r="U8" s="17">
        <v>0</v>
      </c>
      <c r="V8" s="17">
        <v>0</v>
      </c>
      <c r="W8" s="18" t="e">
        <f t="shared" si="4"/>
        <v>#DIV/0!</v>
      </c>
      <c r="X8" s="17">
        <v>0</v>
      </c>
    </row>
    <row r="9" spans="1:24" s="7" customFormat="1" ht="9.75" x14ac:dyDescent="0.2">
      <c r="A9" s="20" t="s">
        <v>21</v>
      </c>
      <c r="B9" s="21" t="s">
        <v>22</v>
      </c>
      <c r="C9" s="22"/>
      <c r="D9" s="16" t="s">
        <v>16</v>
      </c>
      <c r="E9" s="17">
        <v>6318860</v>
      </c>
      <c r="F9" s="17">
        <v>6318860</v>
      </c>
      <c r="G9" s="17">
        <v>2038060.08</v>
      </c>
      <c r="H9" s="18">
        <f t="shared" si="0"/>
        <v>32.253603972868525</v>
      </c>
      <c r="I9" s="17">
        <v>2653369.29</v>
      </c>
      <c r="J9" s="17">
        <v>6318860</v>
      </c>
      <c r="K9" s="17">
        <v>6318860</v>
      </c>
      <c r="L9" s="17">
        <v>2038060.08</v>
      </c>
      <c r="M9" s="18">
        <f t="shared" si="2"/>
        <v>32.253603972868525</v>
      </c>
      <c r="N9" s="17">
        <v>2653369.29</v>
      </c>
      <c r="O9" s="17"/>
      <c r="P9" s="17"/>
      <c r="Q9" s="17"/>
      <c r="R9" s="18" t="e">
        <f t="shared" si="3"/>
        <v>#DIV/0!</v>
      </c>
      <c r="S9" s="17"/>
      <c r="T9" s="17">
        <v>0</v>
      </c>
      <c r="U9" s="17">
        <v>0</v>
      </c>
      <c r="V9" s="17">
        <v>0</v>
      </c>
      <c r="W9" s="18" t="e">
        <f t="shared" si="4"/>
        <v>#DIV/0!</v>
      </c>
      <c r="X9" s="17">
        <v>0</v>
      </c>
    </row>
    <row r="10" spans="1:24" s="7" customFormat="1" ht="9.75" x14ac:dyDescent="0.2">
      <c r="A10" s="11" t="s">
        <v>23</v>
      </c>
      <c r="B10" s="753" t="s">
        <v>24</v>
      </c>
      <c r="C10" s="753"/>
      <c r="D10" s="12" t="s">
        <v>16</v>
      </c>
      <c r="E10" s="23">
        <f t="shared" ref="E10:G10" si="5">SUM(J10,O10)</f>
        <v>0</v>
      </c>
      <c r="F10" s="23">
        <f t="shared" si="5"/>
        <v>0</v>
      </c>
      <c r="G10" s="23">
        <f t="shared" si="5"/>
        <v>0</v>
      </c>
      <c r="H10" s="14" t="e">
        <f t="shared" si="0"/>
        <v>#DIV/0!</v>
      </c>
      <c r="I10" s="23">
        <f>SUM(N10,S10)</f>
        <v>0</v>
      </c>
      <c r="J10" s="24"/>
      <c r="K10" s="23"/>
      <c r="L10" s="23"/>
      <c r="M10" s="14" t="e">
        <f t="shared" si="2"/>
        <v>#DIV/0!</v>
      </c>
      <c r="N10" s="23"/>
      <c r="O10" s="23"/>
      <c r="P10" s="23"/>
      <c r="Q10" s="23"/>
      <c r="R10" s="14" t="e">
        <f t="shared" si="3"/>
        <v>#DIV/0!</v>
      </c>
      <c r="S10" s="23"/>
      <c r="T10" s="23"/>
      <c r="U10" s="23"/>
      <c r="V10" s="23"/>
      <c r="W10" s="14" t="e">
        <f t="shared" si="4"/>
        <v>#DIV/0!</v>
      </c>
      <c r="X10" s="23"/>
    </row>
    <row r="11" spans="1:24" s="7" customFormat="1" ht="9.75" x14ac:dyDescent="0.2">
      <c r="A11" s="11" t="s">
        <v>25</v>
      </c>
      <c r="B11" s="753" t="s">
        <v>26</v>
      </c>
      <c r="C11" s="753"/>
      <c r="D11" s="12" t="s">
        <v>16</v>
      </c>
      <c r="E11" s="13">
        <f>SUM(E12:E31)</f>
        <v>11787000</v>
      </c>
      <c r="F11" s="13">
        <f>SUM(F12:F31)</f>
        <v>11801250</v>
      </c>
      <c r="G11" s="13">
        <f>SUM(G12:G31)</f>
        <v>6358386.1500000004</v>
      </c>
      <c r="H11" s="14">
        <f t="shared" si="0"/>
        <v>53.878920877025735</v>
      </c>
      <c r="I11" s="13">
        <f>SUM(I12:I31)</f>
        <v>6642623.0699999994</v>
      </c>
      <c r="J11" s="13">
        <f>SUM(J12:J31)</f>
        <v>11787000</v>
      </c>
      <c r="K11" s="13">
        <f>SUM(K12:K31)</f>
        <v>11801250</v>
      </c>
      <c r="L11" s="13">
        <f>SUM(L12:L31)</f>
        <v>6358386.1500000004</v>
      </c>
      <c r="M11" s="14">
        <f t="shared" si="2"/>
        <v>53.878920877025735</v>
      </c>
      <c r="N11" s="13">
        <f>SUM(N12:N31)</f>
        <v>6642623.0699999994</v>
      </c>
      <c r="O11" s="13">
        <f>SUM(O12:O31)</f>
        <v>0</v>
      </c>
      <c r="P11" s="13">
        <f>SUM(P12:P31)</f>
        <v>0</v>
      </c>
      <c r="Q11" s="13">
        <f>SUM(Q12:Q31)</f>
        <v>0</v>
      </c>
      <c r="R11" s="14" t="e">
        <f t="shared" si="3"/>
        <v>#DIV/0!</v>
      </c>
      <c r="S11" s="13">
        <f>SUM(S12:S31)</f>
        <v>0</v>
      </c>
      <c r="T11" s="13">
        <f>SUM(T12:T31)</f>
        <v>651500</v>
      </c>
      <c r="U11" s="13">
        <f>SUM(U12:U31)</f>
        <v>702800</v>
      </c>
      <c r="V11" s="13">
        <f>SUM(V12:V31)</f>
        <v>445396.5</v>
      </c>
      <c r="W11" s="14">
        <f t="shared" si="4"/>
        <v>63.374573136027323</v>
      </c>
      <c r="X11" s="13">
        <f>SUM(X12:X31)</f>
        <v>121200</v>
      </c>
    </row>
    <row r="12" spans="1:24" s="7" customFormat="1" ht="9.75" x14ac:dyDescent="0.2">
      <c r="A12" s="15" t="s">
        <v>27</v>
      </c>
      <c r="B12" s="750" t="s">
        <v>28</v>
      </c>
      <c r="C12" s="750"/>
      <c r="D12" s="16" t="s">
        <v>16</v>
      </c>
      <c r="E12" s="17">
        <v>325000</v>
      </c>
      <c r="F12" s="17">
        <v>325000</v>
      </c>
      <c r="G12" s="17">
        <v>165916.39000000001</v>
      </c>
      <c r="H12" s="18">
        <f t="shared" si="0"/>
        <v>51.051196923076922</v>
      </c>
      <c r="I12" s="17">
        <v>197673.9</v>
      </c>
      <c r="J12" s="17">
        <v>325000</v>
      </c>
      <c r="K12" s="17">
        <v>325000</v>
      </c>
      <c r="L12" s="17">
        <v>165916.39000000001</v>
      </c>
      <c r="M12" s="18">
        <f t="shared" si="2"/>
        <v>51.051196923076922</v>
      </c>
      <c r="N12" s="17">
        <v>197673.9</v>
      </c>
      <c r="O12" s="25"/>
      <c r="P12" s="25"/>
      <c r="Q12" s="25"/>
      <c r="R12" s="18" t="e">
        <f t="shared" si="3"/>
        <v>#DIV/0!</v>
      </c>
      <c r="S12" s="25"/>
      <c r="T12" s="25">
        <v>14000</v>
      </c>
      <c r="U12" s="25">
        <v>22100</v>
      </c>
      <c r="V12" s="25">
        <v>13695</v>
      </c>
      <c r="W12" s="18">
        <f t="shared" si="4"/>
        <v>61.968325791855207</v>
      </c>
      <c r="X12" s="26">
        <v>0</v>
      </c>
    </row>
    <row r="13" spans="1:24" s="7" customFormat="1" ht="9.75" x14ac:dyDescent="0.2">
      <c r="A13" s="15" t="s">
        <v>29</v>
      </c>
      <c r="B13" s="750" t="s">
        <v>30</v>
      </c>
      <c r="C13" s="750"/>
      <c r="D13" s="16" t="s">
        <v>16</v>
      </c>
      <c r="E13" s="17">
        <v>880000</v>
      </c>
      <c r="F13" s="17">
        <v>880000</v>
      </c>
      <c r="G13" s="17">
        <v>384186</v>
      </c>
      <c r="H13" s="18">
        <f t="shared" si="0"/>
        <v>43.657499999999999</v>
      </c>
      <c r="I13" s="17">
        <v>433808.7</v>
      </c>
      <c r="J13" s="17">
        <v>880000</v>
      </c>
      <c r="K13" s="17">
        <v>880000</v>
      </c>
      <c r="L13" s="17">
        <v>384186</v>
      </c>
      <c r="M13" s="18">
        <f t="shared" si="2"/>
        <v>43.657499999999999</v>
      </c>
      <c r="N13" s="17">
        <v>433808.7</v>
      </c>
      <c r="O13" s="17"/>
      <c r="P13" s="17"/>
      <c r="Q13" s="17"/>
      <c r="R13" s="18" t="e">
        <f t="shared" si="3"/>
        <v>#DIV/0!</v>
      </c>
      <c r="S13" s="17"/>
      <c r="T13" s="17">
        <v>65000</v>
      </c>
      <c r="U13" s="17">
        <v>65000</v>
      </c>
      <c r="V13" s="17">
        <v>38613</v>
      </c>
      <c r="W13" s="18">
        <f t="shared" si="4"/>
        <v>59.40461538461539</v>
      </c>
      <c r="X13" s="17">
        <v>0</v>
      </c>
    </row>
    <row r="14" spans="1:24" s="7" customFormat="1" ht="9.75" x14ac:dyDescent="0.2">
      <c r="A14" s="15" t="s">
        <v>31</v>
      </c>
      <c r="B14" s="21" t="s">
        <v>32</v>
      </c>
      <c r="C14" s="21"/>
      <c r="D14" s="16" t="s">
        <v>16</v>
      </c>
      <c r="E14" s="17">
        <v>0</v>
      </c>
      <c r="F14" s="17">
        <v>1050</v>
      </c>
      <c r="G14" s="17">
        <v>1050</v>
      </c>
      <c r="H14" s="18">
        <f t="shared" si="0"/>
        <v>100</v>
      </c>
      <c r="I14" s="17">
        <v>0</v>
      </c>
      <c r="J14" s="17">
        <v>0</v>
      </c>
      <c r="K14" s="17">
        <v>1050</v>
      </c>
      <c r="L14" s="17">
        <v>1050</v>
      </c>
      <c r="M14" s="18">
        <f t="shared" si="2"/>
        <v>100</v>
      </c>
      <c r="N14" s="17">
        <v>0</v>
      </c>
      <c r="O14" s="17"/>
      <c r="P14" s="17"/>
      <c r="Q14" s="17"/>
      <c r="R14" s="18" t="e">
        <f t="shared" si="3"/>
        <v>#DIV/0!</v>
      </c>
      <c r="S14" s="17"/>
      <c r="T14" s="17">
        <v>0</v>
      </c>
      <c r="U14" s="17">
        <v>0</v>
      </c>
      <c r="V14" s="17">
        <v>0</v>
      </c>
      <c r="W14" s="18" t="e">
        <f t="shared" si="4"/>
        <v>#DIV/0!</v>
      </c>
      <c r="X14" s="17">
        <v>0</v>
      </c>
    </row>
    <row r="15" spans="1:24" s="7" customFormat="1" ht="9.75" x14ac:dyDescent="0.2">
      <c r="A15" s="15" t="s">
        <v>33</v>
      </c>
      <c r="B15" s="750" t="s">
        <v>34</v>
      </c>
      <c r="C15" s="750"/>
      <c r="D15" s="16" t="s">
        <v>16</v>
      </c>
      <c r="E15" s="17">
        <v>32000</v>
      </c>
      <c r="F15" s="17">
        <v>32000</v>
      </c>
      <c r="G15" s="17">
        <v>1218.5</v>
      </c>
      <c r="H15" s="18">
        <f t="shared" si="0"/>
        <v>3.8078124999999998</v>
      </c>
      <c r="I15" s="17">
        <v>20066.5</v>
      </c>
      <c r="J15" s="17">
        <v>32000</v>
      </c>
      <c r="K15" s="17">
        <v>32000</v>
      </c>
      <c r="L15" s="17">
        <v>1218.5</v>
      </c>
      <c r="M15" s="18">
        <f t="shared" si="2"/>
        <v>3.8078124999999998</v>
      </c>
      <c r="N15" s="17">
        <v>20066.5</v>
      </c>
      <c r="O15" s="17"/>
      <c r="P15" s="17"/>
      <c r="Q15" s="17"/>
      <c r="R15" s="18" t="e">
        <f t="shared" si="3"/>
        <v>#DIV/0!</v>
      </c>
      <c r="S15" s="17"/>
      <c r="T15" s="17">
        <v>35000</v>
      </c>
      <c r="U15" s="17">
        <v>35000</v>
      </c>
      <c r="V15" s="17">
        <v>2705</v>
      </c>
      <c r="W15" s="18">
        <f t="shared" si="4"/>
        <v>7.7285714285714295</v>
      </c>
      <c r="X15" s="17">
        <v>0</v>
      </c>
    </row>
    <row r="16" spans="1:24" s="7" customFormat="1" ht="9.75" x14ac:dyDescent="0.2">
      <c r="A16" s="15" t="s">
        <v>35</v>
      </c>
      <c r="B16" s="750" t="s">
        <v>36</v>
      </c>
      <c r="C16" s="750"/>
      <c r="D16" s="16" t="s">
        <v>16</v>
      </c>
      <c r="E16" s="17">
        <v>10000</v>
      </c>
      <c r="F16" s="17">
        <v>10000</v>
      </c>
      <c r="G16" s="17">
        <v>5968</v>
      </c>
      <c r="H16" s="18">
        <f>G16/F16*100</f>
        <v>59.68</v>
      </c>
      <c r="I16" s="17">
        <v>5749</v>
      </c>
      <c r="J16" s="17">
        <v>10000</v>
      </c>
      <c r="K16" s="17">
        <v>10000</v>
      </c>
      <c r="L16" s="17">
        <v>5968</v>
      </c>
      <c r="M16" s="18">
        <f t="shared" si="2"/>
        <v>59.68</v>
      </c>
      <c r="N16" s="17">
        <v>5749</v>
      </c>
      <c r="O16" s="17"/>
      <c r="P16" s="17"/>
      <c r="Q16" s="17"/>
      <c r="R16" s="18" t="e">
        <f t="shared" si="3"/>
        <v>#DIV/0!</v>
      </c>
      <c r="S16" s="17"/>
      <c r="T16" s="17">
        <v>0</v>
      </c>
      <c r="U16" s="17">
        <v>0</v>
      </c>
      <c r="V16" s="17">
        <v>0</v>
      </c>
      <c r="W16" s="18" t="e">
        <f t="shared" si="4"/>
        <v>#DIV/0!</v>
      </c>
      <c r="X16" s="17">
        <v>0</v>
      </c>
    </row>
    <row r="17" spans="1:24" s="7" customFormat="1" ht="9.75" x14ac:dyDescent="0.2">
      <c r="A17" s="15" t="s">
        <v>37</v>
      </c>
      <c r="B17" s="21" t="s">
        <v>38</v>
      </c>
      <c r="C17" s="21"/>
      <c r="D17" s="16" t="s">
        <v>16</v>
      </c>
      <c r="E17" s="17">
        <v>10000</v>
      </c>
      <c r="F17" s="17">
        <v>10000</v>
      </c>
      <c r="G17" s="17">
        <v>3890</v>
      </c>
      <c r="H17" s="18">
        <f t="shared" si="0"/>
        <v>38.9</v>
      </c>
      <c r="I17" s="17">
        <v>5142</v>
      </c>
      <c r="J17" s="17">
        <v>10000</v>
      </c>
      <c r="K17" s="17">
        <v>10000</v>
      </c>
      <c r="L17" s="17">
        <v>3890</v>
      </c>
      <c r="M17" s="18">
        <f t="shared" si="2"/>
        <v>38.9</v>
      </c>
      <c r="N17" s="17">
        <v>5142</v>
      </c>
      <c r="O17" s="17"/>
      <c r="P17" s="17"/>
      <c r="Q17" s="17"/>
      <c r="R17" s="18" t="e">
        <f t="shared" si="3"/>
        <v>#DIV/0!</v>
      </c>
      <c r="S17" s="17"/>
      <c r="T17" s="17">
        <v>0</v>
      </c>
      <c r="U17" s="17">
        <v>0</v>
      </c>
      <c r="V17" s="17">
        <v>0</v>
      </c>
      <c r="W17" s="18" t="e">
        <f>V17/U17*100</f>
        <v>#DIV/0!</v>
      </c>
      <c r="X17" s="17">
        <v>0</v>
      </c>
    </row>
    <row r="18" spans="1:24" s="7" customFormat="1" ht="9.75" x14ac:dyDescent="0.2">
      <c r="A18" s="15" t="s">
        <v>39</v>
      </c>
      <c r="B18" s="750" t="s">
        <v>40</v>
      </c>
      <c r="C18" s="750"/>
      <c r="D18" s="16" t="s">
        <v>16</v>
      </c>
      <c r="E18" s="17">
        <v>5096000</v>
      </c>
      <c r="F18" s="17">
        <v>5096000</v>
      </c>
      <c r="G18" s="17">
        <v>3190671.26</v>
      </c>
      <c r="H18" s="18">
        <f t="shared" si="0"/>
        <v>62.611288461538464</v>
      </c>
      <c r="I18" s="17">
        <v>3592566.92</v>
      </c>
      <c r="J18" s="17">
        <v>5096000</v>
      </c>
      <c r="K18" s="17">
        <v>5096000</v>
      </c>
      <c r="L18" s="17">
        <v>3190671.26</v>
      </c>
      <c r="M18" s="18">
        <f t="shared" si="2"/>
        <v>62.611288461538464</v>
      </c>
      <c r="N18" s="17">
        <v>3592566.92</v>
      </c>
      <c r="O18" s="17"/>
      <c r="P18" s="17"/>
      <c r="Q18" s="17"/>
      <c r="R18" s="18" t="e">
        <f t="shared" si="3"/>
        <v>#DIV/0!</v>
      </c>
      <c r="S18" s="17"/>
      <c r="T18" s="17">
        <v>78000</v>
      </c>
      <c r="U18" s="17">
        <v>90800</v>
      </c>
      <c r="V18" s="17">
        <v>45460</v>
      </c>
      <c r="W18" s="18">
        <f t="shared" si="4"/>
        <v>50.066079295154189</v>
      </c>
      <c r="X18" s="17">
        <v>31560</v>
      </c>
    </row>
    <row r="19" spans="1:24" s="28" customFormat="1" ht="9.75" x14ac:dyDescent="0.2">
      <c r="A19" s="15" t="s">
        <v>41</v>
      </c>
      <c r="B19" s="750" t="s">
        <v>42</v>
      </c>
      <c r="C19" s="750"/>
      <c r="D19" s="16" t="s">
        <v>16</v>
      </c>
      <c r="E19" s="17">
        <v>3395000</v>
      </c>
      <c r="F19" s="17">
        <v>3395000</v>
      </c>
      <c r="G19" s="17">
        <v>1640797.5</v>
      </c>
      <c r="H19" s="18">
        <f t="shared" si="0"/>
        <v>48.329823269513987</v>
      </c>
      <c r="I19" s="17">
        <v>1449625</v>
      </c>
      <c r="J19" s="17">
        <v>3395000</v>
      </c>
      <c r="K19" s="17">
        <v>3395000</v>
      </c>
      <c r="L19" s="17">
        <v>1640797.5</v>
      </c>
      <c r="M19" s="18">
        <f t="shared" si="2"/>
        <v>48.329823269513987</v>
      </c>
      <c r="N19" s="17">
        <v>1449625</v>
      </c>
      <c r="O19" s="17"/>
      <c r="P19" s="17"/>
      <c r="Q19" s="17"/>
      <c r="R19" s="18" t="e">
        <f t="shared" si="3"/>
        <v>#DIV/0!</v>
      </c>
      <c r="S19" s="17"/>
      <c r="T19" s="27">
        <v>348000</v>
      </c>
      <c r="U19" s="27">
        <v>348000</v>
      </c>
      <c r="V19" s="27">
        <v>233603.5</v>
      </c>
      <c r="W19" s="18">
        <f t="shared" si="4"/>
        <v>67.127442528735642</v>
      </c>
      <c r="X19" s="27">
        <v>68427</v>
      </c>
    </row>
    <row r="20" spans="1:24" s="7" customFormat="1" ht="9.75" x14ac:dyDescent="0.2">
      <c r="A20" s="15" t="s">
        <v>43</v>
      </c>
      <c r="B20" s="750" t="s">
        <v>44</v>
      </c>
      <c r="C20" s="750"/>
      <c r="D20" s="16" t="s">
        <v>16</v>
      </c>
      <c r="E20" s="17">
        <v>1151000</v>
      </c>
      <c r="F20" s="17">
        <v>1151000</v>
      </c>
      <c r="G20" s="17">
        <v>541816</v>
      </c>
      <c r="H20" s="18">
        <f t="shared" si="0"/>
        <v>47.073501303214591</v>
      </c>
      <c r="I20" s="17">
        <v>460892</v>
      </c>
      <c r="J20" s="17">
        <v>1151000</v>
      </c>
      <c r="K20" s="17">
        <v>1151000</v>
      </c>
      <c r="L20" s="17">
        <v>541816</v>
      </c>
      <c r="M20" s="18">
        <f t="shared" si="2"/>
        <v>47.073501303214591</v>
      </c>
      <c r="N20" s="17">
        <v>460892</v>
      </c>
      <c r="O20" s="17"/>
      <c r="P20" s="17"/>
      <c r="Q20" s="17"/>
      <c r="R20" s="18" t="e">
        <f t="shared" si="3"/>
        <v>#DIV/0!</v>
      </c>
      <c r="S20" s="17"/>
      <c r="T20" s="17">
        <v>101500</v>
      </c>
      <c r="U20" s="17">
        <v>101500</v>
      </c>
      <c r="V20" s="17">
        <v>77563</v>
      </c>
      <c r="W20" s="18">
        <f t="shared" si="4"/>
        <v>76.416748768472914</v>
      </c>
      <c r="X20" s="17">
        <v>21213</v>
      </c>
    </row>
    <row r="21" spans="1:24" s="7" customFormat="1" ht="9.75" x14ac:dyDescent="0.2">
      <c r="A21" s="15" t="s">
        <v>45</v>
      </c>
      <c r="B21" s="750" t="s">
        <v>46</v>
      </c>
      <c r="C21" s="750"/>
      <c r="D21" s="16" t="s">
        <v>16</v>
      </c>
      <c r="E21" s="17">
        <v>140000</v>
      </c>
      <c r="F21" s="17">
        <v>140000</v>
      </c>
      <c r="G21" s="17">
        <v>63036</v>
      </c>
      <c r="H21" s="18">
        <f t="shared" si="0"/>
        <v>45.025714285714287</v>
      </c>
      <c r="I21" s="17">
        <v>60654</v>
      </c>
      <c r="J21" s="17">
        <v>140000</v>
      </c>
      <c r="K21" s="17">
        <v>140000</v>
      </c>
      <c r="L21" s="17">
        <v>63036</v>
      </c>
      <c r="M21" s="18">
        <f t="shared" si="2"/>
        <v>45.025714285714287</v>
      </c>
      <c r="N21" s="17">
        <v>60654</v>
      </c>
      <c r="O21" s="17"/>
      <c r="P21" s="17"/>
      <c r="Q21" s="17"/>
      <c r="R21" s="18" t="e">
        <f t="shared" si="3"/>
        <v>#DIV/0!</v>
      </c>
      <c r="S21" s="17"/>
      <c r="T21" s="17">
        <v>10000</v>
      </c>
      <c r="U21" s="17">
        <v>10000</v>
      </c>
      <c r="V21" s="17">
        <v>3500</v>
      </c>
      <c r="W21" s="18">
        <f t="shared" si="4"/>
        <v>35</v>
      </c>
      <c r="X21" s="17">
        <v>0</v>
      </c>
    </row>
    <row r="22" spans="1:24" s="7" customFormat="1" ht="9.75" x14ac:dyDescent="0.2">
      <c r="A22" s="15" t="s">
        <v>47</v>
      </c>
      <c r="B22" s="750" t="s">
        <v>48</v>
      </c>
      <c r="C22" s="750"/>
      <c r="D22" s="16" t="s">
        <v>16</v>
      </c>
      <c r="E22" s="17">
        <v>4000</v>
      </c>
      <c r="F22" s="17">
        <v>4000</v>
      </c>
      <c r="G22" s="17">
        <v>3300</v>
      </c>
      <c r="H22" s="18">
        <f t="shared" si="0"/>
        <v>82.5</v>
      </c>
      <c r="I22" s="17">
        <v>3300</v>
      </c>
      <c r="J22" s="17">
        <v>4000</v>
      </c>
      <c r="K22" s="17">
        <v>4000</v>
      </c>
      <c r="L22" s="17">
        <v>3300</v>
      </c>
      <c r="M22" s="18">
        <f t="shared" si="2"/>
        <v>82.5</v>
      </c>
      <c r="N22" s="17">
        <v>3300</v>
      </c>
      <c r="O22" s="17"/>
      <c r="P22" s="17"/>
      <c r="Q22" s="17"/>
      <c r="R22" s="18" t="e">
        <f t="shared" si="3"/>
        <v>#DIV/0!</v>
      </c>
      <c r="S22" s="17"/>
      <c r="T22" s="17">
        <v>0</v>
      </c>
      <c r="U22" s="17">
        <v>0</v>
      </c>
      <c r="V22" s="17">
        <v>0</v>
      </c>
      <c r="W22" s="18" t="e">
        <f t="shared" si="4"/>
        <v>#DIV/0!</v>
      </c>
      <c r="X22" s="17">
        <v>0</v>
      </c>
    </row>
    <row r="23" spans="1:24" s="7" customFormat="1" ht="9.75" x14ac:dyDescent="0.2">
      <c r="A23" s="15" t="s">
        <v>49</v>
      </c>
      <c r="B23" s="21" t="s">
        <v>50</v>
      </c>
      <c r="C23" s="21"/>
      <c r="D23" s="16" t="s">
        <v>16</v>
      </c>
      <c r="E23" s="17">
        <v>0</v>
      </c>
      <c r="F23" s="17">
        <f t="shared" ref="E23:N27" si="6">SUM(K23,P23)</f>
        <v>0</v>
      </c>
      <c r="G23" s="17">
        <f t="shared" si="6"/>
        <v>0</v>
      </c>
      <c r="H23" s="18" t="e">
        <f t="shared" si="0"/>
        <v>#DIV/0!</v>
      </c>
      <c r="I23" s="17">
        <f t="shared" si="6"/>
        <v>0</v>
      </c>
      <c r="J23" s="17">
        <v>0</v>
      </c>
      <c r="K23" s="17">
        <f t="shared" si="6"/>
        <v>0</v>
      </c>
      <c r="L23" s="17">
        <f t="shared" si="6"/>
        <v>0</v>
      </c>
      <c r="M23" s="18" t="e">
        <f t="shared" si="2"/>
        <v>#DIV/0!</v>
      </c>
      <c r="N23" s="17">
        <f t="shared" si="6"/>
        <v>0</v>
      </c>
      <c r="O23" s="17"/>
      <c r="P23" s="17"/>
      <c r="Q23" s="17"/>
      <c r="R23" s="18" t="e">
        <f t="shared" si="3"/>
        <v>#DIV/0!</v>
      </c>
      <c r="S23" s="17"/>
      <c r="T23" s="17">
        <v>0</v>
      </c>
      <c r="U23" s="17">
        <v>0</v>
      </c>
      <c r="V23" s="17">
        <v>0</v>
      </c>
      <c r="W23" s="18" t="e">
        <f t="shared" si="4"/>
        <v>#DIV/0!</v>
      </c>
      <c r="X23" s="17">
        <v>0</v>
      </c>
    </row>
    <row r="24" spans="1:24" s="7" customFormat="1" ht="9.75" x14ac:dyDescent="0.2">
      <c r="A24" s="15" t="s">
        <v>51</v>
      </c>
      <c r="B24" s="21" t="s">
        <v>52</v>
      </c>
      <c r="C24" s="21"/>
      <c r="D24" s="16" t="s">
        <v>16</v>
      </c>
      <c r="E24" s="17">
        <v>0</v>
      </c>
      <c r="F24" s="17">
        <f t="shared" si="6"/>
        <v>0</v>
      </c>
      <c r="G24" s="17">
        <f t="shared" si="6"/>
        <v>0</v>
      </c>
      <c r="H24" s="18" t="e">
        <f t="shared" si="0"/>
        <v>#DIV/0!</v>
      </c>
      <c r="I24" s="17">
        <f t="shared" si="6"/>
        <v>0</v>
      </c>
      <c r="J24" s="17">
        <v>0</v>
      </c>
      <c r="K24" s="17">
        <f t="shared" si="6"/>
        <v>0</v>
      </c>
      <c r="L24" s="17">
        <f t="shared" si="6"/>
        <v>0</v>
      </c>
      <c r="M24" s="18" t="e">
        <f t="shared" si="2"/>
        <v>#DIV/0!</v>
      </c>
      <c r="N24" s="17">
        <f t="shared" si="6"/>
        <v>0</v>
      </c>
      <c r="O24" s="17"/>
      <c r="P24" s="17"/>
      <c r="Q24" s="17"/>
      <c r="R24" s="18" t="e">
        <f t="shared" si="3"/>
        <v>#DIV/0!</v>
      </c>
      <c r="S24" s="17"/>
      <c r="T24" s="17">
        <v>0</v>
      </c>
      <c r="U24" s="17">
        <v>0</v>
      </c>
      <c r="V24" s="17">
        <v>0</v>
      </c>
      <c r="W24" s="18" t="e">
        <f t="shared" si="4"/>
        <v>#DIV/0!</v>
      </c>
      <c r="X24" s="17">
        <v>0</v>
      </c>
    </row>
    <row r="25" spans="1:24" s="7" customFormat="1" ht="9.75" x14ac:dyDescent="0.2">
      <c r="A25" s="15" t="s">
        <v>53</v>
      </c>
      <c r="B25" s="21" t="s">
        <v>54</v>
      </c>
      <c r="C25" s="21"/>
      <c r="D25" s="16" t="s">
        <v>16</v>
      </c>
      <c r="E25" s="17">
        <v>0</v>
      </c>
      <c r="F25" s="17">
        <f t="shared" si="6"/>
        <v>0</v>
      </c>
      <c r="G25" s="17">
        <f t="shared" si="6"/>
        <v>0</v>
      </c>
      <c r="H25" s="18" t="e">
        <f t="shared" si="0"/>
        <v>#DIV/0!</v>
      </c>
      <c r="I25" s="17">
        <f t="shared" si="6"/>
        <v>0</v>
      </c>
      <c r="J25" s="17">
        <v>0</v>
      </c>
      <c r="K25" s="17">
        <f t="shared" si="6"/>
        <v>0</v>
      </c>
      <c r="L25" s="17">
        <f t="shared" si="6"/>
        <v>0</v>
      </c>
      <c r="M25" s="18" t="e">
        <f t="shared" si="2"/>
        <v>#DIV/0!</v>
      </c>
      <c r="N25" s="17">
        <f t="shared" si="6"/>
        <v>0</v>
      </c>
      <c r="O25" s="25"/>
      <c r="P25" s="25"/>
      <c r="Q25" s="25"/>
      <c r="R25" s="18" t="e">
        <f t="shared" si="3"/>
        <v>#DIV/0!</v>
      </c>
      <c r="S25" s="25"/>
      <c r="T25" s="25">
        <v>0</v>
      </c>
      <c r="U25" s="25">
        <v>0</v>
      </c>
      <c r="V25" s="25">
        <v>0</v>
      </c>
      <c r="W25" s="18" t="e">
        <f t="shared" si="4"/>
        <v>#DIV/0!</v>
      </c>
      <c r="X25" s="25">
        <v>0</v>
      </c>
    </row>
    <row r="26" spans="1:24" s="30" customFormat="1" ht="9.75" x14ac:dyDescent="0.2">
      <c r="A26" s="15" t="s">
        <v>55</v>
      </c>
      <c r="B26" s="750" t="s">
        <v>56</v>
      </c>
      <c r="C26" s="750"/>
      <c r="D26" s="16" t="s">
        <v>16</v>
      </c>
      <c r="E26" s="17">
        <v>740000</v>
      </c>
      <c r="F26" s="17">
        <v>740000</v>
      </c>
      <c r="G26" s="17">
        <v>339511</v>
      </c>
      <c r="H26" s="29">
        <f>G26/F26*100</f>
        <v>45.879864864864864</v>
      </c>
      <c r="I26" s="17">
        <v>369757</v>
      </c>
      <c r="J26" s="17">
        <v>740000</v>
      </c>
      <c r="K26" s="17">
        <v>740000</v>
      </c>
      <c r="L26" s="17">
        <v>339511</v>
      </c>
      <c r="M26" s="18">
        <f>L26/K26*100</f>
        <v>45.879864864864864</v>
      </c>
      <c r="N26" s="17">
        <v>369757</v>
      </c>
      <c r="O26" s="26"/>
      <c r="P26" s="26"/>
      <c r="Q26" s="26"/>
      <c r="R26" s="18" t="e">
        <f>Q26/P26*100</f>
        <v>#DIV/0!</v>
      </c>
      <c r="S26" s="26"/>
      <c r="T26" s="26">
        <v>0</v>
      </c>
      <c r="U26" s="26">
        <v>30300</v>
      </c>
      <c r="V26" s="26">
        <v>30203</v>
      </c>
      <c r="W26" s="18">
        <f>V26/U26*100</f>
        <v>99.679867986798669</v>
      </c>
      <c r="X26" s="26">
        <v>0</v>
      </c>
    </row>
    <row r="27" spans="1:24" s="30" customFormat="1" ht="9.75" x14ac:dyDescent="0.2">
      <c r="A27" s="15" t="s">
        <v>57</v>
      </c>
      <c r="B27" s="21" t="s">
        <v>58</v>
      </c>
      <c r="C27" s="21"/>
      <c r="D27" s="16" t="s">
        <v>16</v>
      </c>
      <c r="E27" s="17">
        <f t="shared" si="6"/>
        <v>0</v>
      </c>
      <c r="F27" s="17">
        <f t="shared" si="6"/>
        <v>0</v>
      </c>
      <c r="G27" s="17">
        <f t="shared" si="6"/>
        <v>0</v>
      </c>
      <c r="H27" s="29" t="e">
        <f t="shared" si="0"/>
        <v>#DIV/0!</v>
      </c>
      <c r="I27" s="17">
        <f t="shared" si="6"/>
        <v>0</v>
      </c>
      <c r="J27" s="17">
        <f t="shared" si="6"/>
        <v>0</v>
      </c>
      <c r="K27" s="17">
        <f t="shared" si="6"/>
        <v>0</v>
      </c>
      <c r="L27" s="17">
        <f t="shared" si="6"/>
        <v>0</v>
      </c>
      <c r="M27" s="18" t="e">
        <f t="shared" si="2"/>
        <v>#DIV/0!</v>
      </c>
      <c r="N27" s="17">
        <f t="shared" si="6"/>
        <v>0</v>
      </c>
      <c r="O27" s="26"/>
      <c r="P27" s="26"/>
      <c r="Q27" s="26"/>
      <c r="R27" s="18" t="e">
        <f t="shared" si="3"/>
        <v>#DIV/0!</v>
      </c>
      <c r="S27" s="26"/>
      <c r="T27" s="26">
        <v>0</v>
      </c>
      <c r="U27" s="26">
        <v>0</v>
      </c>
      <c r="V27" s="26">
        <v>0</v>
      </c>
      <c r="W27" s="18" t="e">
        <f t="shared" si="4"/>
        <v>#DIV/0!</v>
      </c>
      <c r="X27" s="26">
        <v>0</v>
      </c>
    </row>
    <row r="28" spans="1:24" s="30" customFormat="1" ht="9.75" x14ac:dyDescent="0.2">
      <c r="A28" s="15" t="s">
        <v>59</v>
      </c>
      <c r="B28" s="21" t="s">
        <v>60</v>
      </c>
      <c r="C28" s="21"/>
      <c r="D28" s="16" t="s">
        <v>16</v>
      </c>
      <c r="E28" s="17">
        <f>SUM(J28,O28)</f>
        <v>0</v>
      </c>
      <c r="F28" s="17">
        <v>13200</v>
      </c>
      <c r="G28" s="17">
        <v>13170</v>
      </c>
      <c r="H28" s="29">
        <f>G28/F28*100</f>
        <v>99.772727272727266</v>
      </c>
      <c r="I28" s="17">
        <v>39478.050000000003</v>
      </c>
      <c r="J28" s="17">
        <f>SUM(O28,T28)</f>
        <v>0</v>
      </c>
      <c r="K28" s="17">
        <v>13200</v>
      </c>
      <c r="L28" s="17">
        <v>13170</v>
      </c>
      <c r="M28" s="18">
        <f>L28/K28*100</f>
        <v>99.772727272727266</v>
      </c>
      <c r="N28" s="17">
        <v>39478.050000000003</v>
      </c>
      <c r="O28" s="26"/>
      <c r="P28" s="26"/>
      <c r="Q28" s="26"/>
      <c r="R28" s="18" t="e">
        <f>Q28/P28*100</f>
        <v>#DIV/0!</v>
      </c>
      <c r="S28" s="26"/>
      <c r="T28" s="26">
        <v>0</v>
      </c>
      <c r="U28" s="26">
        <v>0</v>
      </c>
      <c r="V28" s="26">
        <v>0</v>
      </c>
      <c r="W28" s="18" t="e">
        <f>V28/U28*100</f>
        <v>#DIV/0!</v>
      </c>
      <c r="X28" s="26">
        <v>0</v>
      </c>
    </row>
    <row r="29" spans="1:24" s="31" customFormat="1" ht="9.75" x14ac:dyDescent="0.2">
      <c r="A29" s="15" t="s">
        <v>61</v>
      </c>
      <c r="B29" s="21" t="s">
        <v>62</v>
      </c>
      <c r="C29" s="21"/>
      <c r="D29" s="16" t="s">
        <v>16</v>
      </c>
      <c r="E29" s="17">
        <v>4000</v>
      </c>
      <c r="F29" s="17">
        <v>4000</v>
      </c>
      <c r="G29" s="17">
        <v>3855.5</v>
      </c>
      <c r="H29" s="29">
        <f t="shared" si="0"/>
        <v>96.387500000000003</v>
      </c>
      <c r="I29" s="17">
        <v>3910</v>
      </c>
      <c r="J29" s="17">
        <v>4000</v>
      </c>
      <c r="K29" s="17">
        <v>4000</v>
      </c>
      <c r="L29" s="17">
        <v>3855.5</v>
      </c>
      <c r="M29" s="18">
        <f t="shared" si="2"/>
        <v>96.387500000000003</v>
      </c>
      <c r="N29" s="17">
        <v>3910</v>
      </c>
      <c r="O29" s="26"/>
      <c r="P29" s="26"/>
      <c r="Q29" s="26"/>
      <c r="R29" s="18" t="e">
        <f t="shared" si="3"/>
        <v>#DIV/0!</v>
      </c>
      <c r="S29" s="26"/>
      <c r="T29" s="26">
        <v>0</v>
      </c>
      <c r="U29" s="26">
        <v>100</v>
      </c>
      <c r="V29" s="26">
        <v>54</v>
      </c>
      <c r="W29" s="18">
        <f t="shared" si="4"/>
        <v>54</v>
      </c>
      <c r="X29" s="26">
        <v>0</v>
      </c>
    </row>
    <row r="30" spans="1:24" s="7" customFormat="1" ht="9.75" x14ac:dyDescent="0.2">
      <c r="A30" s="15" t="s">
        <v>63</v>
      </c>
      <c r="B30" s="21" t="s">
        <v>64</v>
      </c>
      <c r="C30" s="21"/>
      <c r="D30" s="16" t="s">
        <v>16</v>
      </c>
      <c r="E30" s="17">
        <f t="shared" ref="E30:G31" si="7">SUM(J30,O30)</f>
        <v>0</v>
      </c>
      <c r="F30" s="17">
        <f t="shared" si="7"/>
        <v>0</v>
      </c>
      <c r="G30" s="17">
        <f t="shared" si="7"/>
        <v>0</v>
      </c>
      <c r="H30" s="29" t="e">
        <f t="shared" si="0"/>
        <v>#DIV/0!</v>
      </c>
      <c r="I30" s="17">
        <f>SUM(N30,S30)</f>
        <v>0</v>
      </c>
      <c r="J30" s="17">
        <f t="shared" ref="J30:L31" si="8">SUM(O30,T30)</f>
        <v>0</v>
      </c>
      <c r="K30" s="17">
        <f t="shared" si="8"/>
        <v>0</v>
      </c>
      <c r="L30" s="17">
        <f t="shared" si="8"/>
        <v>0</v>
      </c>
      <c r="M30" s="18" t="e">
        <f t="shared" si="2"/>
        <v>#DIV/0!</v>
      </c>
      <c r="N30" s="17">
        <f>SUM(S30,X30)</f>
        <v>0</v>
      </c>
      <c r="O30" s="26"/>
      <c r="P30" s="26"/>
      <c r="Q30" s="26"/>
      <c r="R30" s="18" t="e">
        <f t="shared" si="3"/>
        <v>#DIV/0!</v>
      </c>
      <c r="S30" s="26"/>
      <c r="T30" s="26">
        <v>0</v>
      </c>
      <c r="U30" s="26">
        <v>0</v>
      </c>
      <c r="V30" s="26">
        <v>0</v>
      </c>
      <c r="W30" s="18" t="e">
        <f t="shared" si="4"/>
        <v>#DIV/0!</v>
      </c>
      <c r="X30" s="26">
        <v>0</v>
      </c>
    </row>
    <row r="31" spans="1:24" s="34" customFormat="1" ht="9.75" x14ac:dyDescent="0.2">
      <c r="A31" s="15" t="s">
        <v>65</v>
      </c>
      <c r="B31" s="21" t="s">
        <v>66</v>
      </c>
      <c r="C31" s="21"/>
      <c r="D31" s="16" t="s">
        <v>16</v>
      </c>
      <c r="E31" s="17">
        <f t="shared" si="7"/>
        <v>0</v>
      </c>
      <c r="F31" s="17">
        <f t="shared" si="7"/>
        <v>0</v>
      </c>
      <c r="G31" s="17">
        <f t="shared" si="7"/>
        <v>0</v>
      </c>
      <c r="H31" s="29" t="e">
        <f t="shared" si="0"/>
        <v>#DIV/0!</v>
      </c>
      <c r="I31" s="17">
        <f>SUM(N31,S31)</f>
        <v>0</v>
      </c>
      <c r="J31" s="17">
        <f t="shared" si="8"/>
        <v>0</v>
      </c>
      <c r="K31" s="17">
        <f t="shared" si="8"/>
        <v>0</v>
      </c>
      <c r="L31" s="17">
        <f t="shared" si="8"/>
        <v>0</v>
      </c>
      <c r="M31" s="18" t="e">
        <f t="shared" si="2"/>
        <v>#DIV/0!</v>
      </c>
      <c r="N31" s="17">
        <f>SUM(S31,X31)</f>
        <v>0</v>
      </c>
      <c r="O31" s="32"/>
      <c r="P31" s="32"/>
      <c r="Q31" s="32"/>
      <c r="R31" s="18" t="e">
        <f t="shared" si="3"/>
        <v>#DIV/0!</v>
      </c>
      <c r="S31" s="32"/>
      <c r="T31" s="33">
        <v>0</v>
      </c>
      <c r="U31" s="33">
        <v>0</v>
      </c>
      <c r="V31" s="33">
        <v>0</v>
      </c>
      <c r="W31" s="18" t="e">
        <f t="shared" si="4"/>
        <v>#DIV/0!</v>
      </c>
      <c r="X31" s="33">
        <v>0</v>
      </c>
    </row>
    <row r="32" spans="1:24" s="34" customFormat="1" ht="9.75" x14ac:dyDescent="0.2">
      <c r="A32" s="15" t="s">
        <v>67</v>
      </c>
      <c r="B32" s="21" t="s">
        <v>68</v>
      </c>
      <c r="C32" s="21"/>
      <c r="D32" s="16" t="s">
        <v>16</v>
      </c>
      <c r="E32" s="17">
        <f>SUM(J32,O32)</f>
        <v>0</v>
      </c>
      <c r="F32" s="17">
        <f>SUM(K32,P32)</f>
        <v>0</v>
      </c>
      <c r="G32" s="17">
        <f>SUM(L32,Q32)</f>
        <v>0</v>
      </c>
      <c r="H32" s="29" t="e">
        <f t="shared" si="0"/>
        <v>#DIV/0!</v>
      </c>
      <c r="I32" s="17">
        <f>SUM(N32,S32)</f>
        <v>0</v>
      </c>
      <c r="J32" s="17">
        <f>SUM(O32,T32)</f>
        <v>0</v>
      </c>
      <c r="K32" s="17">
        <f>SUM(P32,U32)</f>
        <v>0</v>
      </c>
      <c r="L32" s="17">
        <f>SUM(Q32,V32)</f>
        <v>0</v>
      </c>
      <c r="M32" s="18" t="e">
        <f t="shared" si="2"/>
        <v>#DIV/0!</v>
      </c>
      <c r="N32" s="17">
        <f>SUM(S32,X32)</f>
        <v>0</v>
      </c>
      <c r="O32" s="33"/>
      <c r="P32" s="33"/>
      <c r="Q32" s="33"/>
      <c r="R32" s="18" t="e">
        <f t="shared" si="3"/>
        <v>#DIV/0!</v>
      </c>
      <c r="S32" s="33"/>
      <c r="T32" s="33">
        <v>0</v>
      </c>
      <c r="U32" s="33">
        <v>0</v>
      </c>
      <c r="V32" s="33">
        <v>0</v>
      </c>
      <c r="W32" s="18" t="e">
        <f t="shared" si="4"/>
        <v>#DIV/0!</v>
      </c>
      <c r="X32" s="33">
        <v>0</v>
      </c>
    </row>
    <row r="33" spans="1:24" s="34" customFormat="1" ht="9.75" x14ac:dyDescent="0.2">
      <c r="A33" s="11" t="s">
        <v>69</v>
      </c>
      <c r="B33" s="35" t="s">
        <v>70</v>
      </c>
      <c r="C33" s="35"/>
      <c r="D33" s="12" t="s">
        <v>16</v>
      </c>
      <c r="E33" s="13">
        <f>E6-E11</f>
        <v>0</v>
      </c>
      <c r="F33" s="13">
        <f>F6-F11</f>
        <v>0</v>
      </c>
      <c r="G33" s="13">
        <f>G6-G11</f>
        <v>0.16999999992549419</v>
      </c>
      <c r="H33" s="36" t="e">
        <f t="shared" si="0"/>
        <v>#DIV/0!</v>
      </c>
      <c r="I33" s="13">
        <f>I6-I11</f>
        <v>0</v>
      </c>
      <c r="J33" s="13">
        <f>J6-J11</f>
        <v>0</v>
      </c>
      <c r="K33" s="13">
        <f>K6-K11</f>
        <v>0</v>
      </c>
      <c r="L33" s="13">
        <f>L6-L11</f>
        <v>0.16999999992549419</v>
      </c>
      <c r="M33" s="14" t="e">
        <f t="shared" si="2"/>
        <v>#DIV/0!</v>
      </c>
      <c r="N33" s="13">
        <f>N6-N11</f>
        <v>0.22000000067055225</v>
      </c>
      <c r="O33" s="13">
        <f>O6-O11</f>
        <v>0</v>
      </c>
      <c r="P33" s="13">
        <f>P6-P11</f>
        <v>0</v>
      </c>
      <c r="Q33" s="13">
        <f>Q6-Q11</f>
        <v>0</v>
      </c>
      <c r="R33" s="14" t="e">
        <f t="shared" si="3"/>
        <v>#DIV/0!</v>
      </c>
      <c r="S33" s="13">
        <f>S6-S11</f>
        <v>0</v>
      </c>
      <c r="T33" s="13">
        <f>T6-T11</f>
        <v>3500</v>
      </c>
      <c r="U33" s="13">
        <f>U6-U11</f>
        <v>3500</v>
      </c>
      <c r="V33" s="13">
        <f>V6-V11</f>
        <v>107970</v>
      </c>
      <c r="W33" s="14">
        <f t="shared" si="4"/>
        <v>3084.8571428571427</v>
      </c>
      <c r="X33" s="13">
        <f>X6-X11</f>
        <v>352204.1</v>
      </c>
    </row>
    <row r="34" spans="1:24" s="1" customFormat="1" ht="9.75" x14ac:dyDescent="0.2">
      <c r="A34" s="37" t="s">
        <v>71</v>
      </c>
      <c r="B34" s="749" t="s">
        <v>72</v>
      </c>
      <c r="C34" s="749"/>
      <c r="D34" s="38" t="s">
        <v>16</v>
      </c>
      <c r="E34" s="1213">
        <v>24156</v>
      </c>
      <c r="F34" s="1213">
        <v>24156</v>
      </c>
      <c r="G34" s="1213">
        <v>30750</v>
      </c>
      <c r="H34" s="29">
        <f t="shared" si="0"/>
        <v>127.29756582215599</v>
      </c>
      <c r="I34" s="1213">
        <v>21024</v>
      </c>
      <c r="J34" s="1213">
        <v>24156</v>
      </c>
      <c r="K34" s="1213">
        <v>24156</v>
      </c>
      <c r="L34" s="1213">
        <v>30750</v>
      </c>
      <c r="M34" s="14">
        <f t="shared" si="2"/>
        <v>127.29756582215599</v>
      </c>
      <c r="N34" s="1213">
        <v>21024</v>
      </c>
      <c r="O34" s="39"/>
      <c r="P34" s="39"/>
      <c r="Q34" s="39"/>
      <c r="R34" s="14" t="e">
        <f t="shared" si="3"/>
        <v>#DIV/0!</v>
      </c>
      <c r="S34" s="39"/>
      <c r="T34" s="39"/>
      <c r="U34" s="39"/>
      <c r="V34" s="39"/>
      <c r="W34" s="14" t="e">
        <f t="shared" si="4"/>
        <v>#DIV/0!</v>
      </c>
      <c r="X34" s="39"/>
    </row>
    <row r="35" spans="1:24" s="1" customFormat="1" ht="9.75" x14ac:dyDescent="0.2">
      <c r="A35" s="40" t="s">
        <v>73</v>
      </c>
      <c r="B35" s="751" t="s">
        <v>74</v>
      </c>
      <c r="C35" s="751"/>
      <c r="D35" s="40" t="s">
        <v>75</v>
      </c>
      <c r="E35" s="41">
        <v>9.125</v>
      </c>
      <c r="F35" s="41">
        <v>9.125</v>
      </c>
      <c r="G35" s="1215">
        <v>9.125</v>
      </c>
      <c r="H35" s="29">
        <f t="shared" si="0"/>
        <v>100</v>
      </c>
      <c r="I35" s="41">
        <v>10</v>
      </c>
      <c r="J35" s="41">
        <v>9.125</v>
      </c>
      <c r="K35" s="41">
        <v>9.125</v>
      </c>
      <c r="L35" s="1215">
        <v>9.125</v>
      </c>
      <c r="M35" s="14">
        <f t="shared" si="2"/>
        <v>100</v>
      </c>
      <c r="N35" s="41">
        <v>10</v>
      </c>
      <c r="O35" s="39"/>
      <c r="P35" s="39"/>
      <c r="Q35" s="39"/>
      <c r="R35" s="14" t="e">
        <f t="shared" si="3"/>
        <v>#DIV/0!</v>
      </c>
      <c r="S35" s="39"/>
      <c r="T35" s="39"/>
      <c r="U35" s="39"/>
      <c r="V35" s="39"/>
      <c r="W35" s="14" t="e">
        <f t="shared" si="4"/>
        <v>#DIV/0!</v>
      </c>
      <c r="X35" s="39"/>
    </row>
    <row r="36" spans="1:24" s="1" customFormat="1" ht="9.75" x14ac:dyDescent="0.2">
      <c r="A36" s="37" t="s">
        <v>76</v>
      </c>
      <c r="B36" s="749" t="s">
        <v>77</v>
      </c>
      <c r="C36" s="749"/>
      <c r="D36" s="38" t="s">
        <v>75</v>
      </c>
      <c r="E36" s="1214">
        <v>11</v>
      </c>
      <c r="F36" s="1214">
        <v>11</v>
      </c>
      <c r="G36" s="1214">
        <v>11</v>
      </c>
      <c r="H36" s="29">
        <f t="shared" si="0"/>
        <v>100</v>
      </c>
      <c r="I36" s="1214">
        <v>12</v>
      </c>
      <c r="J36" s="1214">
        <v>11</v>
      </c>
      <c r="K36" s="1214">
        <v>11</v>
      </c>
      <c r="L36" s="1214">
        <v>1</v>
      </c>
      <c r="M36" s="14">
        <f t="shared" si="2"/>
        <v>9.0909090909090917</v>
      </c>
      <c r="N36" s="1214">
        <v>12</v>
      </c>
      <c r="O36" s="39"/>
      <c r="P36" s="39"/>
      <c r="Q36" s="39"/>
      <c r="R36" s="14" t="e">
        <f t="shared" si="3"/>
        <v>#DIV/0!</v>
      </c>
      <c r="S36" s="39"/>
      <c r="T36" s="39"/>
      <c r="U36" s="39"/>
      <c r="V36" s="39"/>
      <c r="W36" s="14" t="e">
        <f t="shared" si="4"/>
        <v>#DIV/0!</v>
      </c>
      <c r="X36" s="39"/>
    </row>
  </sheetData>
  <mergeCells count="38">
    <mergeCell ref="A1:X1"/>
    <mergeCell ref="A3:A5"/>
    <mergeCell ref="B3:C5"/>
    <mergeCell ref="D3:D5"/>
    <mergeCell ref="E3:I3"/>
    <mergeCell ref="J3:N3"/>
    <mergeCell ref="O3:S3"/>
    <mergeCell ref="T3:X3"/>
    <mergeCell ref="E4:E5"/>
    <mergeCell ref="F4:H4"/>
    <mergeCell ref="I4:I5"/>
    <mergeCell ref="J4:J5"/>
    <mergeCell ref="X4:X5"/>
    <mergeCell ref="B6:C6"/>
    <mergeCell ref="O4:O5"/>
    <mergeCell ref="P4:R4"/>
    <mergeCell ref="B12:C12"/>
    <mergeCell ref="K4:M4"/>
    <mergeCell ref="N4:N5"/>
    <mergeCell ref="S4:S5"/>
    <mergeCell ref="T4:T5"/>
    <mergeCell ref="U4:W4"/>
    <mergeCell ref="B8:C8"/>
    <mergeCell ref="B10:C10"/>
    <mergeCell ref="B11:C11"/>
    <mergeCell ref="B7:C7"/>
    <mergeCell ref="B13:C13"/>
    <mergeCell ref="B26:C26"/>
    <mergeCell ref="B34:C34"/>
    <mergeCell ref="B35:C35"/>
    <mergeCell ref="B15:C15"/>
    <mergeCell ref="B36:C36"/>
    <mergeCell ref="B16:C16"/>
    <mergeCell ref="B18:C18"/>
    <mergeCell ref="B19:C19"/>
    <mergeCell ref="B20:C20"/>
    <mergeCell ref="B21:C21"/>
    <mergeCell ref="B22:C22"/>
  </mergeCells>
  <pageMargins left="0.70866141732283472" right="0.70866141732283472" top="0.78740157480314965" bottom="0.78740157480314965" header="0.31496062992125984" footer="0.31496062992125984"/>
  <pageSetup paperSize="9" scale="85" firstPageNumber="129" orientation="landscape" useFirstPageNumber="1" r:id="rId1"/>
  <headerFooter>
    <oddFooter>&amp;C&amp;P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7"/>
  <sheetViews>
    <sheetView tabSelected="1" topLeftCell="A43" workbookViewId="0">
      <selection activeCell="L35" sqref="L35"/>
    </sheetView>
  </sheetViews>
  <sheetFormatPr defaultRowHeight="12.75" x14ac:dyDescent="0.2"/>
  <cols>
    <col min="1" max="1" width="34" style="4" customWidth="1"/>
    <col min="2" max="2" width="17.7109375" style="4" customWidth="1"/>
    <col min="3" max="5" width="14.7109375" style="4" customWidth="1"/>
    <col min="6" max="6" width="13" style="4" customWidth="1"/>
    <col min="7" max="7" width="12.85546875" style="4" customWidth="1"/>
    <col min="8" max="8" width="18.42578125" style="4" customWidth="1"/>
    <col min="9" max="16384" width="9.140625" style="4"/>
  </cols>
  <sheetData>
    <row r="1" spans="1:9" s="168" customFormat="1" ht="18.75" x14ac:dyDescent="0.3">
      <c r="A1" s="818" t="s">
        <v>0</v>
      </c>
      <c r="B1" s="818"/>
      <c r="C1" s="818"/>
      <c r="D1" s="818"/>
      <c r="E1" s="818"/>
      <c r="F1" s="818"/>
      <c r="G1" s="818"/>
      <c r="H1" s="818"/>
      <c r="I1" s="818"/>
    </row>
    <row r="3" spans="1:9" s="169" customFormat="1" ht="10.5" x14ac:dyDescent="0.15">
      <c r="A3" s="781" t="s">
        <v>99</v>
      </c>
      <c r="B3" s="781"/>
      <c r="C3" s="781"/>
      <c r="D3" s="781"/>
      <c r="E3" s="781"/>
      <c r="F3" s="781"/>
      <c r="G3" s="781"/>
      <c r="H3" s="781"/>
      <c r="I3" s="781"/>
    </row>
    <row r="4" spans="1:9" s="170" customFormat="1" ht="11.25" x14ac:dyDescent="0.2"/>
    <row r="5" spans="1:9" s="172" customFormat="1" ht="9.75" x14ac:dyDescent="0.2">
      <c r="A5" s="819" t="s">
        <v>100</v>
      </c>
      <c r="B5" s="820"/>
      <c r="C5" s="171" t="s">
        <v>16</v>
      </c>
      <c r="D5" s="805" t="s">
        <v>101</v>
      </c>
      <c r="E5" s="805"/>
      <c r="F5" s="805"/>
      <c r="G5" s="805"/>
      <c r="H5" s="805"/>
      <c r="I5" s="805"/>
    </row>
    <row r="6" spans="1:9" s="170" customFormat="1" ht="51" customHeight="1" x14ac:dyDescent="0.2">
      <c r="A6" s="821" t="s">
        <v>102</v>
      </c>
      <c r="B6" s="822"/>
      <c r="C6" s="173">
        <v>0</v>
      </c>
      <c r="D6" s="823"/>
      <c r="E6" s="824"/>
      <c r="F6" s="824"/>
      <c r="G6" s="824"/>
      <c r="H6" s="824"/>
      <c r="I6" s="825"/>
    </row>
    <row r="7" spans="1:9" s="174" customFormat="1" ht="24.75" customHeight="1" x14ac:dyDescent="0.15">
      <c r="A7" s="821" t="s">
        <v>103</v>
      </c>
      <c r="B7" s="822"/>
      <c r="C7" s="173">
        <v>107970</v>
      </c>
      <c r="D7" s="826" t="s">
        <v>104</v>
      </c>
      <c r="E7" s="827"/>
      <c r="F7" s="827"/>
      <c r="G7" s="827"/>
      <c r="H7" s="827"/>
      <c r="I7" s="828"/>
    </row>
    <row r="8" spans="1:9" s="174" customFormat="1" ht="15" customHeight="1" x14ac:dyDescent="0.15">
      <c r="A8" s="829" t="s">
        <v>105</v>
      </c>
      <c r="B8" s="830"/>
      <c r="C8" s="175">
        <v>0</v>
      </c>
      <c r="D8" s="831"/>
      <c r="E8" s="832"/>
      <c r="F8" s="832"/>
      <c r="G8" s="832"/>
      <c r="H8" s="832"/>
      <c r="I8" s="833"/>
    </row>
    <row r="9" spans="1:9" s="170" customFormat="1" ht="11.25" x14ac:dyDescent="0.2">
      <c r="C9" s="176"/>
    </row>
    <row r="10" spans="1:9" s="177" customFormat="1" ht="11.25" x14ac:dyDescent="0.2">
      <c r="A10" s="781" t="s">
        <v>106</v>
      </c>
      <c r="B10" s="781"/>
      <c r="C10" s="781"/>
      <c r="D10" s="781"/>
      <c r="E10" s="781"/>
      <c r="F10" s="781"/>
      <c r="G10" s="781"/>
      <c r="H10" s="781"/>
      <c r="I10" s="781"/>
    </row>
    <row r="11" spans="1:9" s="170" customFormat="1" ht="12" thickBot="1" x14ac:dyDescent="0.25">
      <c r="C11" s="176"/>
    </row>
    <row r="12" spans="1:9" s="181" customFormat="1" ht="21" x14ac:dyDescent="0.15">
      <c r="A12" s="178" t="s">
        <v>107</v>
      </c>
      <c r="B12" s="178" t="s">
        <v>108</v>
      </c>
      <c r="C12" s="179" t="s">
        <v>109</v>
      </c>
      <c r="D12" s="180" t="s">
        <v>110</v>
      </c>
      <c r="E12" s="179" t="s">
        <v>111</v>
      </c>
      <c r="F12" s="814" t="s">
        <v>112</v>
      </c>
      <c r="G12" s="815"/>
      <c r="H12" s="816" t="s">
        <v>113</v>
      </c>
      <c r="I12" s="817"/>
    </row>
    <row r="13" spans="1:9" s="181" customFormat="1" ht="43.5" customHeight="1" x14ac:dyDescent="0.15">
      <c r="A13" s="182" t="s">
        <v>114</v>
      </c>
      <c r="B13" s="183">
        <v>8102.42</v>
      </c>
      <c r="C13" s="184">
        <v>91911.3</v>
      </c>
      <c r="D13" s="185">
        <v>0</v>
      </c>
      <c r="E13" s="184">
        <f>B13+C13-D13</f>
        <v>100013.72</v>
      </c>
      <c r="F13" s="809">
        <v>100013.72</v>
      </c>
      <c r="G13" s="809"/>
      <c r="H13" s="801"/>
      <c r="I13" s="802"/>
    </row>
    <row r="14" spans="1:9" s="181" customFormat="1" ht="43.5" customHeight="1" x14ac:dyDescent="0.15">
      <c r="A14" s="182" t="s">
        <v>115</v>
      </c>
      <c r="B14" s="183">
        <v>0</v>
      </c>
      <c r="C14" s="184">
        <v>0</v>
      </c>
      <c r="D14" s="185">
        <v>0</v>
      </c>
      <c r="E14" s="184">
        <v>0</v>
      </c>
      <c r="F14" s="810">
        <v>0</v>
      </c>
      <c r="G14" s="811"/>
      <c r="H14" s="801"/>
      <c r="I14" s="812"/>
    </row>
    <row r="15" spans="1:9" s="181" customFormat="1" ht="48" customHeight="1" x14ac:dyDescent="0.15">
      <c r="A15" s="186" t="s">
        <v>116</v>
      </c>
      <c r="B15" s="187">
        <v>207686.36</v>
      </c>
      <c r="C15" s="188">
        <v>369714</v>
      </c>
      <c r="D15" s="189">
        <v>196500</v>
      </c>
      <c r="E15" s="184">
        <f t="shared" ref="E15:E16" si="0">B15+C15-D15</f>
        <v>380900.36</v>
      </c>
      <c r="F15" s="813">
        <v>380900.36</v>
      </c>
      <c r="G15" s="813"/>
      <c r="H15" s="801"/>
      <c r="I15" s="802"/>
    </row>
    <row r="16" spans="1:9" s="181" customFormat="1" ht="35.25" customHeight="1" x14ac:dyDescent="0.15">
      <c r="A16" s="190" t="s">
        <v>117</v>
      </c>
      <c r="B16" s="191">
        <v>69384.27</v>
      </c>
      <c r="C16" s="192">
        <v>0</v>
      </c>
      <c r="D16" s="193">
        <v>0</v>
      </c>
      <c r="E16" s="184">
        <f t="shared" si="0"/>
        <v>69384.27</v>
      </c>
      <c r="F16" s="800">
        <v>69384.27</v>
      </c>
      <c r="G16" s="800"/>
      <c r="H16" s="801"/>
      <c r="I16" s="802"/>
    </row>
    <row r="17" spans="1:9" s="181" customFormat="1" ht="51" customHeight="1" x14ac:dyDescent="0.15">
      <c r="A17" s="194" t="s">
        <v>118</v>
      </c>
      <c r="B17" s="195">
        <v>8057.38</v>
      </c>
      <c r="C17" s="196">
        <v>29550</v>
      </c>
      <c r="D17" s="197">
        <v>20992</v>
      </c>
      <c r="E17" s="184">
        <v>16615.38</v>
      </c>
      <c r="F17" s="803">
        <v>15804.21</v>
      </c>
      <c r="G17" s="803"/>
      <c r="H17" s="801" t="s">
        <v>119</v>
      </c>
      <c r="I17" s="802"/>
    </row>
    <row r="18" spans="1:9" s="181" customFormat="1" thickBot="1" x14ac:dyDescent="0.2">
      <c r="A18" s="198" t="s">
        <v>120</v>
      </c>
      <c r="B18" s="199">
        <f>SUM(B13:B17)</f>
        <v>293230.43</v>
      </c>
      <c r="C18" s="200">
        <f>SUM(C13:C17)</f>
        <v>491175.3</v>
      </c>
      <c r="D18" s="201">
        <f>SUM(D13:D17)</f>
        <v>217492</v>
      </c>
      <c r="E18" s="200">
        <f>SUM(E13:E17)</f>
        <v>566913.73</v>
      </c>
      <c r="F18" s="804">
        <f>SUM(F13:G17)</f>
        <v>566102.55999999994</v>
      </c>
      <c r="G18" s="804"/>
      <c r="H18" s="202"/>
      <c r="I18" s="203"/>
    </row>
    <row r="19" spans="1:9" s="204" customFormat="1" ht="11.25" x14ac:dyDescent="0.2">
      <c r="C19" s="205"/>
    </row>
    <row r="20" spans="1:9" s="177" customFormat="1" ht="11.25" x14ac:dyDescent="0.2">
      <c r="A20" s="781" t="s">
        <v>121</v>
      </c>
      <c r="B20" s="781"/>
      <c r="C20" s="781"/>
      <c r="D20" s="781"/>
      <c r="E20" s="781"/>
      <c r="F20" s="781"/>
      <c r="G20" s="781"/>
      <c r="H20" s="781"/>
      <c r="I20" s="781"/>
    </row>
    <row r="21" spans="1:9" s="170" customFormat="1" ht="11.25" x14ac:dyDescent="0.2">
      <c r="C21" s="176"/>
    </row>
    <row r="22" spans="1:9" s="170" customFormat="1" ht="11.25" x14ac:dyDescent="0.2">
      <c r="A22" s="171" t="s">
        <v>122</v>
      </c>
      <c r="B22" s="171" t="s">
        <v>16</v>
      </c>
      <c r="C22" s="206" t="s">
        <v>123</v>
      </c>
      <c r="D22" s="805" t="s">
        <v>124</v>
      </c>
      <c r="E22" s="805"/>
      <c r="F22" s="805"/>
      <c r="G22" s="805"/>
      <c r="H22" s="805"/>
      <c r="I22" s="805"/>
    </row>
    <row r="23" spans="1:9" s="170" customFormat="1" ht="11.25" customHeight="1" x14ac:dyDescent="0.2">
      <c r="A23" s="207"/>
      <c r="B23" s="208"/>
      <c r="C23" s="209"/>
      <c r="D23" s="797"/>
      <c r="E23" s="798"/>
      <c r="F23" s="798"/>
      <c r="G23" s="798"/>
      <c r="H23" s="798"/>
      <c r="I23" s="799"/>
    </row>
    <row r="24" spans="1:9" s="174" customFormat="1" ht="11.25" x14ac:dyDescent="0.2">
      <c r="A24" s="210" t="s">
        <v>120</v>
      </c>
      <c r="B24" s="211">
        <f>SUM(B23:B23)</f>
        <v>0</v>
      </c>
      <c r="C24" s="806"/>
      <c r="D24" s="806"/>
      <c r="E24" s="806"/>
      <c r="F24" s="806"/>
      <c r="G24" s="806"/>
      <c r="H24" s="806"/>
      <c r="I24" s="807"/>
    </row>
    <row r="25" spans="1:9" s="204" customFormat="1" ht="11.25" x14ac:dyDescent="0.2">
      <c r="A25" s="204" t="s">
        <v>125</v>
      </c>
      <c r="C25" s="205"/>
    </row>
    <row r="26" spans="1:9" s="204" customFormat="1" ht="11.25" x14ac:dyDescent="0.2">
      <c r="C26" s="205"/>
    </row>
    <row r="27" spans="1:9" s="177" customFormat="1" ht="11.25" x14ac:dyDescent="0.2">
      <c r="A27" s="781" t="s">
        <v>126</v>
      </c>
      <c r="B27" s="781"/>
      <c r="C27" s="781"/>
      <c r="D27" s="781"/>
      <c r="E27" s="781"/>
      <c r="F27" s="781"/>
      <c r="G27" s="781"/>
      <c r="H27" s="781"/>
      <c r="I27" s="781"/>
    </row>
    <row r="28" spans="1:9" s="170" customFormat="1" ht="11.25" x14ac:dyDescent="0.2">
      <c r="C28" s="176"/>
    </row>
    <row r="29" spans="1:9" s="170" customFormat="1" ht="11.25" x14ac:dyDescent="0.2">
      <c r="A29" s="171" t="s">
        <v>122</v>
      </c>
      <c r="B29" s="171" t="s">
        <v>16</v>
      </c>
      <c r="C29" s="206" t="s">
        <v>123</v>
      </c>
      <c r="D29" s="805" t="s">
        <v>127</v>
      </c>
      <c r="E29" s="805"/>
      <c r="F29" s="805"/>
      <c r="G29" s="805"/>
      <c r="H29" s="805"/>
      <c r="I29" s="808"/>
    </row>
    <row r="30" spans="1:9" s="170" customFormat="1" ht="11.25" customHeight="1" x14ac:dyDescent="0.2">
      <c r="A30" s="207"/>
      <c r="B30" s="208"/>
      <c r="C30" s="209"/>
      <c r="D30" s="797"/>
      <c r="E30" s="798"/>
      <c r="F30" s="798"/>
      <c r="G30" s="798"/>
      <c r="H30" s="798"/>
      <c r="I30" s="799"/>
    </row>
    <row r="31" spans="1:9" s="174" customFormat="1" ht="10.5" x14ac:dyDescent="0.15">
      <c r="A31" s="210" t="s">
        <v>120</v>
      </c>
      <c r="B31" s="211">
        <f>SUM(B30:B30)</f>
        <v>0</v>
      </c>
      <c r="C31" s="784"/>
      <c r="D31" s="784"/>
      <c r="E31" s="784"/>
      <c r="F31" s="784"/>
      <c r="G31" s="784"/>
      <c r="H31" s="784"/>
      <c r="I31" s="784"/>
    </row>
    <row r="32" spans="1:9" s="170" customFormat="1" ht="11.25" x14ac:dyDescent="0.2">
      <c r="A32" s="170" t="s">
        <v>128</v>
      </c>
      <c r="C32" s="176"/>
    </row>
    <row r="33" spans="1:9" s="170" customFormat="1" ht="11.25" x14ac:dyDescent="0.2">
      <c r="C33" s="176"/>
    </row>
    <row r="34" spans="1:9" s="177" customFormat="1" ht="11.25" x14ac:dyDescent="0.2">
      <c r="A34" s="781" t="s">
        <v>129</v>
      </c>
      <c r="B34" s="781"/>
      <c r="C34" s="781"/>
      <c r="D34" s="781"/>
      <c r="E34" s="781"/>
      <c r="F34" s="781"/>
      <c r="G34" s="781"/>
      <c r="H34" s="781"/>
      <c r="I34" s="781"/>
    </row>
    <row r="35" spans="1:9" s="170" customFormat="1" ht="11.25" x14ac:dyDescent="0.2">
      <c r="C35" s="212"/>
    </row>
    <row r="36" spans="1:9" s="170" customFormat="1" ht="11.25" x14ac:dyDescent="0.2">
      <c r="A36" s="171" t="s">
        <v>130</v>
      </c>
      <c r="B36" s="206" t="s">
        <v>131</v>
      </c>
      <c r="C36" s="785" t="s">
        <v>132</v>
      </c>
      <c r="D36" s="785"/>
      <c r="E36" s="785"/>
      <c r="F36" s="785"/>
      <c r="G36" s="785"/>
      <c r="H36" s="785"/>
      <c r="I36" s="786"/>
    </row>
    <row r="37" spans="1:9" s="170" customFormat="1" ht="11.25" x14ac:dyDescent="0.2">
      <c r="A37" s="213"/>
      <c r="B37" s="213"/>
      <c r="C37" s="787"/>
      <c r="D37" s="787"/>
      <c r="E37" s="787"/>
      <c r="F37" s="787"/>
      <c r="G37" s="787"/>
      <c r="H37" s="787"/>
      <c r="I37" s="787"/>
    </row>
    <row r="38" spans="1:9" s="174" customFormat="1" ht="10.5" x14ac:dyDescent="0.15">
      <c r="A38" s="214">
        <f>SUM(A37:A37)</f>
        <v>0</v>
      </c>
      <c r="B38" s="214">
        <f>SUM(B37:B37)</f>
        <v>0</v>
      </c>
      <c r="C38" s="788" t="s">
        <v>120</v>
      </c>
      <c r="D38" s="789"/>
      <c r="E38" s="789"/>
      <c r="F38" s="789"/>
      <c r="G38" s="789"/>
      <c r="H38" s="789"/>
      <c r="I38" s="790"/>
    </row>
    <row r="39" spans="1:9" s="170" customFormat="1" ht="11.25" x14ac:dyDescent="0.2">
      <c r="A39" s="170" t="s">
        <v>133</v>
      </c>
      <c r="C39" s="212"/>
    </row>
    <row r="40" spans="1:9" s="170" customFormat="1" ht="11.25" x14ac:dyDescent="0.2">
      <c r="C40" s="212"/>
    </row>
    <row r="41" spans="1:9" s="170" customFormat="1" ht="11.25" x14ac:dyDescent="0.2">
      <c r="A41" s="781" t="s">
        <v>134</v>
      </c>
      <c r="B41" s="766"/>
      <c r="C41" s="766"/>
      <c r="D41" s="766"/>
      <c r="E41" s="766"/>
      <c r="F41" s="766"/>
      <c r="G41" s="766"/>
      <c r="H41" s="766"/>
      <c r="I41" s="766"/>
    </row>
    <row r="42" spans="1:9" s="170" customFormat="1" ht="11.25" x14ac:dyDescent="0.2">
      <c r="C42" s="212"/>
    </row>
    <row r="43" spans="1:9" s="216" customFormat="1" ht="31.5" x14ac:dyDescent="0.25">
      <c r="A43" s="767" t="s">
        <v>135</v>
      </c>
      <c r="B43" s="768"/>
      <c r="C43" s="215" t="s">
        <v>136</v>
      </c>
      <c r="D43" s="215" t="s">
        <v>137</v>
      </c>
      <c r="E43" s="215" t="s">
        <v>138</v>
      </c>
      <c r="F43" s="215" t="s">
        <v>139</v>
      </c>
      <c r="G43" s="215" t="s">
        <v>140</v>
      </c>
    </row>
    <row r="44" spans="1:9" s="170" customFormat="1" ht="12" x14ac:dyDescent="0.2">
      <c r="A44" s="791" t="s">
        <v>141</v>
      </c>
      <c r="B44" s="792"/>
      <c r="C44" s="217" t="s">
        <v>142</v>
      </c>
      <c r="D44" s="218"/>
      <c r="E44" s="219">
        <v>13200</v>
      </c>
      <c r="F44" s="220">
        <v>43281</v>
      </c>
      <c r="G44" s="221">
        <v>43281</v>
      </c>
    </row>
    <row r="45" spans="1:9" s="170" customFormat="1" ht="15" x14ac:dyDescent="0.2">
      <c r="A45" s="1131" t="s">
        <v>143</v>
      </c>
      <c r="B45" s="1132"/>
      <c r="C45" s="222" t="s">
        <v>144</v>
      </c>
      <c r="D45" s="223">
        <v>13190</v>
      </c>
      <c r="E45" s="224"/>
      <c r="F45" s="225"/>
      <c r="G45" s="226"/>
    </row>
    <row r="46" spans="1:9" s="170" customFormat="1" ht="15" x14ac:dyDescent="0.2">
      <c r="A46" s="1197" t="s">
        <v>145</v>
      </c>
      <c r="B46" s="1135"/>
      <c r="C46" s="227" t="s">
        <v>146</v>
      </c>
      <c r="D46" s="228">
        <v>10</v>
      </c>
      <c r="E46" s="229"/>
      <c r="F46" s="230"/>
      <c r="G46" s="231"/>
    </row>
    <row r="47" spans="1:9" s="170" customFormat="1" ht="15" x14ac:dyDescent="0.2">
      <c r="A47" s="791" t="s">
        <v>147</v>
      </c>
      <c r="B47" s="1198"/>
      <c r="C47" s="222" t="s">
        <v>148</v>
      </c>
      <c r="D47" s="223"/>
      <c r="E47" s="224">
        <v>1050</v>
      </c>
      <c r="F47" s="225">
        <v>43281</v>
      </c>
      <c r="G47" s="226">
        <v>43281</v>
      </c>
    </row>
    <row r="48" spans="1:9" s="170" customFormat="1" ht="15" x14ac:dyDescent="0.2">
      <c r="A48" s="1197" t="s">
        <v>149</v>
      </c>
      <c r="B48" s="1135"/>
      <c r="C48" s="227" t="s">
        <v>150</v>
      </c>
      <c r="D48" s="228">
        <v>1050</v>
      </c>
      <c r="E48" s="229"/>
      <c r="F48" s="230"/>
      <c r="G48" s="231"/>
    </row>
    <row r="49" spans="1:9" s="170" customFormat="1" ht="12" x14ac:dyDescent="0.2">
      <c r="A49" s="793"/>
      <c r="B49" s="794"/>
      <c r="C49" s="227"/>
      <c r="D49" s="232"/>
      <c r="E49" s="229"/>
      <c r="F49" s="230"/>
      <c r="G49" s="231"/>
    </row>
    <row r="50" spans="1:9" s="170" customFormat="1" ht="11.25" x14ac:dyDescent="0.2">
      <c r="A50" s="773" t="s">
        <v>151</v>
      </c>
      <c r="B50" s="774"/>
      <c r="C50" s="233"/>
      <c r="D50" s="234">
        <f>SUM(D44:D49)</f>
        <v>14250</v>
      </c>
      <c r="E50" s="234">
        <f>SUM(E44:E49)</f>
        <v>14250</v>
      </c>
      <c r="F50" s="795"/>
      <c r="G50" s="796"/>
    </row>
    <row r="51" spans="1:9" s="170" customFormat="1" ht="15" x14ac:dyDescent="0.25">
      <c r="A51" s="782" t="s">
        <v>152</v>
      </c>
      <c r="B51" s="783"/>
      <c r="C51" s="212"/>
    </row>
    <row r="52" spans="1:9" s="170" customFormat="1" ht="11.25" x14ac:dyDescent="0.2">
      <c r="A52" s="235"/>
      <c r="C52" s="212"/>
    </row>
    <row r="53" spans="1:9" s="170" customFormat="1" ht="11.25" x14ac:dyDescent="0.2">
      <c r="A53" s="766" t="s">
        <v>153</v>
      </c>
      <c r="B53" s="766"/>
      <c r="C53" s="766"/>
      <c r="D53" s="766"/>
      <c r="E53" s="766"/>
      <c r="F53" s="766"/>
      <c r="G53" s="766"/>
      <c r="H53" s="766"/>
      <c r="I53" s="766"/>
    </row>
    <row r="54" spans="1:9" s="170" customFormat="1" ht="11.25" x14ac:dyDescent="0.2">
      <c r="C54" s="212"/>
    </row>
    <row r="55" spans="1:9" s="216" customFormat="1" ht="31.5" x14ac:dyDescent="0.25">
      <c r="A55" s="767" t="s">
        <v>135</v>
      </c>
      <c r="B55" s="768"/>
      <c r="C55" s="215" t="s">
        <v>136</v>
      </c>
      <c r="D55" s="215" t="s">
        <v>137</v>
      </c>
      <c r="E55" s="215" t="s">
        <v>138</v>
      </c>
      <c r="F55" s="215" t="s">
        <v>139</v>
      </c>
      <c r="G55" s="215" t="s">
        <v>140</v>
      </c>
    </row>
    <row r="56" spans="1:9" s="170" customFormat="1" ht="11.25" customHeight="1" x14ac:dyDescent="0.2">
      <c r="A56" s="1189" t="s">
        <v>154</v>
      </c>
      <c r="B56" s="770"/>
      <c r="C56" s="236" t="s">
        <v>155</v>
      </c>
      <c r="D56" s="237">
        <v>45750</v>
      </c>
      <c r="E56" s="237"/>
      <c r="F56" s="238">
        <v>43281</v>
      </c>
      <c r="G56" s="238">
        <v>43281</v>
      </c>
    </row>
    <row r="57" spans="1:9" s="170" customFormat="1" ht="11.25" customHeight="1" x14ac:dyDescent="0.2">
      <c r="A57" s="1194" t="s">
        <v>156</v>
      </c>
      <c r="B57" s="1195"/>
      <c r="C57" s="239" t="s">
        <v>157</v>
      </c>
      <c r="D57" s="240">
        <v>5550</v>
      </c>
      <c r="E57" s="240"/>
      <c r="F57" s="239"/>
      <c r="G57" s="239"/>
    </row>
    <row r="58" spans="1:9" s="170" customFormat="1" ht="11.25" customHeight="1" x14ac:dyDescent="0.2">
      <c r="A58" s="1196"/>
      <c r="B58" s="1195"/>
      <c r="C58" s="239" t="s">
        <v>158</v>
      </c>
      <c r="D58" s="240"/>
      <c r="E58" s="240">
        <v>8100</v>
      </c>
      <c r="F58" s="239"/>
      <c r="G58" s="239"/>
    </row>
    <row r="59" spans="1:9" s="170" customFormat="1" ht="11.25" customHeight="1" x14ac:dyDescent="0.2">
      <c r="A59" s="1196"/>
      <c r="B59" s="1195"/>
      <c r="C59" s="239" t="s">
        <v>159</v>
      </c>
      <c r="D59" s="240"/>
      <c r="E59" s="240">
        <v>12800</v>
      </c>
      <c r="F59" s="239"/>
      <c r="G59" s="239"/>
    </row>
    <row r="60" spans="1:9" s="170" customFormat="1" ht="11.25" customHeight="1" x14ac:dyDescent="0.2">
      <c r="A60" s="1196"/>
      <c r="B60" s="1195"/>
      <c r="C60" s="239" t="s">
        <v>160</v>
      </c>
      <c r="D60" s="240"/>
      <c r="E60" s="240">
        <v>100</v>
      </c>
      <c r="F60" s="239"/>
      <c r="G60" s="239"/>
    </row>
    <row r="61" spans="1:9" s="170" customFormat="1" ht="11.25" customHeight="1" x14ac:dyDescent="0.2">
      <c r="A61" s="1192"/>
      <c r="B61" s="1193"/>
      <c r="C61" s="241" t="s">
        <v>161</v>
      </c>
      <c r="D61" s="242"/>
      <c r="E61" s="242">
        <v>30300</v>
      </c>
      <c r="F61" s="241"/>
      <c r="G61" s="241"/>
    </row>
    <row r="62" spans="1:9" s="170" customFormat="1" ht="11.25" customHeight="1" x14ac:dyDescent="0.2">
      <c r="A62" s="771"/>
      <c r="B62" s="772"/>
      <c r="C62" s="243"/>
      <c r="D62" s="244"/>
      <c r="E62" s="244"/>
      <c r="F62" s="245"/>
      <c r="G62" s="245"/>
    </row>
    <row r="63" spans="1:9" s="170" customFormat="1" ht="11.25" x14ac:dyDescent="0.2">
      <c r="A63" s="773" t="s">
        <v>162</v>
      </c>
      <c r="B63" s="774"/>
      <c r="C63" s="233"/>
      <c r="D63" s="234">
        <f>SUM(D56:D62)</f>
        <v>51300</v>
      </c>
      <c r="E63" s="234">
        <f>SUM(E56:E62)</f>
        <v>51300</v>
      </c>
      <c r="F63" s="775"/>
      <c r="G63" s="776"/>
    </row>
    <row r="64" spans="1:9" s="170" customFormat="1" ht="11.25" x14ac:dyDescent="0.2">
      <c r="A64" s="170" t="s">
        <v>163</v>
      </c>
      <c r="C64" s="212"/>
    </row>
    <row r="65" spans="1:9" s="170" customFormat="1" ht="11.25" x14ac:dyDescent="0.2">
      <c r="C65" s="212"/>
    </row>
    <row r="66" spans="1:9" s="177" customFormat="1" ht="11.25" x14ac:dyDescent="0.2">
      <c r="A66" s="777" t="s">
        <v>238</v>
      </c>
      <c r="B66" s="777"/>
      <c r="C66" s="777"/>
      <c r="D66" s="777"/>
      <c r="E66" s="777"/>
      <c r="F66" s="777"/>
      <c r="G66" s="777"/>
      <c r="H66" s="777"/>
      <c r="I66" s="777"/>
    </row>
    <row r="67" spans="1:9" s="170" customFormat="1" ht="11.25" x14ac:dyDescent="0.2">
      <c r="A67" s="170" t="s">
        <v>164</v>
      </c>
    </row>
    <row r="68" spans="1:9" s="170" customFormat="1" ht="11.25" x14ac:dyDescent="0.2">
      <c r="A68" s="778"/>
      <c r="B68" s="779"/>
      <c r="C68" s="779"/>
      <c r="D68" s="779"/>
      <c r="E68" s="779"/>
      <c r="F68" s="779"/>
      <c r="G68" s="779"/>
      <c r="H68" s="779"/>
      <c r="I68" s="780"/>
    </row>
    <row r="69" spans="1:9" s="170" customFormat="1" ht="11.25" x14ac:dyDescent="0.2"/>
    <row r="70" spans="1:9" s="169" customFormat="1" ht="10.5" x14ac:dyDescent="0.15">
      <c r="A70" s="781" t="s">
        <v>165</v>
      </c>
      <c r="B70" s="781"/>
      <c r="C70" s="781"/>
      <c r="D70" s="781"/>
      <c r="E70" s="781"/>
      <c r="F70" s="781"/>
      <c r="G70" s="781"/>
      <c r="H70" s="781"/>
      <c r="I70" s="781"/>
    </row>
    <row r="71" spans="1:9" s="170" customFormat="1" ht="11.25" x14ac:dyDescent="0.2"/>
    <row r="72" spans="1:9" s="170" customFormat="1" ht="28.5" customHeight="1" x14ac:dyDescent="0.2">
      <c r="A72" s="763" t="s">
        <v>166</v>
      </c>
      <c r="B72" s="764"/>
      <c r="C72" s="764"/>
      <c r="D72" s="764"/>
      <c r="E72" s="764"/>
      <c r="F72" s="764"/>
      <c r="G72" s="764"/>
      <c r="H72" s="764"/>
      <c r="I72" s="765"/>
    </row>
    <row r="73" spans="1:9" s="170" customFormat="1" ht="39" customHeight="1" x14ac:dyDescent="0.2">
      <c r="A73" s="763"/>
      <c r="B73" s="764"/>
      <c r="C73" s="764"/>
      <c r="D73" s="764"/>
      <c r="E73" s="764"/>
      <c r="F73" s="764"/>
      <c r="G73" s="764"/>
      <c r="H73" s="764"/>
      <c r="I73" s="765"/>
    </row>
    <row r="74" spans="1:9" s="170" customFormat="1" ht="18.75" customHeight="1" x14ac:dyDescent="0.2">
      <c r="A74" s="884" t="s">
        <v>167</v>
      </c>
      <c r="B74" s="1190"/>
      <c r="C74" s="1190"/>
      <c r="D74" s="1190"/>
      <c r="E74" s="1190"/>
      <c r="F74" s="1190"/>
      <c r="G74" s="1190"/>
      <c r="H74" s="1190"/>
      <c r="I74" s="1191"/>
    </row>
    <row r="75" spans="1:9" x14ac:dyDescent="0.2">
      <c r="A75" s="4" t="s">
        <v>168</v>
      </c>
      <c r="C75" s="4" t="s">
        <v>169</v>
      </c>
    </row>
    <row r="76" spans="1:9" ht="14.25" customHeight="1" x14ac:dyDescent="0.2">
      <c r="A76" s="246"/>
    </row>
    <row r="77" spans="1:9" ht="13.5" customHeight="1" x14ac:dyDescent="0.2">
      <c r="A77" s="246"/>
    </row>
  </sheetData>
  <mergeCells count="64">
    <mergeCell ref="F12:G12"/>
    <mergeCell ref="H12:I12"/>
    <mergeCell ref="A1:I1"/>
    <mergeCell ref="A3:I3"/>
    <mergeCell ref="A5:B5"/>
    <mergeCell ref="D5:I5"/>
    <mergeCell ref="A6:B6"/>
    <mergeCell ref="D6:I6"/>
    <mergeCell ref="A7:B7"/>
    <mergeCell ref="D7:I7"/>
    <mergeCell ref="A8:B8"/>
    <mergeCell ref="D8:I8"/>
    <mergeCell ref="A10:I10"/>
    <mergeCell ref="F13:G13"/>
    <mergeCell ref="H13:I13"/>
    <mergeCell ref="F14:G14"/>
    <mergeCell ref="H14:I14"/>
    <mergeCell ref="F15:G15"/>
    <mergeCell ref="H15:I15"/>
    <mergeCell ref="D30:I30"/>
    <mergeCell ref="F16:G16"/>
    <mergeCell ref="H16:I16"/>
    <mergeCell ref="F17:G17"/>
    <mergeCell ref="H17:I17"/>
    <mergeCell ref="F18:G18"/>
    <mergeCell ref="A20:I20"/>
    <mergeCell ref="D22:I22"/>
    <mergeCell ref="D23:I23"/>
    <mergeCell ref="C24:I24"/>
    <mergeCell ref="A27:I27"/>
    <mergeCell ref="D29:I29"/>
    <mergeCell ref="A48:B48"/>
    <mergeCell ref="C31:I31"/>
    <mergeCell ref="A34:I34"/>
    <mergeCell ref="C36:I36"/>
    <mergeCell ref="C37:I37"/>
    <mergeCell ref="C38:I38"/>
    <mergeCell ref="A41:I41"/>
    <mergeCell ref="A43:B43"/>
    <mergeCell ref="A44:B44"/>
    <mergeCell ref="A45:B45"/>
    <mergeCell ref="A46:B46"/>
    <mergeCell ref="A47:B47"/>
    <mergeCell ref="A61:B61"/>
    <mergeCell ref="A49:B49"/>
    <mergeCell ref="A50:B50"/>
    <mergeCell ref="F50:G50"/>
    <mergeCell ref="A51:B51"/>
    <mergeCell ref="A53:I53"/>
    <mergeCell ref="A55:B55"/>
    <mergeCell ref="A56:B56"/>
    <mergeCell ref="A57:B57"/>
    <mergeCell ref="A58:B58"/>
    <mergeCell ref="A59:B59"/>
    <mergeCell ref="A60:B60"/>
    <mergeCell ref="A72:I72"/>
    <mergeCell ref="A73:I73"/>
    <mergeCell ref="A74:I74"/>
    <mergeCell ref="A62:B62"/>
    <mergeCell ref="A63:B63"/>
    <mergeCell ref="F63:G63"/>
    <mergeCell ref="A66:I66"/>
    <mergeCell ref="A68:I68"/>
    <mergeCell ref="A70:I70"/>
  </mergeCells>
  <pageMargins left="0.70866141732283472" right="0.70866141732283472" top="0.78740157480314965" bottom="0.78740157480314965" header="0.31496062992125984" footer="0.31496062992125984"/>
  <pageSetup paperSize="9" scale="58" firstPageNumber="130" fitToHeight="2" orientation="portrait" useFirstPageNumber="1" r:id="rId1"/>
  <headerFooter>
    <oddFooter>&amp;C&amp;P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6"/>
  <sheetViews>
    <sheetView workbookViewId="0">
      <selection activeCell="C51" sqref="C51"/>
    </sheetView>
  </sheetViews>
  <sheetFormatPr defaultColWidth="3.7109375" defaultRowHeight="15" x14ac:dyDescent="0.25"/>
  <cols>
    <col min="1" max="1" width="3.140625" style="2" customWidth="1"/>
    <col min="2" max="2" width="3.7109375" style="3" customWidth="1"/>
    <col min="3" max="3" width="21" style="3" customWidth="1"/>
    <col min="4" max="4" width="4.85546875" style="3" customWidth="1"/>
    <col min="5" max="7" width="6.28515625" style="3" customWidth="1"/>
    <col min="8" max="8" width="5" style="3" customWidth="1"/>
    <col min="9" max="12" width="6.28515625" style="3" customWidth="1"/>
    <col min="13" max="13" width="5" style="3" customWidth="1"/>
    <col min="14" max="17" width="6.28515625" style="3" customWidth="1"/>
    <col min="18" max="18" width="5" style="3" customWidth="1"/>
    <col min="19" max="22" width="6.28515625" style="3" customWidth="1"/>
    <col min="23" max="23" width="5" style="3" customWidth="1"/>
    <col min="24" max="24" width="6.28515625" style="3" customWidth="1"/>
    <col min="25" max="28" width="3.7109375" style="3"/>
    <col min="29" max="29" width="4.42578125" style="3" customWidth="1"/>
    <col min="30" max="16384" width="3.7109375" style="3"/>
  </cols>
  <sheetData>
    <row r="1" spans="1:33" s="6" customFormat="1" ht="15.75" x14ac:dyDescent="0.25">
      <c r="A1" s="759" t="s">
        <v>80</v>
      </c>
      <c r="B1" s="759"/>
      <c r="C1" s="759"/>
      <c r="D1" s="759"/>
      <c r="E1" s="759"/>
      <c r="F1" s="759"/>
      <c r="G1" s="759"/>
      <c r="H1" s="759"/>
      <c r="I1" s="759"/>
      <c r="J1" s="759"/>
      <c r="K1" s="759"/>
      <c r="L1" s="759"/>
      <c r="M1" s="759"/>
      <c r="N1" s="759"/>
      <c r="O1" s="759"/>
      <c r="P1" s="759"/>
      <c r="Q1" s="759"/>
      <c r="R1" s="759"/>
      <c r="S1" s="759"/>
      <c r="T1" s="759"/>
      <c r="U1" s="759"/>
      <c r="V1" s="759"/>
      <c r="W1" s="759"/>
      <c r="X1" s="759"/>
    </row>
    <row r="3" spans="1:33" s="7" customFormat="1" ht="9.75" customHeight="1" x14ac:dyDescent="0.2">
      <c r="A3" s="752" t="s">
        <v>1</v>
      </c>
      <c r="B3" s="761" t="s">
        <v>2</v>
      </c>
      <c r="C3" s="760"/>
      <c r="D3" s="761" t="s">
        <v>3</v>
      </c>
      <c r="E3" s="762" t="s">
        <v>4</v>
      </c>
      <c r="F3" s="762"/>
      <c r="G3" s="762"/>
      <c r="H3" s="762"/>
      <c r="I3" s="762"/>
      <c r="J3" s="762" t="s">
        <v>5</v>
      </c>
      <c r="K3" s="762"/>
      <c r="L3" s="762"/>
      <c r="M3" s="762"/>
      <c r="N3" s="762"/>
      <c r="O3" s="762" t="s">
        <v>6</v>
      </c>
      <c r="P3" s="762"/>
      <c r="Q3" s="762"/>
      <c r="R3" s="762"/>
      <c r="S3" s="762"/>
      <c r="T3" s="762" t="s">
        <v>7</v>
      </c>
      <c r="U3" s="762"/>
      <c r="V3" s="762"/>
      <c r="W3" s="762"/>
      <c r="X3" s="762"/>
    </row>
    <row r="4" spans="1:33" s="8" customFormat="1" ht="9.75" customHeight="1" x14ac:dyDescent="0.2">
      <c r="A4" s="760"/>
      <c r="B4" s="760"/>
      <c r="C4" s="760"/>
      <c r="D4" s="761"/>
      <c r="E4" s="754" t="s">
        <v>8</v>
      </c>
      <c r="F4" s="755" t="s">
        <v>9</v>
      </c>
      <c r="G4" s="755"/>
      <c r="H4" s="755"/>
      <c r="I4" s="752" t="s">
        <v>10</v>
      </c>
      <c r="J4" s="754" t="s">
        <v>8</v>
      </c>
      <c r="K4" s="755" t="s">
        <v>9</v>
      </c>
      <c r="L4" s="755"/>
      <c r="M4" s="755"/>
      <c r="N4" s="752" t="s">
        <v>10</v>
      </c>
      <c r="O4" s="754" t="s">
        <v>8</v>
      </c>
      <c r="P4" s="755" t="s">
        <v>9</v>
      </c>
      <c r="Q4" s="755"/>
      <c r="R4" s="755"/>
      <c r="S4" s="752" t="s">
        <v>10</v>
      </c>
      <c r="T4" s="754" t="s">
        <v>8</v>
      </c>
      <c r="U4" s="755" t="s">
        <v>9</v>
      </c>
      <c r="V4" s="755"/>
      <c r="W4" s="755"/>
      <c r="X4" s="752" t="s">
        <v>10</v>
      </c>
    </row>
    <row r="5" spans="1:33" s="10" customFormat="1" ht="9.75" customHeight="1" x14ac:dyDescent="0.2">
      <c r="A5" s="760"/>
      <c r="B5" s="760"/>
      <c r="C5" s="760"/>
      <c r="D5" s="761"/>
      <c r="E5" s="754"/>
      <c r="F5" s="9" t="s">
        <v>11</v>
      </c>
      <c r="G5" s="9" t="s">
        <v>12</v>
      </c>
      <c r="H5" s="9" t="s">
        <v>13</v>
      </c>
      <c r="I5" s="752"/>
      <c r="J5" s="754"/>
      <c r="K5" s="9" t="s">
        <v>11</v>
      </c>
      <c r="L5" s="9" t="s">
        <v>12</v>
      </c>
      <c r="M5" s="9" t="s">
        <v>13</v>
      </c>
      <c r="N5" s="752"/>
      <c r="O5" s="754"/>
      <c r="P5" s="9" t="s">
        <v>11</v>
      </c>
      <c r="Q5" s="9" t="s">
        <v>12</v>
      </c>
      <c r="R5" s="9" t="s">
        <v>13</v>
      </c>
      <c r="S5" s="752"/>
      <c r="T5" s="754"/>
      <c r="U5" s="9" t="s">
        <v>11</v>
      </c>
      <c r="V5" s="9" t="s">
        <v>12</v>
      </c>
      <c r="W5" s="9" t="s">
        <v>13</v>
      </c>
      <c r="X5" s="752"/>
    </row>
    <row r="6" spans="1:33" s="7" customFormat="1" ht="9.75" customHeight="1" x14ac:dyDescent="0.2">
      <c r="A6" s="11" t="s">
        <v>14</v>
      </c>
      <c r="B6" s="753" t="s">
        <v>15</v>
      </c>
      <c r="C6" s="753"/>
      <c r="D6" s="12" t="s">
        <v>16</v>
      </c>
      <c r="E6" s="13">
        <f>SUM(E7:E9)</f>
        <v>8898200</v>
      </c>
      <c r="F6" s="13">
        <f>SUM(F7:F9)</f>
        <v>9428200</v>
      </c>
      <c r="G6" s="13">
        <f>SUM(G7:G9)</f>
        <v>4826335</v>
      </c>
      <c r="H6" s="14">
        <f t="shared" ref="H6:H29" si="0">G6/F6*100</f>
        <v>51.190418107379983</v>
      </c>
      <c r="I6" s="13">
        <f>SUM(I7:I9)</f>
        <v>4985045</v>
      </c>
      <c r="J6" s="13">
        <f>SUM(J7:J9)</f>
        <v>8898200</v>
      </c>
      <c r="K6" s="13">
        <f t="shared" ref="K6:X6" si="1">SUM(K7:K9)</f>
        <v>9428200</v>
      </c>
      <c r="L6" s="13">
        <f t="shared" si="1"/>
        <v>4826335</v>
      </c>
      <c r="M6" s="14">
        <f t="shared" ref="M6:M29" si="2">L6/K6*100</f>
        <v>51.190418107379983</v>
      </c>
      <c r="N6" s="13">
        <f t="shared" si="1"/>
        <v>4985045</v>
      </c>
      <c r="O6" s="13">
        <f t="shared" si="1"/>
        <v>0</v>
      </c>
      <c r="P6" s="13">
        <f t="shared" si="1"/>
        <v>0</v>
      </c>
      <c r="Q6" s="13">
        <f t="shared" si="1"/>
        <v>0</v>
      </c>
      <c r="R6" s="14">
        <v>0</v>
      </c>
      <c r="S6" s="13">
        <f t="shared" si="1"/>
        <v>0</v>
      </c>
      <c r="T6" s="13">
        <f t="shared" si="1"/>
        <v>310000</v>
      </c>
      <c r="U6" s="13">
        <f t="shared" si="1"/>
        <v>449000</v>
      </c>
      <c r="V6" s="13">
        <f t="shared" si="1"/>
        <v>224826</v>
      </c>
      <c r="W6" s="14">
        <f t="shared" ref="W6:W21" si="3">V6/U6*100</f>
        <v>50.072605790645873</v>
      </c>
      <c r="X6" s="13">
        <f t="shared" si="1"/>
        <v>166680</v>
      </c>
    </row>
    <row r="7" spans="1:33" s="7" customFormat="1" ht="9.75" x14ac:dyDescent="0.2">
      <c r="A7" s="15" t="s">
        <v>17</v>
      </c>
      <c r="B7" s="750" t="s">
        <v>18</v>
      </c>
      <c r="C7" s="750"/>
      <c r="D7" s="16" t="s">
        <v>16</v>
      </c>
      <c r="E7" s="17">
        <v>5400000</v>
      </c>
      <c r="F7" s="17">
        <f t="shared" ref="E7:G10" si="4">SUM(K7,P7)</f>
        <v>5930000</v>
      </c>
      <c r="G7" s="17">
        <f t="shared" si="4"/>
        <v>3077221</v>
      </c>
      <c r="H7" s="18">
        <f t="shared" si="0"/>
        <v>51.892428330522769</v>
      </c>
      <c r="I7" s="19">
        <v>2738244</v>
      </c>
      <c r="J7" s="42">
        <v>5400000</v>
      </c>
      <c r="K7" s="19">
        <v>5930000</v>
      </c>
      <c r="L7" s="19">
        <v>3077221</v>
      </c>
      <c r="M7" s="18">
        <f t="shared" si="2"/>
        <v>51.892428330522769</v>
      </c>
      <c r="N7" s="19">
        <v>2738244</v>
      </c>
      <c r="O7" s="19"/>
      <c r="P7" s="19"/>
      <c r="Q7" s="19"/>
      <c r="R7" s="18">
        <v>0</v>
      </c>
      <c r="S7" s="19"/>
      <c r="T7" s="19">
        <v>310000</v>
      </c>
      <c r="U7" s="19">
        <v>449000</v>
      </c>
      <c r="V7" s="19">
        <v>224826</v>
      </c>
      <c r="W7" s="18">
        <f t="shared" si="3"/>
        <v>50.072605790645873</v>
      </c>
      <c r="X7" s="19">
        <v>166680</v>
      </c>
    </row>
    <row r="8" spans="1:33" s="7" customFormat="1" ht="9.75" x14ac:dyDescent="0.2">
      <c r="A8" s="20" t="s">
        <v>19</v>
      </c>
      <c r="B8" s="758" t="s">
        <v>20</v>
      </c>
      <c r="C8" s="758"/>
      <c r="D8" s="16" t="s">
        <v>16</v>
      </c>
      <c r="E8" s="17">
        <v>2000</v>
      </c>
      <c r="F8" s="17">
        <f t="shared" si="4"/>
        <v>2000</v>
      </c>
      <c r="G8" s="17">
        <f t="shared" si="4"/>
        <v>1014</v>
      </c>
      <c r="H8" s="18">
        <f t="shared" si="0"/>
        <v>50.7</v>
      </c>
      <c r="I8" s="17">
        <v>881</v>
      </c>
      <c r="J8" s="43">
        <v>2000</v>
      </c>
      <c r="K8" s="17">
        <v>2000</v>
      </c>
      <c r="L8" s="17">
        <v>1014</v>
      </c>
      <c r="M8" s="18">
        <f t="shared" si="2"/>
        <v>50.7</v>
      </c>
      <c r="N8" s="17">
        <v>881</v>
      </c>
      <c r="O8" s="17"/>
      <c r="P8" s="17"/>
      <c r="Q8" s="17"/>
      <c r="R8" s="18">
        <v>0</v>
      </c>
      <c r="S8" s="17"/>
      <c r="T8" s="17">
        <v>0</v>
      </c>
      <c r="U8" s="17">
        <v>0</v>
      </c>
      <c r="V8" s="17">
        <v>0</v>
      </c>
      <c r="W8" s="18">
        <v>0</v>
      </c>
      <c r="X8" s="17">
        <v>0</v>
      </c>
    </row>
    <row r="9" spans="1:33" s="7" customFormat="1" ht="9.75" x14ac:dyDescent="0.2">
      <c r="A9" s="20" t="s">
        <v>21</v>
      </c>
      <c r="B9" s="21" t="s">
        <v>22</v>
      </c>
      <c r="C9" s="22"/>
      <c r="D9" s="16" t="s">
        <v>16</v>
      </c>
      <c r="E9" s="17">
        <v>3496200</v>
      </c>
      <c r="F9" s="17">
        <f t="shared" si="4"/>
        <v>3496200</v>
      </c>
      <c r="G9" s="17">
        <f t="shared" si="4"/>
        <v>1748100</v>
      </c>
      <c r="H9" s="18">
        <f t="shared" si="0"/>
        <v>50</v>
      </c>
      <c r="I9" s="17">
        <v>2245920</v>
      </c>
      <c r="J9" s="43">
        <v>3496200</v>
      </c>
      <c r="K9" s="17">
        <v>3496200</v>
      </c>
      <c r="L9" s="17">
        <v>1748100</v>
      </c>
      <c r="M9" s="18">
        <f t="shared" si="2"/>
        <v>50</v>
      </c>
      <c r="N9" s="17">
        <v>2245920</v>
      </c>
      <c r="O9" s="17"/>
      <c r="P9" s="17"/>
      <c r="Q9" s="17"/>
      <c r="R9" s="18">
        <v>0</v>
      </c>
      <c r="S9" s="17"/>
      <c r="T9" s="17">
        <v>0</v>
      </c>
      <c r="U9" s="17">
        <v>0</v>
      </c>
      <c r="V9" s="17">
        <v>0</v>
      </c>
      <c r="W9" s="18">
        <v>0</v>
      </c>
      <c r="X9" s="17">
        <v>0</v>
      </c>
    </row>
    <row r="10" spans="1:33" s="7" customFormat="1" ht="9.75" x14ac:dyDescent="0.2">
      <c r="A10" s="11" t="s">
        <v>23</v>
      </c>
      <c r="B10" s="753" t="s">
        <v>24</v>
      </c>
      <c r="C10" s="753"/>
      <c r="D10" s="12" t="s">
        <v>16</v>
      </c>
      <c r="E10" s="23">
        <f t="shared" si="4"/>
        <v>0</v>
      </c>
      <c r="F10" s="23">
        <f t="shared" si="4"/>
        <v>0</v>
      </c>
      <c r="G10" s="23">
        <f t="shared" si="4"/>
        <v>0</v>
      </c>
      <c r="H10" s="14">
        <v>0</v>
      </c>
      <c r="I10" s="23">
        <f>SUM(N10,S10)</f>
        <v>0</v>
      </c>
      <c r="J10" s="24"/>
      <c r="K10" s="23"/>
      <c r="L10" s="23"/>
      <c r="M10" s="14">
        <v>0</v>
      </c>
      <c r="N10" s="23"/>
      <c r="O10" s="23"/>
      <c r="P10" s="23"/>
      <c r="Q10" s="23"/>
      <c r="R10" s="14">
        <v>0</v>
      </c>
      <c r="S10" s="23"/>
      <c r="T10" s="23"/>
      <c r="U10" s="23"/>
      <c r="V10" s="23"/>
      <c r="W10" s="14">
        <v>0</v>
      </c>
      <c r="X10" s="23"/>
    </row>
    <row r="11" spans="1:33" s="7" customFormat="1" ht="9.75" x14ac:dyDescent="0.2">
      <c r="A11" s="11" t="s">
        <v>25</v>
      </c>
      <c r="B11" s="753" t="s">
        <v>26</v>
      </c>
      <c r="C11" s="753"/>
      <c r="D11" s="12" t="s">
        <v>16</v>
      </c>
      <c r="E11" s="13">
        <f>SUM(E12:E31)</f>
        <v>8898200</v>
      </c>
      <c r="F11" s="13">
        <f>SUM(F12:F31)</f>
        <v>9428200</v>
      </c>
      <c r="G11" s="13">
        <f>SUM(G12:G31)</f>
        <v>4688444.1100000003</v>
      </c>
      <c r="H11" s="14">
        <f t="shared" si="0"/>
        <v>49.727881355932205</v>
      </c>
      <c r="I11" s="13">
        <f>SUM(I12:I31)</f>
        <v>4767914</v>
      </c>
      <c r="J11" s="13">
        <f>SUM(J12:J31)</f>
        <v>8898200</v>
      </c>
      <c r="K11" s="13">
        <f>SUM(K12:K31)</f>
        <v>9428200</v>
      </c>
      <c r="L11" s="13">
        <f>SUM(L12:L31)</f>
        <v>4688444.1100000003</v>
      </c>
      <c r="M11" s="14">
        <f t="shared" si="2"/>
        <v>49.727881355932205</v>
      </c>
      <c r="N11" s="13">
        <f>SUM(N12:N31)</f>
        <v>4767914</v>
      </c>
      <c r="O11" s="13">
        <f>SUM(O12:O31)</f>
        <v>0</v>
      </c>
      <c r="P11" s="13">
        <f>SUM(P12:P31)</f>
        <v>0</v>
      </c>
      <c r="Q11" s="13">
        <f>SUM(Q12:Q31)</f>
        <v>0</v>
      </c>
      <c r="R11" s="14">
        <v>0</v>
      </c>
      <c r="S11" s="13">
        <f>SUM(S12:S31)</f>
        <v>0</v>
      </c>
      <c r="T11" s="13">
        <f>SUM(T12:T31)</f>
        <v>246832</v>
      </c>
      <c r="U11" s="13">
        <f>SUM(U12:U31)</f>
        <v>385832</v>
      </c>
      <c r="V11" s="13">
        <f>SUM(V12:V31)</f>
        <v>200500</v>
      </c>
      <c r="W11" s="14">
        <f t="shared" si="3"/>
        <v>51.965622343403354</v>
      </c>
      <c r="X11" s="13">
        <f>SUM(X12:X31)</f>
        <v>15354</v>
      </c>
    </row>
    <row r="12" spans="1:33" s="7" customFormat="1" ht="9.75" x14ac:dyDescent="0.2">
      <c r="A12" s="15" t="s">
        <v>27</v>
      </c>
      <c r="B12" s="750" t="s">
        <v>28</v>
      </c>
      <c r="C12" s="750"/>
      <c r="D12" s="16" t="s">
        <v>16</v>
      </c>
      <c r="E12" s="17">
        <f t="shared" ref="E12:G31" si="5">SUM(J12,O12)</f>
        <v>295000</v>
      </c>
      <c r="F12" s="17">
        <f t="shared" si="5"/>
        <v>417000</v>
      </c>
      <c r="G12" s="17">
        <f t="shared" si="5"/>
        <v>187252.23</v>
      </c>
      <c r="H12" s="18">
        <f t="shared" si="0"/>
        <v>44.904611510791369</v>
      </c>
      <c r="I12" s="25">
        <v>138368</v>
      </c>
      <c r="J12" s="17">
        <v>295000</v>
      </c>
      <c r="K12" s="25">
        <v>417000</v>
      </c>
      <c r="L12" s="25">
        <v>187252.23</v>
      </c>
      <c r="M12" s="18">
        <f t="shared" si="2"/>
        <v>44.904611510791369</v>
      </c>
      <c r="N12" s="25">
        <v>138368</v>
      </c>
      <c r="O12" s="25"/>
      <c r="P12" s="25"/>
      <c r="Q12" s="25"/>
      <c r="R12" s="18">
        <v>0</v>
      </c>
      <c r="S12" s="25"/>
      <c r="T12" s="25">
        <v>57300</v>
      </c>
      <c r="U12" s="25">
        <v>77300</v>
      </c>
      <c r="V12" s="25">
        <v>40742</v>
      </c>
      <c r="W12" s="18">
        <f t="shared" si="3"/>
        <v>52.706338939197927</v>
      </c>
      <c r="X12" s="26">
        <v>15354</v>
      </c>
      <c r="AC12" s="8"/>
      <c r="AD12" s="8"/>
      <c r="AE12" s="8"/>
      <c r="AF12" s="8"/>
      <c r="AG12" s="8"/>
    </row>
    <row r="13" spans="1:33" s="7" customFormat="1" ht="9.75" x14ac:dyDescent="0.2">
      <c r="A13" s="15" t="s">
        <v>29</v>
      </c>
      <c r="B13" s="750" t="s">
        <v>30</v>
      </c>
      <c r="C13" s="750"/>
      <c r="D13" s="16" t="s">
        <v>16</v>
      </c>
      <c r="E13" s="17">
        <f t="shared" si="5"/>
        <v>640000</v>
      </c>
      <c r="F13" s="17">
        <f t="shared" si="5"/>
        <v>640000</v>
      </c>
      <c r="G13" s="17">
        <f t="shared" si="5"/>
        <v>242266</v>
      </c>
      <c r="H13" s="18">
        <f t="shared" si="0"/>
        <v>37.854062500000005</v>
      </c>
      <c r="I13" s="17">
        <v>271695</v>
      </c>
      <c r="J13" s="17">
        <v>640000</v>
      </c>
      <c r="K13" s="17">
        <v>640000</v>
      </c>
      <c r="L13" s="17">
        <v>242266</v>
      </c>
      <c r="M13" s="18">
        <f t="shared" si="2"/>
        <v>37.854062500000005</v>
      </c>
      <c r="N13" s="17">
        <v>271695</v>
      </c>
      <c r="O13" s="17"/>
      <c r="P13" s="17"/>
      <c r="Q13" s="17"/>
      <c r="R13" s="18">
        <v>0</v>
      </c>
      <c r="S13" s="17"/>
      <c r="T13" s="17">
        <v>29500</v>
      </c>
      <c r="U13" s="17">
        <v>37500</v>
      </c>
      <c r="V13" s="17">
        <v>18151</v>
      </c>
      <c r="W13" s="18">
        <f t="shared" si="3"/>
        <v>48.402666666666669</v>
      </c>
      <c r="X13" s="17">
        <v>0</v>
      </c>
      <c r="AC13" s="10"/>
      <c r="AD13" s="10"/>
      <c r="AE13" s="10"/>
      <c r="AF13" s="10"/>
      <c r="AG13" s="10"/>
    </row>
    <row r="14" spans="1:33" s="7" customFormat="1" ht="9.75" x14ac:dyDescent="0.2">
      <c r="A14" s="15" t="s">
        <v>31</v>
      </c>
      <c r="B14" s="21" t="s">
        <v>32</v>
      </c>
      <c r="C14" s="21"/>
      <c r="D14" s="16" t="s">
        <v>16</v>
      </c>
      <c r="E14" s="17">
        <f t="shared" si="5"/>
        <v>0</v>
      </c>
      <c r="F14" s="17">
        <f t="shared" si="5"/>
        <v>0</v>
      </c>
      <c r="G14" s="17">
        <f t="shared" si="5"/>
        <v>0</v>
      </c>
      <c r="H14" s="18">
        <v>0</v>
      </c>
      <c r="I14" s="17">
        <v>0</v>
      </c>
      <c r="J14" s="17">
        <v>0</v>
      </c>
      <c r="K14" s="17">
        <v>0</v>
      </c>
      <c r="L14" s="17"/>
      <c r="M14" s="18">
        <v>0</v>
      </c>
      <c r="N14" s="17">
        <v>0</v>
      </c>
      <c r="O14" s="17"/>
      <c r="P14" s="17"/>
      <c r="Q14" s="17"/>
      <c r="R14" s="18">
        <v>0</v>
      </c>
      <c r="S14" s="17"/>
      <c r="T14" s="17">
        <v>0</v>
      </c>
      <c r="U14" s="17">
        <v>0</v>
      </c>
      <c r="V14" s="17">
        <v>0</v>
      </c>
      <c r="W14" s="18">
        <v>0</v>
      </c>
      <c r="X14" s="17">
        <v>0</v>
      </c>
    </row>
    <row r="15" spans="1:33" s="7" customFormat="1" ht="9.75" x14ac:dyDescent="0.2">
      <c r="A15" s="15" t="s">
        <v>33</v>
      </c>
      <c r="B15" s="750" t="s">
        <v>34</v>
      </c>
      <c r="C15" s="750"/>
      <c r="D15" s="16" t="s">
        <v>16</v>
      </c>
      <c r="E15" s="17">
        <f t="shared" si="5"/>
        <v>260000</v>
      </c>
      <c r="F15" s="17">
        <f t="shared" si="5"/>
        <v>336011</v>
      </c>
      <c r="G15" s="17">
        <f t="shared" si="5"/>
        <v>133361</v>
      </c>
      <c r="H15" s="18">
        <f t="shared" si="0"/>
        <v>39.689474451729254</v>
      </c>
      <c r="I15" s="17">
        <v>61073</v>
      </c>
      <c r="J15" s="17">
        <v>260000</v>
      </c>
      <c r="K15" s="17">
        <v>336011</v>
      </c>
      <c r="L15" s="17">
        <v>133361</v>
      </c>
      <c r="M15" s="18">
        <f t="shared" si="2"/>
        <v>39.689474451729254</v>
      </c>
      <c r="N15" s="17">
        <v>61073</v>
      </c>
      <c r="O15" s="17"/>
      <c r="P15" s="17"/>
      <c r="Q15" s="17"/>
      <c r="R15" s="18">
        <v>0</v>
      </c>
      <c r="S15" s="17"/>
      <c r="T15" s="17">
        <v>0</v>
      </c>
      <c r="U15" s="17">
        <v>8000</v>
      </c>
      <c r="V15" s="17">
        <v>4136</v>
      </c>
      <c r="W15" s="18">
        <f t="shared" si="3"/>
        <v>51.7</v>
      </c>
      <c r="X15" s="17">
        <v>0</v>
      </c>
    </row>
    <row r="16" spans="1:33" s="7" customFormat="1" ht="9.75" x14ac:dyDescent="0.2">
      <c r="A16" s="15" t="s">
        <v>35</v>
      </c>
      <c r="B16" s="750" t="s">
        <v>36</v>
      </c>
      <c r="C16" s="750"/>
      <c r="D16" s="16" t="s">
        <v>16</v>
      </c>
      <c r="E16" s="17">
        <f t="shared" si="5"/>
        <v>25000</v>
      </c>
      <c r="F16" s="17">
        <f t="shared" si="5"/>
        <v>25000</v>
      </c>
      <c r="G16" s="17">
        <f t="shared" si="5"/>
        <v>7801</v>
      </c>
      <c r="H16" s="18">
        <f t="shared" si="0"/>
        <v>31.203999999999997</v>
      </c>
      <c r="I16" s="17">
        <v>5612</v>
      </c>
      <c r="J16" s="17">
        <v>25000</v>
      </c>
      <c r="K16" s="17">
        <v>25000</v>
      </c>
      <c r="L16" s="17">
        <v>7801</v>
      </c>
      <c r="M16" s="18">
        <f t="shared" si="2"/>
        <v>31.203999999999997</v>
      </c>
      <c r="N16" s="17">
        <v>5612</v>
      </c>
      <c r="O16" s="17"/>
      <c r="P16" s="17"/>
      <c r="Q16" s="17"/>
      <c r="R16" s="18">
        <v>0</v>
      </c>
      <c r="S16" s="17"/>
      <c r="T16" s="17">
        <v>0</v>
      </c>
      <c r="U16" s="17">
        <v>0</v>
      </c>
      <c r="V16" s="17">
        <v>0</v>
      </c>
      <c r="W16" s="18">
        <v>0</v>
      </c>
      <c r="X16" s="17">
        <v>0</v>
      </c>
    </row>
    <row r="17" spans="1:33" s="7" customFormat="1" ht="9.75" x14ac:dyDescent="0.2">
      <c r="A17" s="15" t="s">
        <v>37</v>
      </c>
      <c r="B17" s="21" t="s">
        <v>38</v>
      </c>
      <c r="C17" s="21"/>
      <c r="D17" s="16" t="s">
        <v>16</v>
      </c>
      <c r="E17" s="17">
        <f t="shared" si="5"/>
        <v>20000</v>
      </c>
      <c r="F17" s="17">
        <f t="shared" si="5"/>
        <v>20000</v>
      </c>
      <c r="G17" s="17">
        <f t="shared" si="5"/>
        <v>6918</v>
      </c>
      <c r="H17" s="18">
        <f t="shared" si="0"/>
        <v>34.589999999999996</v>
      </c>
      <c r="I17" s="17">
        <v>0</v>
      </c>
      <c r="J17" s="17">
        <v>20000</v>
      </c>
      <c r="K17" s="17">
        <v>20000</v>
      </c>
      <c r="L17" s="17">
        <v>6918</v>
      </c>
      <c r="M17" s="18">
        <f t="shared" si="2"/>
        <v>34.589999999999996</v>
      </c>
      <c r="N17" s="17">
        <v>0</v>
      </c>
      <c r="O17" s="17"/>
      <c r="P17" s="17"/>
      <c r="Q17" s="17"/>
      <c r="R17" s="18">
        <v>0</v>
      </c>
      <c r="S17" s="17"/>
      <c r="T17" s="17">
        <v>0</v>
      </c>
      <c r="U17" s="17">
        <v>0</v>
      </c>
      <c r="V17" s="17">
        <v>0</v>
      </c>
      <c r="W17" s="18">
        <v>0</v>
      </c>
      <c r="X17" s="17">
        <v>0</v>
      </c>
    </row>
    <row r="18" spans="1:33" s="7" customFormat="1" ht="9.75" x14ac:dyDescent="0.2">
      <c r="A18" s="15" t="s">
        <v>39</v>
      </c>
      <c r="B18" s="750" t="s">
        <v>40</v>
      </c>
      <c r="C18" s="750"/>
      <c r="D18" s="16" t="s">
        <v>16</v>
      </c>
      <c r="E18" s="17">
        <f t="shared" si="5"/>
        <v>4102000</v>
      </c>
      <c r="F18" s="17">
        <f t="shared" si="5"/>
        <v>4473989</v>
      </c>
      <c r="G18" s="17">
        <f t="shared" si="5"/>
        <v>2215474.35</v>
      </c>
      <c r="H18" s="18">
        <f t="shared" si="0"/>
        <v>49.518994123588591</v>
      </c>
      <c r="I18" s="17">
        <v>2131005</v>
      </c>
      <c r="J18" s="17">
        <v>4102000</v>
      </c>
      <c r="K18" s="17">
        <v>4473989</v>
      </c>
      <c r="L18" s="17">
        <v>2215474.35</v>
      </c>
      <c r="M18" s="18">
        <f t="shared" si="2"/>
        <v>49.518994123588591</v>
      </c>
      <c r="N18" s="17">
        <v>2131005</v>
      </c>
      <c r="O18" s="17"/>
      <c r="P18" s="17"/>
      <c r="Q18" s="17"/>
      <c r="R18" s="18">
        <v>0</v>
      </c>
      <c r="S18" s="17"/>
      <c r="T18" s="17">
        <v>58300</v>
      </c>
      <c r="U18" s="17">
        <v>58300</v>
      </c>
      <c r="V18" s="17">
        <v>24573</v>
      </c>
      <c r="W18" s="18">
        <f t="shared" si="3"/>
        <v>42.149228130360207</v>
      </c>
      <c r="X18" s="17">
        <v>0</v>
      </c>
    </row>
    <row r="19" spans="1:33" s="28" customFormat="1" ht="9.75" x14ac:dyDescent="0.2">
      <c r="A19" s="15" t="s">
        <v>41</v>
      </c>
      <c r="B19" s="750" t="s">
        <v>42</v>
      </c>
      <c r="C19" s="750"/>
      <c r="D19" s="16" t="s">
        <v>16</v>
      </c>
      <c r="E19" s="17">
        <f t="shared" si="5"/>
        <v>2156300</v>
      </c>
      <c r="F19" s="17">
        <f t="shared" si="5"/>
        <v>2156300</v>
      </c>
      <c r="G19" s="17">
        <f t="shared" si="5"/>
        <v>1198471</v>
      </c>
      <c r="H19" s="18">
        <f t="shared" si="0"/>
        <v>55.579974957102444</v>
      </c>
      <c r="I19" s="17">
        <v>1123015</v>
      </c>
      <c r="J19" s="17">
        <v>2156300</v>
      </c>
      <c r="K19" s="17">
        <v>2156300</v>
      </c>
      <c r="L19" s="17">
        <v>1198471</v>
      </c>
      <c r="M19" s="18">
        <f t="shared" si="2"/>
        <v>55.579974957102444</v>
      </c>
      <c r="N19" s="17">
        <v>1123015</v>
      </c>
      <c r="O19" s="17"/>
      <c r="P19" s="17"/>
      <c r="Q19" s="17"/>
      <c r="R19" s="18">
        <v>0</v>
      </c>
      <c r="S19" s="17"/>
      <c r="T19" s="27">
        <v>75920</v>
      </c>
      <c r="U19" s="27">
        <v>155920</v>
      </c>
      <c r="V19" s="27">
        <v>80400</v>
      </c>
      <c r="W19" s="18">
        <f t="shared" si="3"/>
        <v>51.564905079527968</v>
      </c>
      <c r="X19" s="27">
        <v>0</v>
      </c>
      <c r="AC19" s="7"/>
      <c r="AD19" s="7"/>
      <c r="AE19" s="7"/>
      <c r="AF19" s="7"/>
      <c r="AG19" s="7"/>
    </row>
    <row r="20" spans="1:33" s="7" customFormat="1" ht="9.75" x14ac:dyDescent="0.2">
      <c r="A20" s="15" t="s">
        <v>43</v>
      </c>
      <c r="B20" s="750" t="s">
        <v>44</v>
      </c>
      <c r="C20" s="750"/>
      <c r="D20" s="16" t="s">
        <v>16</v>
      </c>
      <c r="E20" s="17">
        <f t="shared" si="5"/>
        <v>733214</v>
      </c>
      <c r="F20" s="17">
        <f t="shared" si="5"/>
        <v>733214</v>
      </c>
      <c r="G20" s="17">
        <f t="shared" si="5"/>
        <v>386984</v>
      </c>
      <c r="H20" s="18">
        <f t="shared" si="0"/>
        <v>52.779134059087795</v>
      </c>
      <c r="I20" s="17">
        <v>313457</v>
      </c>
      <c r="J20" s="17">
        <v>733214</v>
      </c>
      <c r="K20" s="17">
        <v>733214</v>
      </c>
      <c r="L20" s="17">
        <v>386984</v>
      </c>
      <c r="M20" s="18">
        <f t="shared" si="2"/>
        <v>52.779134059087795</v>
      </c>
      <c r="N20" s="17">
        <v>313457</v>
      </c>
      <c r="O20" s="17"/>
      <c r="P20" s="17"/>
      <c r="Q20" s="17"/>
      <c r="R20" s="18">
        <v>0</v>
      </c>
      <c r="S20" s="17"/>
      <c r="T20" s="17">
        <v>25812</v>
      </c>
      <c r="U20" s="17">
        <v>25812</v>
      </c>
      <c r="V20" s="17">
        <v>11844</v>
      </c>
      <c r="W20" s="18">
        <f t="shared" si="3"/>
        <v>45.885634588563455</v>
      </c>
      <c r="X20" s="17">
        <v>0</v>
      </c>
      <c r="AC20" s="8"/>
      <c r="AD20" s="8"/>
      <c r="AE20" s="8"/>
      <c r="AF20" s="8"/>
      <c r="AG20" s="8"/>
    </row>
    <row r="21" spans="1:33" s="7" customFormat="1" ht="9.75" x14ac:dyDescent="0.2">
      <c r="A21" s="15" t="s">
        <v>45</v>
      </c>
      <c r="B21" s="750" t="s">
        <v>46</v>
      </c>
      <c r="C21" s="750"/>
      <c r="D21" s="16" t="s">
        <v>16</v>
      </c>
      <c r="E21" s="17">
        <f t="shared" si="5"/>
        <v>69686</v>
      </c>
      <c r="F21" s="17">
        <f t="shared" si="5"/>
        <v>69686</v>
      </c>
      <c r="G21" s="17">
        <f t="shared" si="5"/>
        <v>30470</v>
      </c>
      <c r="H21" s="18">
        <f t="shared" si="0"/>
        <v>43.724707975777058</v>
      </c>
      <c r="I21" s="17">
        <v>34661</v>
      </c>
      <c r="J21" s="17">
        <v>69686</v>
      </c>
      <c r="K21" s="17">
        <v>69686</v>
      </c>
      <c r="L21" s="17">
        <v>30470</v>
      </c>
      <c r="M21" s="18">
        <f t="shared" si="2"/>
        <v>43.724707975777058</v>
      </c>
      <c r="N21" s="17">
        <v>34661</v>
      </c>
      <c r="O21" s="17"/>
      <c r="P21" s="17"/>
      <c r="Q21" s="17"/>
      <c r="R21" s="18">
        <v>0</v>
      </c>
      <c r="S21" s="17"/>
      <c r="T21" s="17">
        <v>0</v>
      </c>
      <c r="U21" s="17">
        <v>3000</v>
      </c>
      <c r="V21" s="17">
        <v>1907</v>
      </c>
      <c r="W21" s="18">
        <f t="shared" si="3"/>
        <v>63.56666666666667</v>
      </c>
      <c r="X21" s="17">
        <v>0</v>
      </c>
      <c r="AC21" s="10"/>
      <c r="AD21" s="10"/>
      <c r="AE21" s="10"/>
      <c r="AF21" s="10"/>
      <c r="AG21" s="10"/>
    </row>
    <row r="22" spans="1:33" s="7" customFormat="1" ht="9.75" x14ac:dyDescent="0.2">
      <c r="A22" s="15" t="s">
        <v>47</v>
      </c>
      <c r="B22" s="750" t="s">
        <v>48</v>
      </c>
      <c r="C22" s="750"/>
      <c r="D22" s="16" t="s">
        <v>16</v>
      </c>
      <c r="E22" s="17">
        <f t="shared" si="5"/>
        <v>0</v>
      </c>
      <c r="F22" s="17">
        <f t="shared" si="5"/>
        <v>0</v>
      </c>
      <c r="G22" s="17">
        <f t="shared" si="5"/>
        <v>0</v>
      </c>
      <c r="H22" s="18">
        <v>0</v>
      </c>
      <c r="I22" s="17">
        <v>0</v>
      </c>
      <c r="J22" s="17">
        <v>0</v>
      </c>
      <c r="K22" s="17">
        <v>0</v>
      </c>
      <c r="L22" s="17">
        <v>0</v>
      </c>
      <c r="M22" s="18">
        <v>0</v>
      </c>
      <c r="N22" s="17">
        <v>0</v>
      </c>
      <c r="O22" s="17"/>
      <c r="P22" s="17"/>
      <c r="Q22" s="17"/>
      <c r="R22" s="18">
        <v>0</v>
      </c>
      <c r="S22" s="17"/>
      <c r="T22" s="17">
        <v>0</v>
      </c>
      <c r="U22" s="17">
        <v>0</v>
      </c>
      <c r="V22" s="17">
        <v>0</v>
      </c>
      <c r="W22" s="18">
        <v>0</v>
      </c>
      <c r="X22" s="17">
        <v>0</v>
      </c>
    </row>
    <row r="23" spans="1:33" s="7" customFormat="1" ht="9.75" x14ac:dyDescent="0.2">
      <c r="A23" s="15" t="s">
        <v>49</v>
      </c>
      <c r="B23" s="21" t="s">
        <v>50</v>
      </c>
      <c r="C23" s="21"/>
      <c r="D23" s="16" t="s">
        <v>16</v>
      </c>
      <c r="E23" s="17">
        <f t="shared" si="5"/>
        <v>0</v>
      </c>
      <c r="F23" s="17">
        <f t="shared" si="5"/>
        <v>0</v>
      </c>
      <c r="G23" s="17">
        <f t="shared" si="5"/>
        <v>0</v>
      </c>
      <c r="H23" s="18">
        <v>0</v>
      </c>
      <c r="I23" s="17">
        <v>0</v>
      </c>
      <c r="J23" s="17">
        <v>0</v>
      </c>
      <c r="K23" s="17">
        <v>0</v>
      </c>
      <c r="L23" s="17">
        <v>0</v>
      </c>
      <c r="M23" s="18">
        <v>0</v>
      </c>
      <c r="N23" s="17">
        <v>0</v>
      </c>
      <c r="O23" s="17"/>
      <c r="P23" s="17"/>
      <c r="Q23" s="17"/>
      <c r="R23" s="18">
        <v>0</v>
      </c>
      <c r="S23" s="17"/>
      <c r="T23" s="17">
        <v>0</v>
      </c>
      <c r="U23" s="17">
        <v>0</v>
      </c>
      <c r="V23" s="17">
        <v>0</v>
      </c>
      <c r="W23" s="18">
        <v>0</v>
      </c>
      <c r="X23" s="17">
        <v>0</v>
      </c>
    </row>
    <row r="24" spans="1:33" s="7" customFormat="1" ht="9.75" x14ac:dyDescent="0.2">
      <c r="A24" s="15" t="s">
        <v>51</v>
      </c>
      <c r="B24" s="21" t="s">
        <v>52</v>
      </c>
      <c r="C24" s="21"/>
      <c r="D24" s="16" t="s">
        <v>16</v>
      </c>
      <c r="E24" s="17">
        <f t="shared" si="5"/>
        <v>0</v>
      </c>
      <c r="F24" s="17">
        <f t="shared" si="5"/>
        <v>0</v>
      </c>
      <c r="G24" s="17">
        <f t="shared" si="5"/>
        <v>0</v>
      </c>
      <c r="H24" s="18">
        <v>0</v>
      </c>
      <c r="I24" s="17">
        <v>0</v>
      </c>
      <c r="J24" s="17">
        <v>0</v>
      </c>
      <c r="K24" s="17">
        <v>0</v>
      </c>
      <c r="L24" s="17">
        <v>0</v>
      </c>
      <c r="M24" s="18">
        <v>0</v>
      </c>
      <c r="N24" s="17">
        <v>0</v>
      </c>
      <c r="O24" s="17"/>
      <c r="P24" s="17"/>
      <c r="Q24" s="17"/>
      <c r="R24" s="18">
        <v>0</v>
      </c>
      <c r="S24" s="17"/>
      <c r="T24" s="17">
        <v>0</v>
      </c>
      <c r="U24" s="17">
        <v>0</v>
      </c>
      <c r="V24" s="17">
        <v>0</v>
      </c>
      <c r="W24" s="18">
        <v>0</v>
      </c>
      <c r="X24" s="17">
        <v>0</v>
      </c>
    </row>
    <row r="25" spans="1:33" s="7" customFormat="1" ht="9.75" x14ac:dyDescent="0.2">
      <c r="A25" s="15" t="s">
        <v>53</v>
      </c>
      <c r="B25" s="21" t="s">
        <v>54</v>
      </c>
      <c r="C25" s="21"/>
      <c r="D25" s="16" t="s">
        <v>16</v>
      </c>
      <c r="E25" s="17">
        <f>SUM(J25,O25)</f>
        <v>0</v>
      </c>
      <c r="F25" s="17">
        <f t="shared" si="5"/>
        <v>0</v>
      </c>
      <c r="G25" s="17">
        <f t="shared" si="5"/>
        <v>0</v>
      </c>
      <c r="H25" s="18">
        <v>0</v>
      </c>
      <c r="I25" s="25">
        <v>0</v>
      </c>
      <c r="J25" s="17">
        <v>0</v>
      </c>
      <c r="K25" s="25">
        <v>0</v>
      </c>
      <c r="L25" s="25">
        <v>0</v>
      </c>
      <c r="M25" s="18">
        <v>0</v>
      </c>
      <c r="N25" s="25">
        <v>0</v>
      </c>
      <c r="O25" s="25"/>
      <c r="P25" s="25"/>
      <c r="Q25" s="25"/>
      <c r="R25" s="18">
        <v>0</v>
      </c>
      <c r="S25" s="25"/>
      <c r="T25" s="25">
        <v>0</v>
      </c>
      <c r="U25" s="25">
        <v>0</v>
      </c>
      <c r="V25" s="25">
        <v>0</v>
      </c>
      <c r="W25" s="18">
        <v>0</v>
      </c>
      <c r="X25" s="25">
        <v>0</v>
      </c>
    </row>
    <row r="26" spans="1:33" s="30" customFormat="1" ht="9.75" x14ac:dyDescent="0.2">
      <c r="A26" s="15" t="s">
        <v>55</v>
      </c>
      <c r="B26" s="750" t="s">
        <v>56</v>
      </c>
      <c r="C26" s="750"/>
      <c r="D26" s="16" t="s">
        <v>16</v>
      </c>
      <c r="E26" s="17">
        <f t="shared" si="5"/>
        <v>355496</v>
      </c>
      <c r="F26" s="17">
        <f t="shared" si="5"/>
        <v>355496</v>
      </c>
      <c r="G26" s="17">
        <f t="shared" si="5"/>
        <v>169708</v>
      </c>
      <c r="H26" s="18">
        <f>G26/F26*100</f>
        <v>47.738371177172176</v>
      </c>
      <c r="I26" s="26">
        <v>538661</v>
      </c>
      <c r="J26" s="17">
        <v>355496</v>
      </c>
      <c r="K26" s="26">
        <v>355496</v>
      </c>
      <c r="L26" s="26">
        <v>169708</v>
      </c>
      <c r="M26" s="18">
        <f>L26/K26*100</f>
        <v>47.738371177172176</v>
      </c>
      <c r="N26" s="26">
        <v>538661</v>
      </c>
      <c r="O26" s="26"/>
      <c r="P26" s="26"/>
      <c r="Q26" s="26"/>
      <c r="R26" s="18">
        <v>0</v>
      </c>
      <c r="S26" s="26"/>
      <c r="T26" s="25">
        <v>0</v>
      </c>
      <c r="U26" s="25">
        <v>0</v>
      </c>
      <c r="V26" s="25">
        <v>0</v>
      </c>
      <c r="W26" s="18">
        <v>0</v>
      </c>
      <c r="X26" s="17">
        <v>0</v>
      </c>
    </row>
    <row r="27" spans="1:33" s="30" customFormat="1" ht="9.75" x14ac:dyDescent="0.2">
      <c r="A27" s="15" t="s">
        <v>57</v>
      </c>
      <c r="B27" s="21" t="s">
        <v>58</v>
      </c>
      <c r="C27" s="21"/>
      <c r="D27" s="16" t="s">
        <v>16</v>
      </c>
      <c r="E27" s="17">
        <f t="shared" si="5"/>
        <v>0</v>
      </c>
      <c r="F27" s="17">
        <f t="shared" si="5"/>
        <v>33100</v>
      </c>
      <c r="G27" s="17">
        <f t="shared" si="5"/>
        <v>33010</v>
      </c>
      <c r="H27" s="18">
        <f t="shared" si="0"/>
        <v>99.728096676737152</v>
      </c>
      <c r="I27" s="26">
        <v>0</v>
      </c>
      <c r="J27" s="17">
        <v>0</v>
      </c>
      <c r="K27" s="26">
        <v>33100</v>
      </c>
      <c r="L27" s="26">
        <v>33010</v>
      </c>
      <c r="M27" s="18">
        <f t="shared" si="2"/>
        <v>99.728096676737152</v>
      </c>
      <c r="N27" s="26">
        <v>0</v>
      </c>
      <c r="O27" s="26"/>
      <c r="P27" s="26"/>
      <c r="Q27" s="26"/>
      <c r="R27" s="18">
        <v>0</v>
      </c>
      <c r="S27" s="26"/>
      <c r="T27" s="25">
        <v>0</v>
      </c>
      <c r="U27" s="25">
        <v>0</v>
      </c>
      <c r="V27" s="25">
        <v>0</v>
      </c>
      <c r="W27" s="18">
        <v>0</v>
      </c>
      <c r="X27" s="25">
        <v>0</v>
      </c>
    </row>
    <row r="28" spans="1:33" s="30" customFormat="1" ht="9.75" x14ac:dyDescent="0.2">
      <c r="A28" s="15" t="s">
        <v>59</v>
      </c>
      <c r="B28" s="21" t="s">
        <v>60</v>
      </c>
      <c r="C28" s="21"/>
      <c r="D28" s="16" t="s">
        <v>16</v>
      </c>
      <c r="E28" s="17">
        <f>SUM(J28,O28)</f>
        <v>240504</v>
      </c>
      <c r="F28" s="17">
        <f>SUM(K28,P28)</f>
        <v>167404</v>
      </c>
      <c r="G28" s="17">
        <f>SUM(L28,Q28)</f>
        <v>76531.53</v>
      </c>
      <c r="H28" s="18">
        <f>G28/F28*100</f>
        <v>45.716667463143054</v>
      </c>
      <c r="I28" s="26">
        <v>150170</v>
      </c>
      <c r="J28" s="17">
        <v>240504</v>
      </c>
      <c r="K28" s="26">
        <v>167404</v>
      </c>
      <c r="L28" s="26">
        <v>76531.53</v>
      </c>
      <c r="M28" s="18">
        <f>L28/K28*100</f>
        <v>45.716667463143054</v>
      </c>
      <c r="N28" s="26">
        <v>150170</v>
      </c>
      <c r="O28" s="26"/>
      <c r="P28" s="26"/>
      <c r="Q28" s="26"/>
      <c r="R28" s="18">
        <v>0</v>
      </c>
      <c r="S28" s="26"/>
      <c r="T28" s="25">
        <v>0</v>
      </c>
      <c r="U28" s="25">
        <v>20000</v>
      </c>
      <c r="V28" s="25">
        <v>18747</v>
      </c>
      <c r="W28" s="18">
        <f>V28/U28*100</f>
        <v>93.734999999999999</v>
      </c>
      <c r="X28" s="17">
        <v>0</v>
      </c>
    </row>
    <row r="29" spans="1:33" s="31" customFormat="1" ht="9.75" x14ac:dyDescent="0.2">
      <c r="A29" s="15" t="s">
        <v>61</v>
      </c>
      <c r="B29" s="21" t="s">
        <v>62</v>
      </c>
      <c r="C29" s="21"/>
      <c r="D29" s="16" t="s">
        <v>16</v>
      </c>
      <c r="E29" s="17">
        <f t="shared" si="5"/>
        <v>1000</v>
      </c>
      <c r="F29" s="17">
        <f t="shared" si="5"/>
        <v>1000</v>
      </c>
      <c r="G29" s="17">
        <f t="shared" si="5"/>
        <v>197</v>
      </c>
      <c r="H29" s="18">
        <f t="shared" si="0"/>
        <v>19.7</v>
      </c>
      <c r="I29" s="26">
        <v>197</v>
      </c>
      <c r="J29" s="17">
        <v>1000</v>
      </c>
      <c r="K29" s="26">
        <v>1000</v>
      </c>
      <c r="L29" s="26">
        <v>197</v>
      </c>
      <c r="M29" s="18">
        <f t="shared" si="2"/>
        <v>19.7</v>
      </c>
      <c r="N29" s="26">
        <v>197</v>
      </c>
      <c r="O29" s="26"/>
      <c r="P29" s="26"/>
      <c r="Q29" s="26"/>
      <c r="R29" s="18">
        <v>0</v>
      </c>
      <c r="S29" s="26"/>
      <c r="T29" s="25">
        <v>0</v>
      </c>
      <c r="U29" s="25">
        <v>0</v>
      </c>
      <c r="V29" s="25">
        <v>0</v>
      </c>
      <c r="W29" s="18">
        <v>0</v>
      </c>
      <c r="X29" s="25">
        <v>0</v>
      </c>
      <c r="AC29" s="10"/>
      <c r="AD29" s="10"/>
    </row>
    <row r="30" spans="1:33" s="7" customFormat="1" ht="9.75" x14ac:dyDescent="0.2">
      <c r="A30" s="15" t="s">
        <v>63</v>
      </c>
      <c r="B30" s="21" t="s">
        <v>64</v>
      </c>
      <c r="C30" s="21"/>
      <c r="D30" s="16" t="s">
        <v>16</v>
      </c>
      <c r="E30" s="17">
        <f t="shared" si="5"/>
        <v>0</v>
      </c>
      <c r="F30" s="17">
        <f t="shared" si="5"/>
        <v>0</v>
      </c>
      <c r="G30" s="17">
        <f t="shared" si="5"/>
        <v>0</v>
      </c>
      <c r="H30" s="18">
        <v>0</v>
      </c>
      <c r="I30" s="26">
        <v>0</v>
      </c>
      <c r="J30" s="17">
        <f t="shared" ref="J30:J32" si="6">SUM(O30,T30)</f>
        <v>0</v>
      </c>
      <c r="K30" s="26">
        <v>0</v>
      </c>
      <c r="L30" s="26">
        <v>0</v>
      </c>
      <c r="M30" s="18">
        <v>0</v>
      </c>
      <c r="N30" s="26">
        <v>0</v>
      </c>
      <c r="O30" s="26"/>
      <c r="P30" s="26"/>
      <c r="Q30" s="26"/>
      <c r="R30" s="18">
        <v>0</v>
      </c>
      <c r="S30" s="26"/>
      <c r="T30" s="25">
        <v>0</v>
      </c>
      <c r="U30" s="25">
        <v>0</v>
      </c>
      <c r="V30" s="25">
        <v>0</v>
      </c>
      <c r="W30" s="18">
        <v>0</v>
      </c>
      <c r="X30" s="17">
        <v>0</v>
      </c>
    </row>
    <row r="31" spans="1:33" s="34" customFormat="1" ht="9.75" x14ac:dyDescent="0.2">
      <c r="A31" s="15" t="s">
        <v>65</v>
      </c>
      <c r="B31" s="21" t="s">
        <v>66</v>
      </c>
      <c r="C31" s="21"/>
      <c r="D31" s="16" t="s">
        <v>16</v>
      </c>
      <c r="E31" s="17">
        <f t="shared" si="5"/>
        <v>0</v>
      </c>
      <c r="F31" s="17">
        <f t="shared" si="5"/>
        <v>0</v>
      </c>
      <c r="G31" s="17">
        <f t="shared" si="5"/>
        <v>0</v>
      </c>
      <c r="H31" s="18">
        <v>0</v>
      </c>
      <c r="I31" s="32">
        <v>0</v>
      </c>
      <c r="J31" s="17">
        <f t="shared" si="6"/>
        <v>0</v>
      </c>
      <c r="K31" s="32">
        <v>0</v>
      </c>
      <c r="L31" s="32">
        <v>0</v>
      </c>
      <c r="M31" s="18">
        <v>0</v>
      </c>
      <c r="N31" s="32">
        <v>0</v>
      </c>
      <c r="O31" s="32"/>
      <c r="P31" s="32"/>
      <c r="Q31" s="32"/>
      <c r="R31" s="18">
        <v>0</v>
      </c>
      <c r="S31" s="32"/>
      <c r="T31" s="25">
        <v>0</v>
      </c>
      <c r="U31" s="25">
        <v>0</v>
      </c>
      <c r="V31" s="25">
        <v>0</v>
      </c>
      <c r="W31" s="18">
        <v>0</v>
      </c>
      <c r="X31" s="25">
        <v>0</v>
      </c>
    </row>
    <row r="32" spans="1:33" s="34" customFormat="1" ht="9.75" x14ac:dyDescent="0.2">
      <c r="A32" s="15" t="s">
        <v>67</v>
      </c>
      <c r="B32" s="21" t="s">
        <v>68</v>
      </c>
      <c r="C32" s="21"/>
      <c r="D32" s="16" t="s">
        <v>16</v>
      </c>
      <c r="E32" s="17">
        <f>SUM(J32,O32)</f>
        <v>0</v>
      </c>
      <c r="F32" s="17">
        <f>SUM(K32,P32)</f>
        <v>0</v>
      </c>
      <c r="G32" s="17">
        <f>SUM(L32,Q32)</f>
        <v>0</v>
      </c>
      <c r="H32" s="18">
        <v>0</v>
      </c>
      <c r="I32" s="33">
        <v>0</v>
      </c>
      <c r="J32" s="17">
        <f t="shared" si="6"/>
        <v>0</v>
      </c>
      <c r="K32" s="33">
        <v>0</v>
      </c>
      <c r="L32" s="33">
        <v>0</v>
      </c>
      <c r="M32" s="18">
        <v>0</v>
      </c>
      <c r="N32" s="33">
        <v>0</v>
      </c>
      <c r="O32" s="33"/>
      <c r="P32" s="33"/>
      <c r="Q32" s="33"/>
      <c r="R32" s="18">
        <v>0</v>
      </c>
      <c r="S32" s="33"/>
      <c r="T32" s="33">
        <v>0</v>
      </c>
      <c r="U32" s="33">
        <v>0</v>
      </c>
      <c r="V32" s="33">
        <v>0</v>
      </c>
      <c r="W32" s="18">
        <v>0</v>
      </c>
      <c r="X32" s="17">
        <v>0</v>
      </c>
    </row>
    <row r="33" spans="1:24" s="34" customFormat="1" ht="9.75" x14ac:dyDescent="0.2">
      <c r="A33" s="11" t="s">
        <v>69</v>
      </c>
      <c r="B33" s="35" t="s">
        <v>70</v>
      </c>
      <c r="C33" s="35"/>
      <c r="D33" s="12" t="s">
        <v>16</v>
      </c>
      <c r="E33" s="13">
        <f>E6-E11</f>
        <v>0</v>
      </c>
      <c r="F33" s="13">
        <f>F6-F11</f>
        <v>0</v>
      </c>
      <c r="G33" s="13">
        <f>G6-G11</f>
        <v>137890.88999999966</v>
      </c>
      <c r="H33" s="36">
        <v>0</v>
      </c>
      <c r="I33" s="13">
        <f>I6-I11</f>
        <v>217131</v>
      </c>
      <c r="J33" s="13">
        <f>J6-J11</f>
        <v>0</v>
      </c>
      <c r="K33" s="13">
        <f>K6-K11</f>
        <v>0</v>
      </c>
      <c r="L33" s="13">
        <f>L6-L11</f>
        <v>137890.88999999966</v>
      </c>
      <c r="M33" s="14">
        <v>0</v>
      </c>
      <c r="N33" s="13">
        <f>N6-N11</f>
        <v>217131</v>
      </c>
      <c r="O33" s="13">
        <f>O6-O11</f>
        <v>0</v>
      </c>
      <c r="P33" s="13">
        <f>P6-P11</f>
        <v>0</v>
      </c>
      <c r="Q33" s="13">
        <f>Q6-Q11</f>
        <v>0</v>
      </c>
      <c r="R33" s="14">
        <v>0</v>
      </c>
      <c r="S33" s="13">
        <f>S6-S11</f>
        <v>0</v>
      </c>
      <c r="T33" s="13">
        <f>T6-T11</f>
        <v>63168</v>
      </c>
      <c r="U33" s="13">
        <f>U6-U11</f>
        <v>63168</v>
      </c>
      <c r="V33" s="13">
        <f>V6-V11</f>
        <v>24326</v>
      </c>
      <c r="W33" s="14">
        <v>0</v>
      </c>
      <c r="X33" s="13">
        <f>X6-X11</f>
        <v>151326</v>
      </c>
    </row>
    <row r="34" spans="1:24" s="1" customFormat="1" ht="9.75" x14ac:dyDescent="0.2">
      <c r="A34" s="37" t="s">
        <v>71</v>
      </c>
      <c r="B34" s="749" t="s">
        <v>72</v>
      </c>
      <c r="C34" s="749"/>
      <c r="D34" s="38" t="s">
        <v>16</v>
      </c>
      <c r="E34" s="39">
        <v>29931</v>
      </c>
      <c r="F34" s="39">
        <v>29931</v>
      </c>
      <c r="G34" s="39">
        <v>29931</v>
      </c>
      <c r="H34" s="29">
        <v>0</v>
      </c>
      <c r="I34" s="50">
        <v>21019</v>
      </c>
      <c r="J34" s="39">
        <v>29931</v>
      </c>
      <c r="K34" s="39">
        <v>29931</v>
      </c>
      <c r="L34" s="39">
        <v>29931</v>
      </c>
      <c r="M34" s="14">
        <v>0</v>
      </c>
      <c r="N34" s="39">
        <v>21019</v>
      </c>
      <c r="O34" s="39"/>
      <c r="P34" s="39"/>
      <c r="Q34" s="39"/>
      <c r="R34" s="14">
        <v>0</v>
      </c>
      <c r="S34" s="39"/>
      <c r="T34" s="39"/>
      <c r="U34" s="39"/>
      <c r="V34" s="39"/>
      <c r="W34" s="14">
        <v>0</v>
      </c>
      <c r="X34" s="39"/>
    </row>
    <row r="35" spans="1:24" s="1" customFormat="1" ht="9.75" x14ac:dyDescent="0.2">
      <c r="A35" s="40" t="s">
        <v>73</v>
      </c>
      <c r="B35" s="751" t="s">
        <v>74</v>
      </c>
      <c r="C35" s="751"/>
      <c r="D35" s="40" t="s">
        <v>75</v>
      </c>
      <c r="E35" s="48">
        <v>4</v>
      </c>
      <c r="F35" s="48">
        <v>4</v>
      </c>
      <c r="G35" s="48">
        <v>4</v>
      </c>
      <c r="H35" s="29">
        <v>0</v>
      </c>
      <c r="I35" s="48">
        <v>5</v>
      </c>
      <c r="J35" s="39">
        <v>4</v>
      </c>
      <c r="K35" s="49">
        <v>4</v>
      </c>
      <c r="L35" s="39">
        <v>4</v>
      </c>
      <c r="M35" s="14">
        <v>0</v>
      </c>
      <c r="N35" s="39">
        <v>5</v>
      </c>
      <c r="O35" s="39"/>
      <c r="P35" s="39"/>
      <c r="Q35" s="39"/>
      <c r="R35" s="14">
        <v>0</v>
      </c>
      <c r="S35" s="39"/>
      <c r="T35" s="39"/>
      <c r="U35" s="39"/>
      <c r="V35" s="39"/>
      <c r="W35" s="14">
        <v>0</v>
      </c>
      <c r="X35" s="39"/>
    </row>
    <row r="36" spans="1:24" s="1" customFormat="1" ht="9.75" x14ac:dyDescent="0.2">
      <c r="A36" s="37" t="s">
        <v>76</v>
      </c>
      <c r="B36" s="749" t="s">
        <v>77</v>
      </c>
      <c r="C36" s="749"/>
      <c r="D36" s="38" t="s">
        <v>75</v>
      </c>
      <c r="E36" s="48">
        <v>4</v>
      </c>
      <c r="F36" s="48">
        <v>4</v>
      </c>
      <c r="G36" s="48">
        <v>4</v>
      </c>
      <c r="H36" s="29">
        <v>0</v>
      </c>
      <c r="I36" s="48">
        <v>5</v>
      </c>
      <c r="J36" s="39">
        <v>4</v>
      </c>
      <c r="K36" s="39">
        <v>4</v>
      </c>
      <c r="L36" s="39">
        <v>4</v>
      </c>
      <c r="M36" s="14">
        <v>0</v>
      </c>
      <c r="N36" s="39">
        <v>5</v>
      </c>
      <c r="O36" s="39"/>
      <c r="P36" s="39"/>
      <c r="Q36" s="39"/>
      <c r="R36" s="14">
        <v>0</v>
      </c>
      <c r="S36" s="39"/>
      <c r="T36" s="39"/>
      <c r="U36" s="39"/>
      <c r="V36" s="39"/>
      <c r="W36" s="14">
        <v>0</v>
      </c>
      <c r="X36" s="39"/>
    </row>
  </sheetData>
  <mergeCells count="38">
    <mergeCell ref="A1:X1"/>
    <mergeCell ref="A3:A5"/>
    <mergeCell ref="B3:C5"/>
    <mergeCell ref="D3:D5"/>
    <mergeCell ref="E3:I3"/>
    <mergeCell ref="J3:N3"/>
    <mergeCell ref="O3:S3"/>
    <mergeCell ref="T3:X3"/>
    <mergeCell ref="E4:E5"/>
    <mergeCell ref="F4:H4"/>
    <mergeCell ref="I4:I5"/>
    <mergeCell ref="J4:J5"/>
    <mergeCell ref="X4:X5"/>
    <mergeCell ref="B6:C6"/>
    <mergeCell ref="O4:O5"/>
    <mergeCell ref="P4:R4"/>
    <mergeCell ref="B12:C12"/>
    <mergeCell ref="K4:M4"/>
    <mergeCell ref="N4:N5"/>
    <mergeCell ref="S4:S5"/>
    <mergeCell ref="T4:T5"/>
    <mergeCell ref="U4:W4"/>
    <mergeCell ref="B8:C8"/>
    <mergeCell ref="B10:C10"/>
    <mergeCell ref="B11:C11"/>
    <mergeCell ref="B7:C7"/>
    <mergeCell ref="B13:C13"/>
    <mergeCell ref="B26:C26"/>
    <mergeCell ref="B34:C34"/>
    <mergeCell ref="B35:C35"/>
    <mergeCell ref="B15:C15"/>
    <mergeCell ref="B36:C36"/>
    <mergeCell ref="B16:C16"/>
    <mergeCell ref="B18:C18"/>
    <mergeCell ref="B19:C19"/>
    <mergeCell ref="B20:C20"/>
    <mergeCell ref="B21:C21"/>
    <mergeCell ref="B22:C22"/>
  </mergeCells>
  <pageMargins left="0.70866141732283472" right="0.70866141732283472" top="0.78740157480314965" bottom="0.78740157480314965" header="0.31496062992125984" footer="0.31496062992125984"/>
  <pageSetup paperSize="9" scale="85" firstPageNumber="131" orientation="landscape" useFirstPageNumber="1" r:id="rId1"/>
  <headerFooter>
    <oddFooter>&amp;C&amp;P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4"/>
  <sheetViews>
    <sheetView topLeftCell="A49" workbookViewId="0">
      <selection activeCell="C51" sqref="C51"/>
    </sheetView>
  </sheetViews>
  <sheetFormatPr defaultRowHeight="12.75" x14ac:dyDescent="0.2"/>
  <cols>
    <col min="1" max="1" width="33.140625" style="4" customWidth="1"/>
    <col min="2" max="2" width="19.140625" style="4" customWidth="1"/>
    <col min="3" max="5" width="14.7109375" style="4" customWidth="1"/>
    <col min="6" max="7" width="13" style="4" customWidth="1"/>
    <col min="8" max="8" width="18.42578125" style="4" customWidth="1"/>
    <col min="9" max="16384" width="9.140625" style="4"/>
  </cols>
  <sheetData>
    <row r="1" spans="1:9" s="168" customFormat="1" ht="18.75" x14ac:dyDescent="0.3">
      <c r="A1" s="818" t="s">
        <v>186</v>
      </c>
      <c r="B1" s="818"/>
      <c r="C1" s="818"/>
      <c r="D1" s="818"/>
      <c r="E1" s="818"/>
      <c r="F1" s="818"/>
      <c r="G1" s="818"/>
      <c r="H1" s="818"/>
      <c r="I1" s="818"/>
    </row>
    <row r="3" spans="1:9" s="169" customFormat="1" ht="10.5" x14ac:dyDescent="0.15">
      <c r="A3" s="781" t="s">
        <v>99</v>
      </c>
      <c r="B3" s="781"/>
      <c r="C3" s="781"/>
      <c r="D3" s="781"/>
      <c r="E3" s="781"/>
      <c r="F3" s="781"/>
      <c r="G3" s="781"/>
      <c r="H3" s="781"/>
      <c r="I3" s="781"/>
    </row>
    <row r="4" spans="1:9" s="170" customFormat="1" ht="11.25" x14ac:dyDescent="0.2"/>
    <row r="5" spans="1:9" s="172" customFormat="1" ht="9.75" x14ac:dyDescent="0.2">
      <c r="A5" s="819" t="s">
        <v>100</v>
      </c>
      <c r="B5" s="820"/>
      <c r="C5" s="171" t="s">
        <v>16</v>
      </c>
      <c r="D5" s="805" t="s">
        <v>101</v>
      </c>
      <c r="E5" s="805"/>
      <c r="F5" s="805"/>
      <c r="G5" s="805"/>
      <c r="H5" s="805"/>
      <c r="I5" s="805"/>
    </row>
    <row r="6" spans="1:9" s="170" customFormat="1" ht="51" customHeight="1" x14ac:dyDescent="0.2">
      <c r="A6" s="821" t="s">
        <v>102</v>
      </c>
      <c r="B6" s="822"/>
      <c r="C6" s="173">
        <v>137891.42000000001</v>
      </c>
      <c r="D6" s="890" t="s">
        <v>187</v>
      </c>
      <c r="E6" s="1093"/>
      <c r="F6" s="1093"/>
      <c r="G6" s="1093"/>
      <c r="H6" s="1093"/>
      <c r="I6" s="892"/>
    </row>
    <row r="7" spans="1:9" s="174" customFormat="1" ht="24.75" customHeight="1" x14ac:dyDescent="0.15">
      <c r="A7" s="821" t="s">
        <v>103</v>
      </c>
      <c r="B7" s="822"/>
      <c r="C7" s="173">
        <v>24325.7</v>
      </c>
      <c r="D7" s="1205" t="s">
        <v>188</v>
      </c>
      <c r="E7" s="1206"/>
      <c r="F7" s="1206"/>
      <c r="G7" s="1206"/>
      <c r="H7" s="1206"/>
      <c r="I7" s="1207"/>
    </row>
    <row r="8" spans="1:9" s="174" customFormat="1" ht="15" customHeight="1" x14ac:dyDescent="0.15">
      <c r="A8" s="829" t="s">
        <v>105</v>
      </c>
      <c r="B8" s="830"/>
      <c r="C8" s="175">
        <v>0</v>
      </c>
      <c r="D8" s="1208"/>
      <c r="E8" s="1209"/>
      <c r="F8" s="1209"/>
      <c r="G8" s="1209"/>
      <c r="H8" s="1209"/>
      <c r="I8" s="1210"/>
    </row>
    <row r="9" spans="1:9" s="170" customFormat="1" ht="11.25" x14ac:dyDescent="0.2">
      <c r="C9" s="176"/>
    </row>
    <row r="10" spans="1:9" s="177" customFormat="1" ht="11.25" x14ac:dyDescent="0.2">
      <c r="A10" s="781" t="s">
        <v>106</v>
      </c>
      <c r="B10" s="781"/>
      <c r="C10" s="781"/>
      <c r="D10" s="781"/>
      <c r="E10" s="781"/>
      <c r="F10" s="781"/>
      <c r="G10" s="781"/>
      <c r="H10" s="781"/>
      <c r="I10" s="781"/>
    </row>
    <row r="11" spans="1:9" s="170" customFormat="1" ht="12" thickBot="1" x14ac:dyDescent="0.25">
      <c r="C11" s="176"/>
    </row>
    <row r="12" spans="1:9" s="181" customFormat="1" ht="21" x14ac:dyDescent="0.15">
      <c r="A12" s="178" t="s">
        <v>107</v>
      </c>
      <c r="B12" s="178" t="s">
        <v>108</v>
      </c>
      <c r="C12" s="179" t="s">
        <v>109</v>
      </c>
      <c r="D12" s="180" t="s">
        <v>110</v>
      </c>
      <c r="E12" s="179" t="s">
        <v>111</v>
      </c>
      <c r="F12" s="814" t="s">
        <v>112</v>
      </c>
      <c r="G12" s="815"/>
      <c r="H12" s="816" t="s">
        <v>113</v>
      </c>
      <c r="I12" s="817"/>
    </row>
    <row r="13" spans="1:9" s="181" customFormat="1" ht="43.5" customHeight="1" x14ac:dyDescent="0.15">
      <c r="A13" s="182" t="s">
        <v>114</v>
      </c>
      <c r="B13" s="183">
        <v>0</v>
      </c>
      <c r="C13" s="184">
        <v>214034.63</v>
      </c>
      <c r="D13" s="185">
        <v>72429</v>
      </c>
      <c r="E13" s="184">
        <f>B13+C13-D13</f>
        <v>141605.63</v>
      </c>
      <c r="F13" s="809">
        <v>141605.63</v>
      </c>
      <c r="G13" s="809"/>
      <c r="H13" s="801" t="s">
        <v>189</v>
      </c>
      <c r="I13" s="802"/>
    </row>
    <row r="14" spans="1:9" s="181" customFormat="1" ht="43.5" customHeight="1" x14ac:dyDescent="0.15">
      <c r="A14" s="182" t="s">
        <v>115</v>
      </c>
      <c r="B14" s="183">
        <v>0</v>
      </c>
      <c r="C14" s="184">
        <v>0</v>
      </c>
      <c r="D14" s="185">
        <v>0</v>
      </c>
      <c r="E14" s="184">
        <f t="shared" ref="E14:E17" si="0">B14+C14-D14</f>
        <v>0</v>
      </c>
      <c r="F14" s="810">
        <v>0</v>
      </c>
      <c r="G14" s="811"/>
      <c r="H14" s="801" t="s">
        <v>190</v>
      </c>
      <c r="I14" s="812"/>
    </row>
    <row r="15" spans="1:9" s="181" customFormat="1" ht="48" customHeight="1" x14ac:dyDescent="0.15">
      <c r="A15" s="186" t="s">
        <v>116</v>
      </c>
      <c r="B15" s="187">
        <v>413367.2</v>
      </c>
      <c r="C15" s="188">
        <v>242137</v>
      </c>
      <c r="D15" s="189">
        <v>298936</v>
      </c>
      <c r="E15" s="184">
        <f t="shared" si="0"/>
        <v>356568.19999999995</v>
      </c>
      <c r="F15" s="813">
        <v>354608.2</v>
      </c>
      <c r="G15" s="813"/>
      <c r="H15" s="801" t="s">
        <v>191</v>
      </c>
      <c r="I15" s="802"/>
    </row>
    <row r="16" spans="1:9" s="181" customFormat="1" ht="35.25" customHeight="1" x14ac:dyDescent="0.15">
      <c r="A16" s="190" t="s">
        <v>117</v>
      </c>
      <c r="B16" s="191">
        <v>0</v>
      </c>
      <c r="C16" s="192">
        <v>30000</v>
      </c>
      <c r="D16" s="193">
        <v>0</v>
      </c>
      <c r="E16" s="184">
        <f t="shared" si="0"/>
        <v>30000</v>
      </c>
      <c r="F16" s="800">
        <v>30000</v>
      </c>
      <c r="G16" s="800"/>
      <c r="H16" s="801" t="s">
        <v>192</v>
      </c>
      <c r="I16" s="802"/>
    </row>
    <row r="17" spans="1:9" s="181" customFormat="1" ht="51" customHeight="1" x14ac:dyDescent="0.15">
      <c r="A17" s="194" t="s">
        <v>118</v>
      </c>
      <c r="B17" s="195">
        <v>9119</v>
      </c>
      <c r="C17" s="196">
        <v>14367</v>
      </c>
      <c r="D17" s="197">
        <v>8724</v>
      </c>
      <c r="E17" s="184">
        <f t="shared" si="0"/>
        <v>14762</v>
      </c>
      <c r="F17" s="803">
        <v>13730</v>
      </c>
      <c r="G17" s="803"/>
      <c r="H17" s="801" t="s">
        <v>193</v>
      </c>
      <c r="I17" s="802"/>
    </row>
    <row r="18" spans="1:9" s="181" customFormat="1" thickBot="1" x14ac:dyDescent="0.2">
      <c r="A18" s="198" t="s">
        <v>120</v>
      </c>
      <c r="B18" s="199">
        <f>SUM(B13:B17)</f>
        <v>422486.2</v>
      </c>
      <c r="C18" s="200">
        <f>SUM(C13:C17)</f>
        <v>500538.63</v>
      </c>
      <c r="D18" s="201">
        <f>SUM(D13:D17)</f>
        <v>380089</v>
      </c>
      <c r="E18" s="200">
        <f>SUM(E13:E17)</f>
        <v>542935.82999999996</v>
      </c>
      <c r="F18" s="804">
        <f>SUM(F13:G17)</f>
        <v>539943.83000000007</v>
      </c>
      <c r="G18" s="804"/>
      <c r="H18" s="202"/>
      <c r="I18" s="203"/>
    </row>
    <row r="19" spans="1:9" s="204" customFormat="1" ht="11.25" x14ac:dyDescent="0.2">
      <c r="C19" s="205"/>
    </row>
    <row r="20" spans="1:9" s="177" customFormat="1" ht="11.25" x14ac:dyDescent="0.2">
      <c r="A20" s="781" t="s">
        <v>121</v>
      </c>
      <c r="B20" s="781"/>
      <c r="C20" s="781"/>
      <c r="D20" s="781"/>
      <c r="E20" s="781"/>
      <c r="F20" s="781"/>
      <c r="G20" s="781"/>
      <c r="H20" s="781"/>
      <c r="I20" s="781"/>
    </row>
    <row r="21" spans="1:9" s="170" customFormat="1" ht="11.25" x14ac:dyDescent="0.2">
      <c r="C21" s="176"/>
    </row>
    <row r="22" spans="1:9" s="170" customFormat="1" ht="11.25" x14ac:dyDescent="0.2">
      <c r="A22" s="171" t="s">
        <v>122</v>
      </c>
      <c r="B22" s="171" t="s">
        <v>16</v>
      </c>
      <c r="C22" s="206" t="s">
        <v>123</v>
      </c>
      <c r="D22" s="805" t="s">
        <v>124</v>
      </c>
      <c r="E22" s="805"/>
      <c r="F22" s="805"/>
      <c r="G22" s="805"/>
      <c r="H22" s="805"/>
      <c r="I22" s="805"/>
    </row>
    <row r="23" spans="1:9" s="170" customFormat="1" ht="11.25" customHeight="1" x14ac:dyDescent="0.2">
      <c r="A23" s="207">
        <v>0</v>
      </c>
      <c r="B23" s="208">
        <v>0</v>
      </c>
      <c r="C23" s="209"/>
      <c r="D23" s="797"/>
      <c r="E23" s="798"/>
      <c r="F23" s="798"/>
      <c r="G23" s="798"/>
      <c r="H23" s="798"/>
      <c r="I23" s="799"/>
    </row>
    <row r="24" spans="1:9" s="174" customFormat="1" ht="11.25" x14ac:dyDescent="0.2">
      <c r="A24" s="210" t="s">
        <v>120</v>
      </c>
      <c r="B24" s="211">
        <f>SUM(B23:B23)</f>
        <v>0</v>
      </c>
      <c r="C24" s="806"/>
      <c r="D24" s="806"/>
      <c r="E24" s="806"/>
      <c r="F24" s="806"/>
      <c r="G24" s="806"/>
      <c r="H24" s="806"/>
      <c r="I24" s="807"/>
    </row>
    <row r="25" spans="1:9" s="204" customFormat="1" ht="11.25" x14ac:dyDescent="0.2">
      <c r="C25" s="205"/>
    </row>
    <row r="26" spans="1:9" s="204" customFormat="1" ht="11.25" x14ac:dyDescent="0.2">
      <c r="C26" s="205"/>
    </row>
    <row r="27" spans="1:9" s="177" customFormat="1" ht="11.25" x14ac:dyDescent="0.2">
      <c r="A27" s="781" t="s">
        <v>126</v>
      </c>
      <c r="B27" s="781"/>
      <c r="C27" s="781"/>
      <c r="D27" s="781"/>
      <c r="E27" s="781"/>
      <c r="F27" s="781"/>
      <c r="G27" s="781"/>
      <c r="H27" s="781"/>
      <c r="I27" s="781"/>
    </row>
    <row r="28" spans="1:9" s="170" customFormat="1" ht="11.25" x14ac:dyDescent="0.2">
      <c r="C28" s="176"/>
    </row>
    <row r="29" spans="1:9" s="170" customFormat="1" ht="11.25" x14ac:dyDescent="0.2">
      <c r="A29" s="171" t="s">
        <v>122</v>
      </c>
      <c r="B29" s="171" t="s">
        <v>16</v>
      </c>
      <c r="C29" s="206" t="s">
        <v>123</v>
      </c>
      <c r="D29" s="805" t="s">
        <v>127</v>
      </c>
      <c r="E29" s="805"/>
      <c r="F29" s="805"/>
      <c r="G29" s="805"/>
      <c r="H29" s="805"/>
      <c r="I29" s="808"/>
    </row>
    <row r="30" spans="1:9" s="170" customFormat="1" ht="11.25" customHeight="1" x14ac:dyDescent="0.2">
      <c r="A30" s="207">
        <v>0</v>
      </c>
      <c r="B30" s="208">
        <v>0</v>
      </c>
      <c r="C30" s="209"/>
      <c r="D30" s="797"/>
      <c r="E30" s="798"/>
      <c r="F30" s="798"/>
      <c r="G30" s="798"/>
      <c r="H30" s="798"/>
      <c r="I30" s="799"/>
    </row>
    <row r="31" spans="1:9" s="174" customFormat="1" ht="10.5" x14ac:dyDescent="0.15">
      <c r="A31" s="210" t="s">
        <v>120</v>
      </c>
      <c r="B31" s="211">
        <f>SUM(B30:B30)</f>
        <v>0</v>
      </c>
      <c r="C31" s="784"/>
      <c r="D31" s="784"/>
      <c r="E31" s="784"/>
      <c r="F31" s="784"/>
      <c r="G31" s="784"/>
      <c r="H31" s="784"/>
      <c r="I31" s="784"/>
    </row>
    <row r="32" spans="1:9" s="170" customFormat="1" ht="11.25" x14ac:dyDescent="0.2">
      <c r="C32" s="176"/>
    </row>
    <row r="33" spans="1:9" s="170" customFormat="1" ht="11.25" x14ac:dyDescent="0.2">
      <c r="C33" s="176"/>
    </row>
    <row r="34" spans="1:9" s="177" customFormat="1" ht="11.25" x14ac:dyDescent="0.2">
      <c r="A34" s="781" t="s">
        <v>129</v>
      </c>
      <c r="B34" s="781"/>
      <c r="C34" s="781"/>
      <c r="D34" s="781"/>
      <c r="E34" s="781"/>
      <c r="F34" s="781"/>
      <c r="G34" s="781"/>
      <c r="H34" s="781"/>
      <c r="I34" s="781"/>
    </row>
    <row r="35" spans="1:9" s="170" customFormat="1" ht="11.25" x14ac:dyDescent="0.2">
      <c r="C35" s="212"/>
    </row>
    <row r="36" spans="1:9" s="170" customFormat="1" ht="11.25" x14ac:dyDescent="0.2">
      <c r="A36" s="171" t="s">
        <v>130</v>
      </c>
      <c r="B36" s="206" t="s">
        <v>131</v>
      </c>
      <c r="C36" s="785" t="s">
        <v>132</v>
      </c>
      <c r="D36" s="785"/>
      <c r="E36" s="785"/>
      <c r="F36" s="785"/>
      <c r="G36" s="785"/>
      <c r="H36" s="785"/>
      <c r="I36" s="786"/>
    </row>
    <row r="37" spans="1:9" s="170" customFormat="1" ht="11.25" x14ac:dyDescent="0.2">
      <c r="A37" s="213">
        <v>0</v>
      </c>
      <c r="B37" s="213">
        <v>0</v>
      </c>
      <c r="C37" s="787"/>
      <c r="D37" s="787"/>
      <c r="E37" s="787"/>
      <c r="F37" s="787"/>
      <c r="G37" s="787"/>
      <c r="H37" s="787"/>
      <c r="I37" s="787"/>
    </row>
    <row r="38" spans="1:9" s="174" customFormat="1" ht="10.5" x14ac:dyDescent="0.15">
      <c r="A38" s="214">
        <f>SUM(A37:A37)</f>
        <v>0</v>
      </c>
      <c r="B38" s="214">
        <f>SUM(B37:B37)</f>
        <v>0</v>
      </c>
      <c r="C38" s="788" t="s">
        <v>120</v>
      </c>
      <c r="D38" s="789"/>
      <c r="E38" s="789"/>
      <c r="F38" s="789"/>
      <c r="G38" s="789"/>
      <c r="H38" s="789"/>
      <c r="I38" s="790"/>
    </row>
    <row r="39" spans="1:9" s="170" customFormat="1" ht="11.25" x14ac:dyDescent="0.2">
      <c r="C39" s="212"/>
    </row>
    <row r="40" spans="1:9" s="170" customFormat="1" ht="11.25" x14ac:dyDescent="0.2">
      <c r="C40" s="212"/>
    </row>
    <row r="41" spans="1:9" s="170" customFormat="1" ht="11.25" x14ac:dyDescent="0.2">
      <c r="A41" s="781" t="s">
        <v>177</v>
      </c>
      <c r="B41" s="766"/>
      <c r="C41" s="766"/>
      <c r="D41" s="766"/>
      <c r="E41" s="766"/>
      <c r="F41" s="766"/>
      <c r="G41" s="766"/>
      <c r="H41" s="766"/>
      <c r="I41" s="766"/>
    </row>
    <row r="42" spans="1:9" s="170" customFormat="1" ht="11.25" x14ac:dyDescent="0.2">
      <c r="C42" s="212"/>
    </row>
    <row r="43" spans="1:9" s="216" customFormat="1" ht="31.5" x14ac:dyDescent="0.25">
      <c r="A43" s="1203" t="s">
        <v>135</v>
      </c>
      <c r="B43" s="1204"/>
      <c r="C43" s="215" t="s">
        <v>136</v>
      </c>
      <c r="D43" s="215" t="s">
        <v>137</v>
      </c>
      <c r="E43" s="215" t="s">
        <v>138</v>
      </c>
      <c r="F43" s="215" t="s">
        <v>139</v>
      </c>
      <c r="G43" s="215" t="s">
        <v>140</v>
      </c>
    </row>
    <row r="44" spans="1:9" s="170" customFormat="1" ht="15" customHeight="1" x14ac:dyDescent="0.2">
      <c r="A44" s="791" t="s">
        <v>194</v>
      </c>
      <c r="B44" s="1202"/>
      <c r="C44" s="248">
        <v>602</v>
      </c>
      <c r="D44" s="218">
        <v>451989</v>
      </c>
      <c r="E44" s="219">
        <v>0</v>
      </c>
      <c r="F44" s="220">
        <v>43252</v>
      </c>
      <c r="G44" s="221">
        <v>43252</v>
      </c>
    </row>
    <row r="45" spans="1:9" s="170" customFormat="1" ht="11.25" customHeight="1" x14ac:dyDescent="0.2">
      <c r="A45" s="1131" t="s">
        <v>195</v>
      </c>
      <c r="B45" s="1164"/>
      <c r="C45" s="249">
        <v>501</v>
      </c>
      <c r="D45" s="223">
        <v>0</v>
      </c>
      <c r="E45" s="224">
        <v>80000</v>
      </c>
      <c r="F45" s="225">
        <v>43252</v>
      </c>
      <c r="G45" s="226">
        <v>43252</v>
      </c>
    </row>
    <row r="46" spans="1:9" s="170" customFormat="1" ht="12" x14ac:dyDescent="0.2">
      <c r="A46" s="1131" t="s">
        <v>196</v>
      </c>
      <c r="B46" s="1164"/>
      <c r="C46" s="249">
        <v>518</v>
      </c>
      <c r="D46" s="223">
        <v>0</v>
      </c>
      <c r="E46" s="224">
        <v>371989</v>
      </c>
      <c r="F46" s="225">
        <v>43252</v>
      </c>
      <c r="G46" s="226">
        <v>43252</v>
      </c>
    </row>
    <row r="47" spans="1:9" s="170" customFormat="1" ht="15" customHeight="1" x14ac:dyDescent="0.2">
      <c r="A47" s="1131" t="s">
        <v>197</v>
      </c>
      <c r="B47" s="1164"/>
      <c r="C47" s="249">
        <v>648</v>
      </c>
      <c r="D47" s="223">
        <v>72429</v>
      </c>
      <c r="E47" s="224">
        <v>0</v>
      </c>
      <c r="F47" s="225">
        <v>43252</v>
      </c>
      <c r="G47" s="226">
        <v>43252</v>
      </c>
    </row>
    <row r="48" spans="1:9" s="170" customFormat="1" ht="15" customHeight="1" x14ac:dyDescent="0.2">
      <c r="A48" s="1131" t="s">
        <v>198</v>
      </c>
      <c r="B48" s="1164"/>
      <c r="C48" s="249">
        <v>511</v>
      </c>
      <c r="D48" s="223">
        <v>0</v>
      </c>
      <c r="E48" s="224">
        <v>72429</v>
      </c>
      <c r="F48" s="225">
        <v>43252</v>
      </c>
      <c r="G48" s="226">
        <v>43252</v>
      </c>
    </row>
    <row r="49" spans="1:9" s="170" customFormat="1" ht="12" x14ac:dyDescent="0.2">
      <c r="A49" s="1131" t="s">
        <v>199</v>
      </c>
      <c r="B49" s="1164"/>
      <c r="C49" s="249">
        <v>649</v>
      </c>
      <c r="D49" s="223">
        <v>3582</v>
      </c>
      <c r="E49" s="224">
        <v>0</v>
      </c>
      <c r="F49" s="225">
        <v>43252</v>
      </c>
      <c r="G49" s="226">
        <v>43252</v>
      </c>
    </row>
    <row r="50" spans="1:9" s="170" customFormat="1" ht="12" x14ac:dyDescent="0.2">
      <c r="A50" s="1131" t="s">
        <v>200</v>
      </c>
      <c r="B50" s="1164"/>
      <c r="C50" s="249">
        <v>511</v>
      </c>
      <c r="D50" s="223">
        <v>0</v>
      </c>
      <c r="E50" s="224">
        <v>3582</v>
      </c>
      <c r="F50" s="225">
        <v>43252</v>
      </c>
      <c r="G50" s="226">
        <v>43252</v>
      </c>
    </row>
    <row r="51" spans="1:9" s="170" customFormat="1" ht="15" customHeight="1" x14ac:dyDescent="0.2">
      <c r="A51" s="1131" t="s">
        <v>201</v>
      </c>
      <c r="B51" s="1164"/>
      <c r="C51" s="249">
        <v>649</v>
      </c>
      <c r="D51" s="223">
        <v>2000</v>
      </c>
      <c r="E51" s="224">
        <v>0</v>
      </c>
      <c r="F51" s="225">
        <v>43252</v>
      </c>
      <c r="G51" s="226">
        <v>43252</v>
      </c>
    </row>
    <row r="52" spans="1:9" s="170" customFormat="1" ht="12" x14ac:dyDescent="0.2">
      <c r="A52" s="1131" t="s">
        <v>202</v>
      </c>
      <c r="B52" s="1164"/>
      <c r="C52" s="249">
        <v>501</v>
      </c>
      <c r="D52" s="223"/>
      <c r="E52" s="224">
        <v>2000</v>
      </c>
      <c r="F52" s="225">
        <v>43252</v>
      </c>
      <c r="G52" s="226">
        <v>43252</v>
      </c>
    </row>
    <row r="53" spans="1:9" s="170" customFormat="1" ht="12" x14ac:dyDescent="0.2">
      <c r="A53" s="1131" t="s">
        <v>203</v>
      </c>
      <c r="B53" s="1164"/>
      <c r="C53" s="249">
        <v>558</v>
      </c>
      <c r="D53" s="223">
        <v>0</v>
      </c>
      <c r="E53" s="224">
        <v>-73100</v>
      </c>
      <c r="F53" s="225">
        <v>43252</v>
      </c>
      <c r="G53" s="226">
        <v>43252</v>
      </c>
    </row>
    <row r="54" spans="1:9" s="170" customFormat="1" ht="12" x14ac:dyDescent="0.2">
      <c r="A54" s="1131" t="s">
        <v>204</v>
      </c>
      <c r="B54" s="1164"/>
      <c r="C54" s="249">
        <v>501</v>
      </c>
      <c r="D54" s="223">
        <v>0</v>
      </c>
      <c r="E54" s="224">
        <v>40000</v>
      </c>
      <c r="F54" s="225">
        <v>43252</v>
      </c>
      <c r="G54" s="226">
        <v>43252</v>
      </c>
    </row>
    <row r="55" spans="1:9" s="170" customFormat="1" ht="12" x14ac:dyDescent="0.2">
      <c r="A55" s="1197" t="s">
        <v>205</v>
      </c>
      <c r="B55" s="1199"/>
      <c r="C55" s="250">
        <v>555</v>
      </c>
      <c r="D55" s="232">
        <v>0</v>
      </c>
      <c r="E55" s="229">
        <v>33100</v>
      </c>
      <c r="F55" s="230">
        <v>43252</v>
      </c>
      <c r="G55" s="231">
        <v>43252</v>
      </c>
    </row>
    <row r="56" spans="1:9" s="170" customFormat="1" ht="11.25" x14ac:dyDescent="0.2">
      <c r="A56" s="1200" t="s">
        <v>178</v>
      </c>
      <c r="B56" s="1201"/>
      <c r="C56" s="233"/>
      <c r="D56" s="234">
        <f>SUM(D44:D55)</f>
        <v>530000</v>
      </c>
      <c r="E56" s="234">
        <f>SUM(E44:E55)</f>
        <v>530000</v>
      </c>
      <c r="F56" s="795"/>
      <c r="G56" s="796"/>
    </row>
    <row r="57" spans="1:9" s="170" customFormat="1" ht="15" x14ac:dyDescent="0.25">
      <c r="A57" s="782"/>
      <c r="B57" s="783"/>
      <c r="C57" s="212"/>
    </row>
    <row r="58" spans="1:9" s="170" customFormat="1" ht="11.25" x14ac:dyDescent="0.2">
      <c r="A58" s="235"/>
      <c r="C58" s="212"/>
    </row>
    <row r="59" spans="1:9" s="170" customFormat="1" ht="11.25" x14ac:dyDescent="0.2">
      <c r="A59" s="766" t="s">
        <v>180</v>
      </c>
      <c r="B59" s="766"/>
      <c r="C59" s="766"/>
      <c r="D59" s="766"/>
      <c r="E59" s="766"/>
      <c r="F59" s="766"/>
      <c r="G59" s="766"/>
      <c r="H59" s="766"/>
      <c r="I59" s="766"/>
    </row>
    <row r="60" spans="1:9" s="170" customFormat="1" ht="11.25" x14ac:dyDescent="0.2">
      <c r="C60" s="212"/>
    </row>
    <row r="61" spans="1:9" s="216" customFormat="1" ht="31.5" x14ac:dyDescent="0.25">
      <c r="A61" s="767" t="s">
        <v>135</v>
      </c>
      <c r="B61" s="768"/>
      <c r="C61" s="215" t="s">
        <v>136</v>
      </c>
      <c r="D61" s="215" t="s">
        <v>137</v>
      </c>
      <c r="E61" s="215" t="s">
        <v>138</v>
      </c>
      <c r="F61" s="215" t="s">
        <v>139</v>
      </c>
      <c r="G61" s="215" t="s">
        <v>140</v>
      </c>
    </row>
    <row r="62" spans="1:9" s="170" customFormat="1" ht="11.25" customHeight="1" x14ac:dyDescent="0.2">
      <c r="A62" s="791" t="s">
        <v>206</v>
      </c>
      <c r="B62" s="1202"/>
      <c r="C62" s="248">
        <v>603</v>
      </c>
      <c r="D62" s="218">
        <v>100000</v>
      </c>
      <c r="E62" s="219">
        <v>0</v>
      </c>
      <c r="F62" s="220">
        <v>43252</v>
      </c>
      <c r="G62" s="221">
        <v>43252</v>
      </c>
    </row>
    <row r="63" spans="1:9" s="170" customFormat="1" ht="11.25" customHeight="1" x14ac:dyDescent="0.2">
      <c r="A63" s="1131" t="s">
        <v>207</v>
      </c>
      <c r="B63" s="1164"/>
      <c r="C63" s="249">
        <v>558</v>
      </c>
      <c r="D63" s="223">
        <v>0</v>
      </c>
      <c r="E63" s="224">
        <v>20000</v>
      </c>
      <c r="F63" s="225">
        <v>43252</v>
      </c>
      <c r="G63" s="226">
        <v>43252</v>
      </c>
    </row>
    <row r="64" spans="1:9" s="170" customFormat="1" ht="11.25" customHeight="1" x14ac:dyDescent="0.2">
      <c r="A64" s="1131" t="s">
        <v>208</v>
      </c>
      <c r="B64" s="1164"/>
      <c r="C64" s="249">
        <v>521</v>
      </c>
      <c r="D64" s="223">
        <v>0</v>
      </c>
      <c r="E64" s="224">
        <v>80000</v>
      </c>
      <c r="F64" s="225">
        <v>43252</v>
      </c>
      <c r="G64" s="226">
        <v>43252</v>
      </c>
    </row>
    <row r="65" spans="1:9" s="170" customFormat="1" ht="11.25" customHeight="1" x14ac:dyDescent="0.2">
      <c r="A65" s="1131" t="s">
        <v>209</v>
      </c>
      <c r="B65" s="1164"/>
      <c r="C65" s="249">
        <v>604</v>
      </c>
      <c r="D65" s="223">
        <v>39000</v>
      </c>
      <c r="E65" s="224">
        <v>0</v>
      </c>
      <c r="F65" s="225">
        <v>43252</v>
      </c>
      <c r="G65" s="226">
        <v>43252</v>
      </c>
    </row>
    <row r="66" spans="1:9" s="170" customFormat="1" ht="11.25" customHeight="1" x14ac:dyDescent="0.2">
      <c r="A66" s="1131" t="s">
        <v>195</v>
      </c>
      <c r="B66" s="1164"/>
      <c r="C66" s="249">
        <v>501</v>
      </c>
      <c r="D66" s="223">
        <v>0</v>
      </c>
      <c r="E66" s="224">
        <v>20000</v>
      </c>
      <c r="F66" s="225">
        <v>43252</v>
      </c>
      <c r="G66" s="226">
        <v>43252</v>
      </c>
    </row>
    <row r="67" spans="1:9" s="170" customFormat="1" ht="11.25" customHeight="1" x14ac:dyDescent="0.2">
      <c r="A67" s="1131" t="s">
        <v>210</v>
      </c>
      <c r="B67" s="1164"/>
      <c r="C67" s="249">
        <v>502</v>
      </c>
      <c r="D67" s="223">
        <v>0</v>
      </c>
      <c r="E67" s="224">
        <v>8000</v>
      </c>
      <c r="F67" s="225">
        <v>43252</v>
      </c>
      <c r="G67" s="226">
        <v>43252</v>
      </c>
    </row>
    <row r="68" spans="1:9" s="170" customFormat="1" ht="11.25" customHeight="1" x14ac:dyDescent="0.2">
      <c r="A68" s="1131" t="s">
        <v>204</v>
      </c>
      <c r="B68" s="1164"/>
      <c r="C68" s="249">
        <v>511</v>
      </c>
      <c r="D68" s="223">
        <v>0</v>
      </c>
      <c r="E68" s="224">
        <v>8000</v>
      </c>
      <c r="F68" s="225">
        <v>43252</v>
      </c>
      <c r="G68" s="226">
        <v>43252</v>
      </c>
    </row>
    <row r="69" spans="1:9" s="170" customFormat="1" ht="11.25" customHeight="1" x14ac:dyDescent="0.2">
      <c r="A69" s="1131" t="s">
        <v>211</v>
      </c>
      <c r="B69" s="1164"/>
      <c r="C69" s="249">
        <v>527</v>
      </c>
      <c r="D69" s="223">
        <v>0</v>
      </c>
      <c r="E69" s="224">
        <v>3000</v>
      </c>
      <c r="F69" s="225">
        <v>43252</v>
      </c>
      <c r="G69" s="226">
        <v>43252</v>
      </c>
    </row>
    <row r="70" spans="1:9" s="170" customFormat="1" ht="11.25" x14ac:dyDescent="0.2">
      <c r="A70" s="773" t="s">
        <v>178</v>
      </c>
      <c r="B70" s="774"/>
      <c r="C70" s="233"/>
      <c r="D70" s="234">
        <f>SUM(D62:D69)</f>
        <v>139000</v>
      </c>
      <c r="E70" s="234">
        <f>SUM(E62:E69)</f>
        <v>139000</v>
      </c>
      <c r="F70" s="775"/>
      <c r="G70" s="776"/>
    </row>
    <row r="71" spans="1:9" s="170" customFormat="1" ht="11.25" x14ac:dyDescent="0.2">
      <c r="C71" s="212"/>
    </row>
    <row r="72" spans="1:9" s="170" customFormat="1" ht="11.25" x14ac:dyDescent="0.2">
      <c r="C72" s="212"/>
    </row>
    <row r="73" spans="1:9" s="177" customFormat="1" ht="11.25" x14ac:dyDescent="0.2">
      <c r="A73" s="777" t="s">
        <v>238</v>
      </c>
      <c r="B73" s="777"/>
      <c r="C73" s="777"/>
      <c r="D73" s="777"/>
      <c r="E73" s="777"/>
      <c r="F73" s="777"/>
      <c r="G73" s="777"/>
      <c r="H73" s="777"/>
      <c r="I73" s="777"/>
    </row>
    <row r="74" spans="1:9" s="170" customFormat="1" ht="11.25" x14ac:dyDescent="0.2">
      <c r="A74" s="170" t="s">
        <v>212</v>
      </c>
    </row>
    <row r="75" spans="1:9" s="170" customFormat="1" ht="11.25" x14ac:dyDescent="0.2">
      <c r="A75" s="778"/>
      <c r="B75" s="779"/>
      <c r="C75" s="779"/>
      <c r="D75" s="779"/>
      <c r="E75" s="779"/>
      <c r="F75" s="779"/>
      <c r="G75" s="779"/>
      <c r="H75" s="779"/>
      <c r="I75" s="780"/>
    </row>
    <row r="76" spans="1:9" s="170" customFormat="1" ht="11.25" x14ac:dyDescent="0.2"/>
    <row r="77" spans="1:9" s="169" customFormat="1" ht="10.5" x14ac:dyDescent="0.15">
      <c r="A77" s="781" t="s">
        <v>165</v>
      </c>
      <c r="B77" s="781"/>
      <c r="C77" s="781"/>
      <c r="D77" s="781"/>
      <c r="E77" s="781"/>
      <c r="F77" s="781"/>
      <c r="G77" s="781"/>
      <c r="H77" s="781"/>
      <c r="I77" s="781"/>
    </row>
    <row r="78" spans="1:9" s="170" customFormat="1" ht="11.25" x14ac:dyDescent="0.2">
      <c r="A78" s="170" t="s">
        <v>213</v>
      </c>
    </row>
    <row r="79" spans="1:9" s="170" customFormat="1" ht="28.5" customHeight="1" x14ac:dyDescent="0.2">
      <c r="A79" s="763" t="s">
        <v>797</v>
      </c>
      <c r="B79" s="764"/>
      <c r="C79" s="764"/>
      <c r="D79" s="764"/>
      <c r="E79" s="764"/>
      <c r="F79" s="764"/>
      <c r="G79" s="764"/>
      <c r="H79" s="764"/>
      <c r="I79" s="765"/>
    </row>
    <row r="80" spans="1:9" s="170" customFormat="1" ht="39" customHeight="1" x14ac:dyDescent="0.2">
      <c r="A80" s="763"/>
      <c r="B80" s="764"/>
      <c r="C80" s="764"/>
      <c r="D80" s="764"/>
      <c r="E80" s="764"/>
      <c r="F80" s="764"/>
      <c r="G80" s="764"/>
      <c r="H80" s="764"/>
      <c r="I80" s="765"/>
    </row>
    <row r="81" spans="1:9" s="170" customFormat="1" ht="18.75" customHeight="1" x14ac:dyDescent="0.2">
      <c r="A81" s="763"/>
      <c r="B81" s="764"/>
      <c r="C81" s="764"/>
      <c r="D81" s="764"/>
      <c r="E81" s="764"/>
      <c r="F81" s="764"/>
      <c r="G81" s="764"/>
      <c r="H81" s="764"/>
      <c r="I81" s="765"/>
    </row>
    <row r="82" spans="1:9" x14ac:dyDescent="0.2">
      <c r="A82" s="4" t="s">
        <v>214</v>
      </c>
    </row>
    <row r="83" spans="1:9" ht="14.25" customHeight="1" x14ac:dyDescent="0.2">
      <c r="A83" s="246" t="s">
        <v>215</v>
      </c>
    </row>
    <row r="84" spans="1:9" ht="13.5" customHeight="1" x14ac:dyDescent="0.2">
      <c r="A84" s="246"/>
    </row>
  </sheetData>
  <mergeCells count="71">
    <mergeCell ref="F12:G12"/>
    <mergeCell ref="H12:I12"/>
    <mergeCell ref="A1:I1"/>
    <mergeCell ref="A3:I3"/>
    <mergeCell ref="A5:B5"/>
    <mergeCell ref="D5:I5"/>
    <mergeCell ref="A6:B6"/>
    <mergeCell ref="D6:I6"/>
    <mergeCell ref="A7:B7"/>
    <mergeCell ref="D7:I7"/>
    <mergeCell ref="A8:B8"/>
    <mergeCell ref="D8:I8"/>
    <mergeCell ref="A10:I10"/>
    <mergeCell ref="A20:I20"/>
    <mergeCell ref="F13:G13"/>
    <mergeCell ref="H13:I13"/>
    <mergeCell ref="F14:G14"/>
    <mergeCell ref="H14:I14"/>
    <mergeCell ref="F15:G15"/>
    <mergeCell ref="H15:I15"/>
    <mergeCell ref="F16:G16"/>
    <mergeCell ref="H16:I16"/>
    <mergeCell ref="F17:G17"/>
    <mergeCell ref="H17:I17"/>
    <mergeCell ref="F18:G18"/>
    <mergeCell ref="A41:I41"/>
    <mergeCell ref="D22:I22"/>
    <mergeCell ref="D23:I23"/>
    <mergeCell ref="C24:I24"/>
    <mergeCell ref="A27:I27"/>
    <mergeCell ref="D29:I29"/>
    <mergeCell ref="D30:I30"/>
    <mergeCell ref="C31:I31"/>
    <mergeCell ref="A34:I34"/>
    <mergeCell ref="C36:I36"/>
    <mergeCell ref="C37:I37"/>
    <mergeCell ref="C38:I38"/>
    <mergeCell ref="A54:B54"/>
    <mergeCell ref="A43:B43"/>
    <mergeCell ref="A44:B44"/>
    <mergeCell ref="A45:B45"/>
    <mergeCell ref="A46:B46"/>
    <mergeCell ref="A47:B47"/>
    <mergeCell ref="A48:B48"/>
    <mergeCell ref="A49:B49"/>
    <mergeCell ref="A50:B50"/>
    <mergeCell ref="A51:B51"/>
    <mergeCell ref="A52:B52"/>
    <mergeCell ref="A53:B53"/>
    <mergeCell ref="A67:B67"/>
    <mergeCell ref="A55:B55"/>
    <mergeCell ref="A56:B56"/>
    <mergeCell ref="F56:G56"/>
    <mergeCell ref="A57:B57"/>
    <mergeCell ref="A59:I59"/>
    <mergeCell ref="A61:B61"/>
    <mergeCell ref="A62:B62"/>
    <mergeCell ref="A63:B63"/>
    <mergeCell ref="A64:B64"/>
    <mergeCell ref="A65:B65"/>
    <mergeCell ref="A66:B66"/>
    <mergeCell ref="A77:I77"/>
    <mergeCell ref="A79:I79"/>
    <mergeCell ref="A80:I80"/>
    <mergeCell ref="A81:I81"/>
    <mergeCell ref="A68:B68"/>
    <mergeCell ref="A69:B69"/>
    <mergeCell ref="A70:B70"/>
    <mergeCell ref="F70:G70"/>
    <mergeCell ref="A73:I73"/>
    <mergeCell ref="A75:I75"/>
  </mergeCells>
  <pageMargins left="0.70866141732283472" right="0.70866141732283472" top="0.78740157480314965" bottom="0.78740157480314965" header="0.31496062992125984" footer="0.31496062992125984"/>
  <pageSetup paperSize="9" scale="58" firstPageNumber="132" orientation="portrait" useFirstPageNumber="1" r:id="rId1"/>
  <headerFooter>
    <oddFooter>&amp;C&amp;P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6"/>
  <sheetViews>
    <sheetView workbookViewId="0">
      <selection activeCell="C51" sqref="C51"/>
    </sheetView>
  </sheetViews>
  <sheetFormatPr defaultColWidth="3.7109375" defaultRowHeight="15" x14ac:dyDescent="0.25"/>
  <cols>
    <col min="1" max="1" width="3.140625" style="2" customWidth="1"/>
    <col min="2" max="2" width="3.7109375" style="3" customWidth="1"/>
    <col min="3" max="3" width="21" style="3" customWidth="1"/>
    <col min="4" max="4" width="4.85546875" style="3" customWidth="1"/>
    <col min="5" max="7" width="6.28515625" style="3" customWidth="1"/>
    <col min="8" max="8" width="5" style="3" customWidth="1"/>
    <col min="9" max="12" width="6.28515625" style="3" customWidth="1"/>
    <col min="13" max="13" width="5" style="3" customWidth="1"/>
    <col min="14" max="17" width="6.28515625" style="3" customWidth="1"/>
    <col min="18" max="18" width="5" style="3" customWidth="1"/>
    <col min="19" max="22" width="6.28515625" style="3" customWidth="1"/>
    <col min="23" max="23" width="5" style="3" customWidth="1"/>
    <col min="24" max="24" width="6.28515625" style="3" customWidth="1"/>
    <col min="25" max="16384" width="3.7109375" style="3"/>
  </cols>
  <sheetData>
    <row r="1" spans="1:24" s="6" customFormat="1" ht="15.75" x14ac:dyDescent="0.25">
      <c r="A1" s="759" t="s">
        <v>78</v>
      </c>
      <c r="B1" s="759"/>
      <c r="C1" s="759"/>
      <c r="D1" s="759"/>
      <c r="E1" s="759"/>
      <c r="F1" s="759"/>
      <c r="G1" s="759"/>
      <c r="H1" s="759"/>
      <c r="I1" s="759"/>
      <c r="J1" s="759"/>
      <c r="K1" s="759"/>
      <c r="L1" s="759"/>
      <c r="M1" s="759"/>
      <c r="N1" s="759"/>
      <c r="O1" s="759"/>
      <c r="P1" s="759"/>
      <c r="Q1" s="759"/>
      <c r="R1" s="759"/>
      <c r="S1" s="759"/>
      <c r="T1" s="759"/>
      <c r="U1" s="759"/>
      <c r="V1" s="759"/>
      <c r="W1" s="759"/>
      <c r="X1" s="759"/>
    </row>
    <row r="3" spans="1:24" s="7" customFormat="1" ht="9.75" customHeight="1" x14ac:dyDescent="0.2">
      <c r="A3" s="752" t="s">
        <v>1</v>
      </c>
      <c r="B3" s="761" t="s">
        <v>2</v>
      </c>
      <c r="C3" s="760"/>
      <c r="D3" s="761" t="s">
        <v>3</v>
      </c>
      <c r="E3" s="762" t="s">
        <v>4</v>
      </c>
      <c r="F3" s="762"/>
      <c r="G3" s="762"/>
      <c r="H3" s="762"/>
      <c r="I3" s="762"/>
      <c r="J3" s="762" t="s">
        <v>5</v>
      </c>
      <c r="K3" s="762"/>
      <c r="L3" s="762"/>
      <c r="M3" s="762"/>
      <c r="N3" s="762"/>
      <c r="O3" s="762" t="s">
        <v>6</v>
      </c>
      <c r="P3" s="762"/>
      <c r="Q3" s="762"/>
      <c r="R3" s="762"/>
      <c r="S3" s="762"/>
      <c r="T3" s="762" t="s">
        <v>7</v>
      </c>
      <c r="U3" s="762"/>
      <c r="V3" s="762"/>
      <c r="W3" s="762"/>
      <c r="X3" s="762"/>
    </row>
    <row r="4" spans="1:24" s="8" customFormat="1" ht="9.75" customHeight="1" x14ac:dyDescent="0.2">
      <c r="A4" s="760"/>
      <c r="B4" s="760"/>
      <c r="C4" s="760"/>
      <c r="D4" s="761"/>
      <c r="E4" s="754" t="s">
        <v>8</v>
      </c>
      <c r="F4" s="755" t="s">
        <v>9</v>
      </c>
      <c r="G4" s="755"/>
      <c r="H4" s="755"/>
      <c r="I4" s="752" t="s">
        <v>10</v>
      </c>
      <c r="J4" s="754" t="s">
        <v>8</v>
      </c>
      <c r="K4" s="755" t="s">
        <v>9</v>
      </c>
      <c r="L4" s="755"/>
      <c r="M4" s="755"/>
      <c r="N4" s="752" t="s">
        <v>10</v>
      </c>
      <c r="O4" s="754" t="s">
        <v>8</v>
      </c>
      <c r="P4" s="755" t="s">
        <v>9</v>
      </c>
      <c r="Q4" s="755"/>
      <c r="R4" s="755"/>
      <c r="S4" s="752" t="s">
        <v>10</v>
      </c>
      <c r="T4" s="754" t="s">
        <v>8</v>
      </c>
      <c r="U4" s="755" t="s">
        <v>9</v>
      </c>
      <c r="V4" s="755"/>
      <c r="W4" s="755"/>
      <c r="X4" s="752" t="s">
        <v>10</v>
      </c>
    </row>
    <row r="5" spans="1:24" s="10" customFormat="1" ht="9.75" customHeight="1" x14ac:dyDescent="0.2">
      <c r="A5" s="760"/>
      <c r="B5" s="760"/>
      <c r="C5" s="760"/>
      <c r="D5" s="761"/>
      <c r="E5" s="754"/>
      <c r="F5" s="9" t="s">
        <v>11</v>
      </c>
      <c r="G5" s="9" t="s">
        <v>12</v>
      </c>
      <c r="H5" s="9" t="s">
        <v>13</v>
      </c>
      <c r="I5" s="752"/>
      <c r="J5" s="754"/>
      <c r="K5" s="9" t="s">
        <v>11</v>
      </c>
      <c r="L5" s="9" t="s">
        <v>12</v>
      </c>
      <c r="M5" s="9" t="s">
        <v>13</v>
      </c>
      <c r="N5" s="752"/>
      <c r="O5" s="754"/>
      <c r="P5" s="9" t="s">
        <v>11</v>
      </c>
      <c r="Q5" s="9" t="s">
        <v>12</v>
      </c>
      <c r="R5" s="9" t="s">
        <v>13</v>
      </c>
      <c r="S5" s="752"/>
      <c r="T5" s="754"/>
      <c r="U5" s="9" t="s">
        <v>79</v>
      </c>
      <c r="V5" s="9" t="s">
        <v>12</v>
      </c>
      <c r="W5" s="9" t="s">
        <v>13</v>
      </c>
      <c r="X5" s="752"/>
    </row>
    <row r="6" spans="1:24" s="7" customFormat="1" ht="9.75" customHeight="1" x14ac:dyDescent="0.2">
      <c r="A6" s="11" t="s">
        <v>14</v>
      </c>
      <c r="B6" s="753" t="s">
        <v>15</v>
      </c>
      <c r="C6" s="753"/>
      <c r="D6" s="12" t="s">
        <v>16</v>
      </c>
      <c r="E6" s="13">
        <f>SUM(E7:E9)</f>
        <v>2886360</v>
      </c>
      <c r="F6" s="13">
        <f>SUM(F7:F9)</f>
        <v>2886360</v>
      </c>
      <c r="G6" s="13">
        <f>SUM(G7:G9)</f>
        <v>1481429</v>
      </c>
      <c r="H6" s="14">
        <f t="shared" ref="H6:H36" si="0">G6/F6*100</f>
        <v>51.325163874222199</v>
      </c>
      <c r="I6" s="13">
        <f>SUM(I7:I9)</f>
        <v>1370767</v>
      </c>
      <c r="J6" s="13">
        <f>SUM(J7:J9)</f>
        <v>2886360</v>
      </c>
      <c r="K6" s="13">
        <f t="shared" ref="K6:L6" si="1">SUM(K7:K9)</f>
        <v>2886360</v>
      </c>
      <c r="L6" s="13">
        <f t="shared" si="1"/>
        <v>1481429</v>
      </c>
      <c r="M6" s="14">
        <f t="shared" ref="M6:M36" si="2">L6/K6*100</f>
        <v>51.325163874222199</v>
      </c>
      <c r="N6" s="13">
        <f>SUM(N7:N9)</f>
        <v>1370767</v>
      </c>
      <c r="O6" s="13"/>
      <c r="P6" s="13"/>
      <c r="Q6" s="13"/>
      <c r="R6" s="14"/>
      <c r="S6" s="13"/>
      <c r="T6" s="13"/>
      <c r="U6" s="13"/>
      <c r="V6" s="13"/>
      <c r="W6" s="14"/>
      <c r="X6" s="13"/>
    </row>
    <row r="7" spans="1:24" s="7" customFormat="1" ht="9.75" x14ac:dyDescent="0.2">
      <c r="A7" s="15" t="s">
        <v>17</v>
      </c>
      <c r="B7" s="750" t="s">
        <v>18</v>
      </c>
      <c r="C7" s="750"/>
      <c r="D7" s="16" t="s">
        <v>16</v>
      </c>
      <c r="E7" s="17">
        <f t="shared" ref="E7:G9" si="3">SUM(J7,O7)</f>
        <v>483000</v>
      </c>
      <c r="F7" s="17">
        <f t="shared" si="3"/>
        <v>483000</v>
      </c>
      <c r="G7" s="17">
        <f t="shared" si="3"/>
        <v>279749</v>
      </c>
      <c r="H7" s="18">
        <f t="shared" si="0"/>
        <v>57.919047619047618</v>
      </c>
      <c r="I7" s="17">
        <v>282417</v>
      </c>
      <c r="J7" s="42">
        <v>483000</v>
      </c>
      <c r="K7" s="19">
        <v>483000</v>
      </c>
      <c r="L7" s="19">
        <v>279749</v>
      </c>
      <c r="M7" s="18">
        <f t="shared" si="2"/>
        <v>57.919047619047618</v>
      </c>
      <c r="N7" s="17">
        <v>282417</v>
      </c>
      <c r="O7" s="19"/>
      <c r="P7" s="19"/>
      <c r="Q7" s="19"/>
      <c r="R7" s="18"/>
      <c r="S7" s="19"/>
      <c r="T7" s="19"/>
      <c r="U7" s="19"/>
      <c r="V7" s="19"/>
      <c r="W7" s="18"/>
      <c r="X7" s="19"/>
    </row>
    <row r="8" spans="1:24" s="7" customFormat="1" ht="9.75" x14ac:dyDescent="0.2">
      <c r="A8" s="20" t="s">
        <v>19</v>
      </c>
      <c r="B8" s="758" t="s">
        <v>20</v>
      </c>
      <c r="C8" s="758"/>
      <c r="D8" s="16" t="s">
        <v>16</v>
      </c>
      <c r="E8" s="17"/>
      <c r="F8" s="17"/>
      <c r="G8" s="17"/>
      <c r="H8" s="18"/>
      <c r="I8" s="17"/>
      <c r="J8" s="43"/>
      <c r="K8" s="17"/>
      <c r="L8" s="17"/>
      <c r="M8" s="18"/>
      <c r="N8" s="17"/>
      <c r="O8" s="17"/>
      <c r="P8" s="17"/>
      <c r="Q8" s="17"/>
      <c r="R8" s="18"/>
      <c r="S8" s="17"/>
      <c r="T8" s="17"/>
      <c r="U8" s="17"/>
      <c r="V8" s="17"/>
      <c r="W8" s="18"/>
      <c r="X8" s="17"/>
    </row>
    <row r="9" spans="1:24" s="7" customFormat="1" ht="9.75" x14ac:dyDescent="0.2">
      <c r="A9" s="20" t="s">
        <v>21</v>
      </c>
      <c r="B9" s="21" t="s">
        <v>22</v>
      </c>
      <c r="C9" s="22"/>
      <c r="D9" s="16" t="s">
        <v>16</v>
      </c>
      <c r="E9" s="17">
        <f t="shared" si="3"/>
        <v>2403360</v>
      </c>
      <c r="F9" s="17">
        <f t="shared" si="3"/>
        <v>2403360</v>
      </c>
      <c r="G9" s="17">
        <f t="shared" si="3"/>
        <v>1201680</v>
      </c>
      <c r="H9" s="18">
        <f t="shared" si="0"/>
        <v>50</v>
      </c>
      <c r="I9" s="17">
        <v>1088350</v>
      </c>
      <c r="J9" s="43">
        <v>2403360</v>
      </c>
      <c r="K9" s="17">
        <v>2403360</v>
      </c>
      <c r="L9" s="17">
        <v>1201680</v>
      </c>
      <c r="M9" s="18">
        <f t="shared" si="2"/>
        <v>50</v>
      </c>
      <c r="N9" s="17">
        <v>1088350</v>
      </c>
      <c r="O9" s="17"/>
      <c r="P9" s="17"/>
      <c r="Q9" s="17"/>
      <c r="R9" s="18"/>
      <c r="S9" s="17"/>
      <c r="T9" s="17"/>
      <c r="U9" s="17"/>
      <c r="V9" s="17"/>
      <c r="W9" s="18"/>
      <c r="X9" s="17"/>
    </row>
    <row r="10" spans="1:24" s="7" customFormat="1" ht="9.75" x14ac:dyDescent="0.2">
      <c r="A10" s="11" t="s">
        <v>23</v>
      </c>
      <c r="B10" s="753" t="s">
        <v>24</v>
      </c>
      <c r="C10" s="753"/>
      <c r="D10" s="12" t="s">
        <v>16</v>
      </c>
      <c r="E10" s="23"/>
      <c r="F10" s="23"/>
      <c r="G10" s="23"/>
      <c r="H10" s="14"/>
      <c r="I10" s="23"/>
      <c r="J10" s="24"/>
      <c r="K10" s="23"/>
      <c r="L10" s="23"/>
      <c r="M10" s="14"/>
      <c r="N10" s="23"/>
      <c r="O10" s="23"/>
      <c r="P10" s="23"/>
      <c r="Q10" s="23"/>
      <c r="R10" s="14"/>
      <c r="S10" s="23"/>
      <c r="T10" s="23"/>
      <c r="U10" s="23"/>
      <c r="V10" s="23"/>
      <c r="W10" s="14"/>
      <c r="X10" s="23"/>
    </row>
    <row r="11" spans="1:24" s="7" customFormat="1" ht="9.75" x14ac:dyDescent="0.2">
      <c r="A11" s="11" t="s">
        <v>25</v>
      </c>
      <c r="B11" s="753" t="s">
        <v>26</v>
      </c>
      <c r="C11" s="753"/>
      <c r="D11" s="12" t="s">
        <v>16</v>
      </c>
      <c r="E11" s="13">
        <f>SUM(E12:E31)</f>
        <v>2886360</v>
      </c>
      <c r="F11" s="13">
        <f>SUM(F12:F31)</f>
        <v>2886360</v>
      </c>
      <c r="G11" s="13">
        <f>SUM(G12:G31)</f>
        <v>1330127</v>
      </c>
      <c r="H11" s="14">
        <f t="shared" si="0"/>
        <v>46.083198215052867</v>
      </c>
      <c r="I11" s="13">
        <f>SUM(I12:I31)</f>
        <v>1260537</v>
      </c>
      <c r="J11" s="13">
        <f>SUM(J12:J31)</f>
        <v>2886360</v>
      </c>
      <c r="K11" s="13">
        <f>SUM(K12:K31)</f>
        <v>2886360</v>
      </c>
      <c r="L11" s="13">
        <f>SUM(L12:L31)</f>
        <v>1330127</v>
      </c>
      <c r="M11" s="14">
        <f t="shared" si="2"/>
        <v>46.083198215052867</v>
      </c>
      <c r="N11" s="13">
        <f>SUM(N12:N31)</f>
        <v>1260537</v>
      </c>
      <c r="O11" s="13"/>
      <c r="P11" s="13"/>
      <c r="Q11" s="13"/>
      <c r="R11" s="14"/>
      <c r="S11" s="13"/>
      <c r="T11" s="13"/>
      <c r="U11" s="13"/>
      <c r="V11" s="13"/>
      <c r="W11" s="14"/>
      <c r="X11" s="13"/>
    </row>
    <row r="12" spans="1:24" s="7" customFormat="1" ht="9.75" x14ac:dyDescent="0.2">
      <c r="A12" s="15" t="s">
        <v>27</v>
      </c>
      <c r="B12" s="750" t="s">
        <v>28</v>
      </c>
      <c r="C12" s="750"/>
      <c r="D12" s="16" t="s">
        <v>16</v>
      </c>
      <c r="E12" s="17">
        <f t="shared" ref="E12:I29" si="4">SUM(J12,O12)</f>
        <v>47600</v>
      </c>
      <c r="F12" s="17">
        <f t="shared" si="4"/>
        <v>47600</v>
      </c>
      <c r="G12" s="17">
        <f t="shared" si="4"/>
        <v>22325</v>
      </c>
      <c r="H12" s="18">
        <f t="shared" si="0"/>
        <v>46.90126050420168</v>
      </c>
      <c r="I12" s="17">
        <v>23158</v>
      </c>
      <c r="J12" s="44">
        <v>47600</v>
      </c>
      <c r="K12" s="25">
        <v>47600</v>
      </c>
      <c r="L12" s="25">
        <v>22325</v>
      </c>
      <c r="M12" s="18">
        <f t="shared" si="2"/>
        <v>46.90126050420168</v>
      </c>
      <c r="N12" s="17">
        <v>23158</v>
      </c>
      <c r="O12" s="25"/>
      <c r="P12" s="25"/>
      <c r="Q12" s="25"/>
      <c r="R12" s="18"/>
      <c r="S12" s="25"/>
      <c r="T12" s="25"/>
      <c r="U12" s="25"/>
      <c r="V12" s="25"/>
      <c r="W12" s="18"/>
      <c r="X12" s="26"/>
    </row>
    <row r="13" spans="1:24" s="7" customFormat="1" ht="9.75" x14ac:dyDescent="0.2">
      <c r="A13" s="15" t="s">
        <v>29</v>
      </c>
      <c r="B13" s="750" t="s">
        <v>30</v>
      </c>
      <c r="C13" s="750"/>
      <c r="D13" s="16" t="s">
        <v>16</v>
      </c>
      <c r="E13" s="17">
        <f t="shared" si="4"/>
        <v>273000</v>
      </c>
      <c r="F13" s="17">
        <f t="shared" si="4"/>
        <v>273000</v>
      </c>
      <c r="G13" s="17">
        <f t="shared" si="4"/>
        <v>60096</v>
      </c>
      <c r="H13" s="18">
        <f t="shared" si="0"/>
        <v>22.013186813186813</v>
      </c>
      <c r="I13" s="17">
        <v>116651</v>
      </c>
      <c r="J13" s="44">
        <v>273000</v>
      </c>
      <c r="K13" s="17">
        <v>273000</v>
      </c>
      <c r="L13" s="17">
        <v>60096</v>
      </c>
      <c r="M13" s="18">
        <f t="shared" si="2"/>
        <v>22.013186813186813</v>
      </c>
      <c r="N13" s="17">
        <v>116651</v>
      </c>
      <c r="O13" s="17"/>
      <c r="P13" s="17"/>
      <c r="Q13" s="17"/>
      <c r="R13" s="18"/>
      <c r="S13" s="17"/>
      <c r="T13" s="17"/>
      <c r="U13" s="17"/>
      <c r="V13" s="17"/>
      <c r="W13" s="18"/>
      <c r="X13" s="17"/>
    </row>
    <row r="14" spans="1:24" s="7" customFormat="1" ht="9.75" x14ac:dyDescent="0.2">
      <c r="A14" s="15" t="s">
        <v>31</v>
      </c>
      <c r="B14" s="21" t="s">
        <v>32</v>
      </c>
      <c r="C14" s="21"/>
      <c r="D14" s="16" t="s">
        <v>16</v>
      </c>
      <c r="E14" s="17"/>
      <c r="F14" s="17"/>
      <c r="G14" s="17"/>
      <c r="H14" s="18"/>
      <c r="I14" s="17"/>
      <c r="J14" s="44"/>
      <c r="K14" s="17"/>
      <c r="L14" s="17"/>
      <c r="M14" s="18"/>
      <c r="N14" s="17"/>
      <c r="O14" s="17"/>
      <c r="P14" s="17"/>
      <c r="Q14" s="17"/>
      <c r="R14" s="18"/>
      <c r="S14" s="17"/>
      <c r="T14" s="17"/>
      <c r="U14" s="17"/>
      <c r="V14" s="17"/>
      <c r="W14" s="18"/>
      <c r="X14" s="17"/>
    </row>
    <row r="15" spans="1:24" s="7" customFormat="1" ht="9.75" x14ac:dyDescent="0.2">
      <c r="A15" s="15" t="s">
        <v>33</v>
      </c>
      <c r="B15" s="750" t="s">
        <v>34</v>
      </c>
      <c r="C15" s="750"/>
      <c r="D15" s="16" t="s">
        <v>16</v>
      </c>
      <c r="E15" s="17">
        <f t="shared" si="4"/>
        <v>7000</v>
      </c>
      <c r="F15" s="17">
        <f t="shared" si="4"/>
        <v>7000</v>
      </c>
      <c r="G15" s="17">
        <f t="shared" si="4"/>
        <v>2036</v>
      </c>
      <c r="H15" s="18">
        <f t="shared" si="0"/>
        <v>29.085714285714285</v>
      </c>
      <c r="I15" s="17">
        <v>5343</v>
      </c>
      <c r="J15" s="44">
        <v>7000</v>
      </c>
      <c r="K15" s="17">
        <v>7000</v>
      </c>
      <c r="L15" s="17">
        <v>2036</v>
      </c>
      <c r="M15" s="18">
        <f t="shared" si="2"/>
        <v>29.085714285714285</v>
      </c>
      <c r="N15" s="17">
        <v>5343</v>
      </c>
      <c r="O15" s="17"/>
      <c r="P15" s="17"/>
      <c r="Q15" s="17"/>
      <c r="R15" s="18"/>
      <c r="S15" s="17"/>
      <c r="T15" s="17"/>
      <c r="U15" s="17"/>
      <c r="V15" s="17"/>
      <c r="W15" s="18"/>
      <c r="X15" s="17"/>
    </row>
    <row r="16" spans="1:24" s="7" customFormat="1" ht="9.75" x14ac:dyDescent="0.2">
      <c r="A16" s="15" t="s">
        <v>35</v>
      </c>
      <c r="B16" s="750" t="s">
        <v>36</v>
      </c>
      <c r="C16" s="750"/>
      <c r="D16" s="16" t="s">
        <v>16</v>
      </c>
      <c r="E16" s="17">
        <f t="shared" si="4"/>
        <v>500</v>
      </c>
      <c r="F16" s="17">
        <f t="shared" si="4"/>
        <v>500</v>
      </c>
      <c r="G16" s="17">
        <f t="shared" si="4"/>
        <v>0</v>
      </c>
      <c r="H16" s="18">
        <f t="shared" si="0"/>
        <v>0</v>
      </c>
      <c r="I16" s="17">
        <f t="shared" si="4"/>
        <v>0</v>
      </c>
      <c r="J16" s="44">
        <v>500</v>
      </c>
      <c r="K16" s="17">
        <v>500</v>
      </c>
      <c r="L16" s="17"/>
      <c r="M16" s="18">
        <f t="shared" si="2"/>
        <v>0</v>
      </c>
      <c r="N16" s="17">
        <f t="shared" ref="N16" si="5">SUM(S16,X16)</f>
        <v>0</v>
      </c>
      <c r="O16" s="17"/>
      <c r="P16" s="17"/>
      <c r="Q16" s="17"/>
      <c r="R16" s="18"/>
      <c r="S16" s="17"/>
      <c r="T16" s="17"/>
      <c r="U16" s="17"/>
      <c r="V16" s="17"/>
      <c r="W16" s="18"/>
      <c r="X16" s="17"/>
    </row>
    <row r="17" spans="1:24" s="7" customFormat="1" ht="9.75" x14ac:dyDescent="0.2">
      <c r="A17" s="15" t="s">
        <v>37</v>
      </c>
      <c r="B17" s="21" t="s">
        <v>38</v>
      </c>
      <c r="C17" s="21"/>
      <c r="D17" s="16" t="s">
        <v>16</v>
      </c>
      <c r="E17" s="17">
        <f t="shared" si="4"/>
        <v>700</v>
      </c>
      <c r="F17" s="17">
        <f t="shared" si="4"/>
        <v>700</v>
      </c>
      <c r="G17" s="17">
        <f t="shared" si="4"/>
        <v>292</v>
      </c>
      <c r="H17" s="18">
        <f t="shared" si="0"/>
        <v>41.714285714285715</v>
      </c>
      <c r="I17" s="17">
        <v>360</v>
      </c>
      <c r="J17" s="44">
        <v>700</v>
      </c>
      <c r="K17" s="17">
        <v>700</v>
      </c>
      <c r="L17" s="17">
        <v>292</v>
      </c>
      <c r="M17" s="18">
        <f t="shared" si="2"/>
        <v>41.714285714285715</v>
      </c>
      <c r="N17" s="17">
        <v>360</v>
      </c>
      <c r="O17" s="17"/>
      <c r="P17" s="17"/>
      <c r="Q17" s="17"/>
      <c r="R17" s="18"/>
      <c r="S17" s="17"/>
      <c r="T17" s="17"/>
      <c r="U17" s="17"/>
      <c r="V17" s="17"/>
      <c r="W17" s="18"/>
      <c r="X17" s="17"/>
    </row>
    <row r="18" spans="1:24" s="7" customFormat="1" ht="9.75" x14ac:dyDescent="0.2">
      <c r="A18" s="15" t="s">
        <v>39</v>
      </c>
      <c r="B18" s="750" t="s">
        <v>40</v>
      </c>
      <c r="C18" s="750"/>
      <c r="D18" s="16" t="s">
        <v>16</v>
      </c>
      <c r="E18" s="17">
        <f t="shared" si="4"/>
        <v>245340</v>
      </c>
      <c r="F18" s="17">
        <f t="shared" si="4"/>
        <v>245340</v>
      </c>
      <c r="G18" s="17">
        <f t="shared" si="4"/>
        <v>113708</v>
      </c>
      <c r="H18" s="18">
        <f t="shared" si="0"/>
        <v>46.347110132876821</v>
      </c>
      <c r="I18" s="17">
        <v>103321</v>
      </c>
      <c r="J18" s="44">
        <v>245340</v>
      </c>
      <c r="K18" s="17">
        <v>245340</v>
      </c>
      <c r="L18" s="17">
        <v>113708</v>
      </c>
      <c r="M18" s="18">
        <f t="shared" si="2"/>
        <v>46.347110132876821</v>
      </c>
      <c r="N18" s="17">
        <v>103321</v>
      </c>
      <c r="O18" s="17"/>
      <c r="P18" s="17"/>
      <c r="Q18" s="17"/>
      <c r="R18" s="18"/>
      <c r="S18" s="17"/>
      <c r="T18" s="17"/>
      <c r="U18" s="17"/>
      <c r="V18" s="17"/>
      <c r="W18" s="18"/>
      <c r="X18" s="17"/>
    </row>
    <row r="19" spans="1:24" s="28" customFormat="1" ht="9.75" x14ac:dyDescent="0.2">
      <c r="A19" s="15" t="s">
        <v>41</v>
      </c>
      <c r="B19" s="750" t="s">
        <v>42</v>
      </c>
      <c r="C19" s="750"/>
      <c r="D19" s="16" t="s">
        <v>16</v>
      </c>
      <c r="E19" s="17">
        <f t="shared" si="4"/>
        <v>1668514</v>
      </c>
      <c r="F19" s="17">
        <f t="shared" si="4"/>
        <v>1668514</v>
      </c>
      <c r="G19" s="17">
        <f t="shared" si="4"/>
        <v>819185</v>
      </c>
      <c r="H19" s="18">
        <f t="shared" si="0"/>
        <v>49.096681238515231</v>
      </c>
      <c r="I19" s="17">
        <v>730875</v>
      </c>
      <c r="J19" s="45">
        <v>1668514</v>
      </c>
      <c r="K19" s="17">
        <v>1668514</v>
      </c>
      <c r="L19" s="17">
        <v>819185</v>
      </c>
      <c r="M19" s="18">
        <f t="shared" si="2"/>
        <v>49.096681238515231</v>
      </c>
      <c r="N19" s="17">
        <v>730875</v>
      </c>
      <c r="O19" s="17"/>
      <c r="P19" s="17"/>
      <c r="Q19" s="17"/>
      <c r="R19" s="18"/>
      <c r="S19" s="17"/>
      <c r="T19" s="27"/>
      <c r="U19" s="27"/>
      <c r="V19" s="27"/>
      <c r="W19" s="18"/>
      <c r="X19" s="27"/>
    </row>
    <row r="20" spans="1:24" s="7" customFormat="1" ht="9.75" x14ac:dyDescent="0.2">
      <c r="A20" s="15" t="s">
        <v>43</v>
      </c>
      <c r="B20" s="750" t="s">
        <v>44</v>
      </c>
      <c r="C20" s="750"/>
      <c r="D20" s="16" t="s">
        <v>16</v>
      </c>
      <c r="E20" s="17">
        <f t="shared" si="4"/>
        <v>574302</v>
      </c>
      <c r="F20" s="17">
        <f t="shared" si="4"/>
        <v>574302</v>
      </c>
      <c r="G20" s="17">
        <f t="shared" si="4"/>
        <v>279574</v>
      </c>
      <c r="H20" s="18">
        <f t="shared" si="0"/>
        <v>48.680659304686387</v>
      </c>
      <c r="I20" s="17">
        <v>251568</v>
      </c>
      <c r="J20" s="44">
        <v>574302</v>
      </c>
      <c r="K20" s="17">
        <v>574302</v>
      </c>
      <c r="L20" s="17">
        <v>279574</v>
      </c>
      <c r="M20" s="18">
        <f t="shared" si="2"/>
        <v>48.680659304686387</v>
      </c>
      <c r="N20" s="17">
        <v>251568</v>
      </c>
      <c r="O20" s="17"/>
      <c r="P20" s="17"/>
      <c r="Q20" s="17"/>
      <c r="R20" s="18"/>
      <c r="S20" s="17"/>
      <c r="T20" s="17"/>
      <c r="U20" s="17"/>
      <c r="V20" s="17"/>
      <c r="W20" s="18"/>
      <c r="X20" s="17"/>
    </row>
    <row r="21" spans="1:24" s="7" customFormat="1" ht="9.75" x14ac:dyDescent="0.2">
      <c r="A21" s="15" t="s">
        <v>45</v>
      </c>
      <c r="B21" s="750" t="s">
        <v>46</v>
      </c>
      <c r="C21" s="750"/>
      <c r="D21" s="16" t="s">
        <v>16</v>
      </c>
      <c r="E21" s="17">
        <f t="shared" si="4"/>
        <v>52374</v>
      </c>
      <c r="F21" s="17">
        <f t="shared" si="4"/>
        <v>52374</v>
      </c>
      <c r="G21" s="17">
        <f t="shared" si="4"/>
        <v>26882</v>
      </c>
      <c r="H21" s="18">
        <f t="shared" si="0"/>
        <v>51.326994310153893</v>
      </c>
      <c r="I21" s="17">
        <v>29231</v>
      </c>
      <c r="J21" s="44">
        <v>52374</v>
      </c>
      <c r="K21" s="17">
        <v>52374</v>
      </c>
      <c r="L21" s="17">
        <v>26882</v>
      </c>
      <c r="M21" s="18">
        <f t="shared" si="2"/>
        <v>51.326994310153893</v>
      </c>
      <c r="N21" s="17">
        <v>29231</v>
      </c>
      <c r="O21" s="17"/>
      <c r="P21" s="17"/>
      <c r="Q21" s="17"/>
      <c r="R21" s="18"/>
      <c r="S21" s="17"/>
      <c r="T21" s="17"/>
      <c r="U21" s="17"/>
      <c r="V21" s="17"/>
      <c r="W21" s="18"/>
      <c r="X21" s="17"/>
    </row>
    <row r="22" spans="1:24" s="7" customFormat="1" ht="9.75" x14ac:dyDescent="0.2">
      <c r="A22" s="15" t="s">
        <v>47</v>
      </c>
      <c r="B22" s="750" t="s">
        <v>48</v>
      </c>
      <c r="C22" s="750"/>
      <c r="D22" s="16" t="s">
        <v>16</v>
      </c>
      <c r="E22" s="17"/>
      <c r="F22" s="17"/>
      <c r="G22" s="17"/>
      <c r="H22" s="18"/>
      <c r="I22" s="17"/>
      <c r="J22" s="44"/>
      <c r="K22" s="17"/>
      <c r="L22" s="17"/>
      <c r="M22" s="18"/>
      <c r="N22" s="17"/>
      <c r="O22" s="17"/>
      <c r="P22" s="17"/>
      <c r="Q22" s="17"/>
      <c r="R22" s="18"/>
      <c r="S22" s="17"/>
      <c r="T22" s="17"/>
      <c r="U22" s="17"/>
      <c r="V22" s="17"/>
      <c r="W22" s="18"/>
      <c r="X22" s="17"/>
    </row>
    <row r="23" spans="1:24" s="7" customFormat="1" ht="9.75" x14ac:dyDescent="0.2">
      <c r="A23" s="15" t="s">
        <v>49</v>
      </c>
      <c r="B23" s="21" t="s">
        <v>50</v>
      </c>
      <c r="C23" s="21"/>
      <c r="D23" s="16" t="s">
        <v>16</v>
      </c>
      <c r="E23" s="17"/>
      <c r="F23" s="17"/>
      <c r="G23" s="17"/>
      <c r="H23" s="18"/>
      <c r="I23" s="17"/>
      <c r="J23" s="44"/>
      <c r="K23" s="17"/>
      <c r="L23" s="17"/>
      <c r="M23" s="18"/>
      <c r="N23" s="17"/>
      <c r="O23" s="17"/>
      <c r="P23" s="17"/>
      <c r="Q23" s="17"/>
      <c r="R23" s="18"/>
      <c r="S23" s="17"/>
      <c r="T23" s="17"/>
      <c r="U23" s="17"/>
      <c r="V23" s="17"/>
      <c r="W23" s="18"/>
      <c r="X23" s="17"/>
    </row>
    <row r="24" spans="1:24" s="7" customFormat="1" ht="9.75" x14ac:dyDescent="0.2">
      <c r="A24" s="15" t="s">
        <v>51</v>
      </c>
      <c r="B24" s="21" t="s">
        <v>52</v>
      </c>
      <c r="C24" s="21"/>
      <c r="D24" s="16" t="s">
        <v>16</v>
      </c>
      <c r="E24" s="17"/>
      <c r="F24" s="17"/>
      <c r="G24" s="17"/>
      <c r="H24" s="18"/>
      <c r="I24" s="17"/>
      <c r="J24" s="44"/>
      <c r="K24" s="17"/>
      <c r="L24" s="17"/>
      <c r="M24" s="18"/>
      <c r="N24" s="17"/>
      <c r="O24" s="17"/>
      <c r="P24" s="17"/>
      <c r="Q24" s="17"/>
      <c r="R24" s="18"/>
      <c r="S24" s="17"/>
      <c r="T24" s="17"/>
      <c r="U24" s="17"/>
      <c r="V24" s="17"/>
      <c r="W24" s="18"/>
      <c r="X24" s="17"/>
    </row>
    <row r="25" spans="1:24" s="7" customFormat="1" ht="9.75" x14ac:dyDescent="0.2">
      <c r="A25" s="15" t="s">
        <v>53</v>
      </c>
      <c r="B25" s="21" t="s">
        <v>54</v>
      </c>
      <c r="C25" s="21"/>
      <c r="D25" s="16" t="s">
        <v>16</v>
      </c>
      <c r="E25" s="17"/>
      <c r="F25" s="17"/>
      <c r="G25" s="17"/>
      <c r="H25" s="18"/>
      <c r="I25" s="17"/>
      <c r="J25" s="44"/>
      <c r="K25" s="25"/>
      <c r="L25" s="25"/>
      <c r="M25" s="18"/>
      <c r="N25" s="17"/>
      <c r="O25" s="25"/>
      <c r="P25" s="25"/>
      <c r="Q25" s="25"/>
      <c r="R25" s="18"/>
      <c r="S25" s="25"/>
      <c r="T25" s="25"/>
      <c r="U25" s="25"/>
      <c r="V25" s="25"/>
      <c r="W25" s="18"/>
      <c r="X25" s="25"/>
    </row>
    <row r="26" spans="1:24" s="30" customFormat="1" ht="9.75" x14ac:dyDescent="0.2">
      <c r="A26" s="15" t="s">
        <v>55</v>
      </c>
      <c r="B26" s="750" t="s">
        <v>56</v>
      </c>
      <c r="C26" s="750"/>
      <c r="D26" s="16" t="s">
        <v>16</v>
      </c>
      <c r="E26" s="17"/>
      <c r="F26" s="17"/>
      <c r="G26" s="17"/>
      <c r="H26" s="29"/>
      <c r="I26" s="17"/>
      <c r="J26" s="44"/>
      <c r="K26" s="26"/>
      <c r="L26" s="26"/>
      <c r="M26" s="18"/>
      <c r="N26" s="17"/>
      <c r="O26" s="26"/>
      <c r="P26" s="26"/>
      <c r="Q26" s="26"/>
      <c r="R26" s="18"/>
      <c r="S26" s="26"/>
      <c r="T26" s="46"/>
      <c r="U26" s="46"/>
      <c r="V26" s="46"/>
      <c r="W26" s="18"/>
      <c r="X26" s="46"/>
    </row>
    <row r="27" spans="1:24" s="30" customFormat="1" ht="9.75" x14ac:dyDescent="0.2">
      <c r="A27" s="15" t="s">
        <v>57</v>
      </c>
      <c r="B27" s="21" t="s">
        <v>58</v>
      </c>
      <c r="C27" s="21"/>
      <c r="D27" s="16" t="s">
        <v>16</v>
      </c>
      <c r="E27" s="17"/>
      <c r="F27" s="17"/>
      <c r="G27" s="17"/>
      <c r="H27" s="29"/>
      <c r="I27" s="17"/>
      <c r="J27" s="44"/>
      <c r="K27" s="26"/>
      <c r="L27" s="26"/>
      <c r="M27" s="18"/>
      <c r="N27" s="17"/>
      <c r="O27" s="26"/>
      <c r="P27" s="26"/>
      <c r="Q27" s="26"/>
      <c r="R27" s="18"/>
      <c r="S27" s="26"/>
      <c r="T27" s="46"/>
      <c r="U27" s="46"/>
      <c r="V27" s="46"/>
      <c r="W27" s="18"/>
      <c r="X27" s="46"/>
    </row>
    <row r="28" spans="1:24" s="30" customFormat="1" ht="9.75" x14ac:dyDescent="0.2">
      <c r="A28" s="15" t="s">
        <v>59</v>
      </c>
      <c r="B28" s="21" t="s">
        <v>60</v>
      </c>
      <c r="C28" s="21"/>
      <c r="D28" s="16" t="s">
        <v>16</v>
      </c>
      <c r="E28" s="17">
        <f>SUM(J28,O28)</f>
        <v>17000</v>
      </c>
      <c r="F28" s="17">
        <f>SUM(K28,P28)</f>
        <v>17000</v>
      </c>
      <c r="G28" s="17">
        <f>SUM(L28,Q28)</f>
        <v>5999</v>
      </c>
      <c r="H28" s="29">
        <f>G28/F28*100</f>
        <v>35.288235294117648</v>
      </c>
      <c r="I28" s="17">
        <v>0</v>
      </c>
      <c r="J28" s="44">
        <v>17000</v>
      </c>
      <c r="K28" s="26">
        <v>17000</v>
      </c>
      <c r="L28" s="26">
        <v>5999</v>
      </c>
      <c r="M28" s="18">
        <f>L28/K28*100</f>
        <v>35.288235294117648</v>
      </c>
      <c r="N28" s="17">
        <v>0</v>
      </c>
      <c r="O28" s="26"/>
      <c r="P28" s="26"/>
      <c r="Q28" s="26"/>
      <c r="R28" s="18"/>
      <c r="S28" s="26"/>
      <c r="T28" s="46"/>
      <c r="U28" s="46"/>
      <c r="V28" s="46"/>
      <c r="W28" s="18"/>
      <c r="X28" s="46"/>
    </row>
    <row r="29" spans="1:24" s="31" customFormat="1" ht="9.75" x14ac:dyDescent="0.2">
      <c r="A29" s="15" t="s">
        <v>61</v>
      </c>
      <c r="B29" s="21" t="s">
        <v>62</v>
      </c>
      <c r="C29" s="21"/>
      <c r="D29" s="16" t="s">
        <v>16</v>
      </c>
      <c r="E29" s="17">
        <f t="shared" si="4"/>
        <v>30</v>
      </c>
      <c r="F29" s="17">
        <f t="shared" si="4"/>
        <v>30</v>
      </c>
      <c r="G29" s="17">
        <f t="shared" si="4"/>
        <v>30</v>
      </c>
      <c r="H29" s="29">
        <f t="shared" si="0"/>
        <v>100</v>
      </c>
      <c r="I29" s="17">
        <v>30</v>
      </c>
      <c r="J29" s="44">
        <v>30</v>
      </c>
      <c r="K29" s="26">
        <v>30</v>
      </c>
      <c r="L29" s="26">
        <v>30</v>
      </c>
      <c r="M29" s="18">
        <f t="shared" si="2"/>
        <v>100</v>
      </c>
      <c r="N29" s="17">
        <v>30</v>
      </c>
      <c r="O29" s="26"/>
      <c r="P29" s="26"/>
      <c r="Q29" s="26"/>
      <c r="R29" s="18"/>
      <c r="S29" s="26"/>
      <c r="T29" s="46"/>
      <c r="U29" s="46"/>
      <c r="V29" s="46"/>
      <c r="W29" s="18"/>
      <c r="X29" s="46"/>
    </row>
    <row r="30" spans="1:24" s="7" customFormat="1" ht="9.75" x14ac:dyDescent="0.2">
      <c r="A30" s="15" t="s">
        <v>63</v>
      </c>
      <c r="B30" s="21" t="s">
        <v>64</v>
      </c>
      <c r="C30" s="21"/>
      <c r="D30" s="16" t="s">
        <v>16</v>
      </c>
      <c r="E30" s="17"/>
      <c r="F30" s="17"/>
      <c r="G30" s="17"/>
      <c r="H30" s="29"/>
      <c r="I30" s="17"/>
      <c r="J30" s="44"/>
      <c r="K30" s="26"/>
      <c r="L30" s="26"/>
      <c r="M30" s="18"/>
      <c r="N30" s="17"/>
      <c r="O30" s="26"/>
      <c r="P30" s="26"/>
      <c r="Q30" s="26"/>
      <c r="R30" s="18"/>
      <c r="S30" s="26"/>
      <c r="T30" s="46"/>
      <c r="U30" s="46"/>
      <c r="V30" s="46"/>
      <c r="W30" s="18"/>
      <c r="X30" s="46"/>
    </row>
    <row r="31" spans="1:24" s="34" customFormat="1" ht="9.75" x14ac:dyDescent="0.2">
      <c r="A31" s="15" t="s">
        <v>65</v>
      </c>
      <c r="B31" s="21" t="s">
        <v>66</v>
      </c>
      <c r="C31" s="21"/>
      <c r="D31" s="16" t="s">
        <v>16</v>
      </c>
      <c r="E31" s="17"/>
      <c r="F31" s="17"/>
      <c r="G31" s="17"/>
      <c r="H31" s="29"/>
      <c r="I31" s="17"/>
      <c r="J31" s="44"/>
      <c r="K31" s="32"/>
      <c r="L31" s="32"/>
      <c r="M31" s="18"/>
      <c r="N31" s="17"/>
      <c r="O31" s="32"/>
      <c r="P31" s="32"/>
      <c r="Q31" s="32"/>
      <c r="R31" s="18"/>
      <c r="S31" s="32"/>
      <c r="T31" s="33"/>
      <c r="U31" s="33"/>
      <c r="V31" s="33"/>
      <c r="W31" s="18"/>
      <c r="X31" s="33"/>
    </row>
    <row r="32" spans="1:24" s="34" customFormat="1" ht="9.75" x14ac:dyDescent="0.2">
      <c r="A32" s="15" t="s">
        <v>67</v>
      </c>
      <c r="B32" s="21" t="s">
        <v>68</v>
      </c>
      <c r="C32" s="21"/>
      <c r="D32" s="16" t="s">
        <v>16</v>
      </c>
      <c r="E32" s="17"/>
      <c r="F32" s="17"/>
      <c r="G32" s="17"/>
      <c r="H32" s="29"/>
      <c r="I32" s="17"/>
      <c r="J32" s="47"/>
      <c r="K32" s="33"/>
      <c r="L32" s="33"/>
      <c r="M32" s="18"/>
      <c r="N32" s="17"/>
      <c r="O32" s="33"/>
      <c r="P32" s="33"/>
      <c r="Q32" s="33"/>
      <c r="R32" s="18"/>
      <c r="S32" s="33"/>
      <c r="T32" s="33"/>
      <c r="U32" s="33"/>
      <c r="V32" s="33"/>
      <c r="W32" s="18"/>
      <c r="X32" s="33"/>
    </row>
    <row r="33" spans="1:24" s="34" customFormat="1" ht="9.75" x14ac:dyDescent="0.2">
      <c r="A33" s="11" t="s">
        <v>69</v>
      </c>
      <c r="B33" s="35" t="s">
        <v>70</v>
      </c>
      <c r="C33" s="35"/>
      <c r="D33" s="12" t="s">
        <v>16</v>
      </c>
      <c r="E33" s="13">
        <f>E6-E11</f>
        <v>0</v>
      </c>
      <c r="F33" s="13">
        <f>F6-F11</f>
        <v>0</v>
      </c>
      <c r="G33" s="13">
        <f>G6-G11</f>
        <v>151302</v>
      </c>
      <c r="H33" s="36"/>
      <c r="I33" s="13">
        <f>I6-I11</f>
        <v>110230</v>
      </c>
      <c r="J33" s="13">
        <f>J6-J11</f>
        <v>0</v>
      </c>
      <c r="K33" s="13">
        <f>K6-K11</f>
        <v>0</v>
      </c>
      <c r="L33" s="13">
        <f>L6-L11</f>
        <v>151302</v>
      </c>
      <c r="M33" s="14"/>
      <c r="N33" s="13">
        <f>N6-N11</f>
        <v>110230</v>
      </c>
      <c r="O33" s="13"/>
      <c r="P33" s="13"/>
      <c r="Q33" s="13"/>
      <c r="R33" s="14"/>
      <c r="S33" s="13"/>
      <c r="T33" s="13"/>
      <c r="U33" s="13"/>
      <c r="V33" s="13"/>
      <c r="W33" s="14"/>
      <c r="X33" s="13"/>
    </row>
    <row r="34" spans="1:24" s="1" customFormat="1" ht="9.75" x14ac:dyDescent="0.2">
      <c r="A34" s="37" t="s">
        <v>71</v>
      </c>
      <c r="B34" s="749" t="s">
        <v>72</v>
      </c>
      <c r="C34" s="749"/>
      <c r="D34" s="38" t="s">
        <v>16</v>
      </c>
      <c r="E34" s="48">
        <v>27808</v>
      </c>
      <c r="F34" s="48">
        <v>27808</v>
      </c>
      <c r="G34" s="48">
        <v>27306</v>
      </c>
      <c r="H34" s="29">
        <f t="shared" si="0"/>
        <v>98.194764096662837</v>
      </c>
      <c r="I34" s="48">
        <v>24363</v>
      </c>
      <c r="J34" s="39">
        <v>27808</v>
      </c>
      <c r="K34" s="39">
        <v>27808</v>
      </c>
      <c r="L34" s="39">
        <v>27306</v>
      </c>
      <c r="M34" s="14">
        <f t="shared" si="2"/>
        <v>98.194764096662837</v>
      </c>
      <c r="N34" s="48">
        <v>24363</v>
      </c>
      <c r="O34" s="39"/>
      <c r="P34" s="39"/>
      <c r="Q34" s="39"/>
      <c r="R34" s="14"/>
      <c r="S34" s="39"/>
      <c r="T34" s="39"/>
      <c r="U34" s="39"/>
      <c r="V34" s="39"/>
      <c r="W34" s="14"/>
      <c r="X34" s="39"/>
    </row>
    <row r="35" spans="1:24" s="1" customFormat="1" ht="9.75" x14ac:dyDescent="0.2">
      <c r="A35" s="40" t="s">
        <v>73</v>
      </c>
      <c r="B35" s="751" t="s">
        <v>74</v>
      </c>
      <c r="C35" s="751"/>
      <c r="D35" s="40" t="s">
        <v>75</v>
      </c>
      <c r="E35" s="48">
        <v>5</v>
      </c>
      <c r="F35" s="48">
        <v>5</v>
      </c>
      <c r="G35" s="48">
        <v>5</v>
      </c>
      <c r="H35" s="29">
        <f t="shared" si="0"/>
        <v>100</v>
      </c>
      <c r="I35" s="48">
        <v>5</v>
      </c>
      <c r="J35" s="39">
        <v>5</v>
      </c>
      <c r="K35" s="49">
        <v>5</v>
      </c>
      <c r="L35" s="39">
        <v>5</v>
      </c>
      <c r="M35" s="14">
        <f t="shared" si="2"/>
        <v>100</v>
      </c>
      <c r="N35" s="48">
        <v>5</v>
      </c>
      <c r="O35" s="39"/>
      <c r="P35" s="39"/>
      <c r="Q35" s="39"/>
      <c r="R35" s="14"/>
      <c r="S35" s="39"/>
      <c r="T35" s="39"/>
      <c r="U35" s="39"/>
      <c r="V35" s="39"/>
      <c r="W35" s="14"/>
      <c r="X35" s="39"/>
    </row>
    <row r="36" spans="1:24" s="1" customFormat="1" ht="9.75" x14ac:dyDescent="0.2">
      <c r="A36" s="37" t="s">
        <v>76</v>
      </c>
      <c r="B36" s="749" t="s">
        <v>77</v>
      </c>
      <c r="C36" s="749"/>
      <c r="D36" s="38" t="s">
        <v>75</v>
      </c>
      <c r="E36" s="48">
        <v>6</v>
      </c>
      <c r="F36" s="48">
        <v>6</v>
      </c>
      <c r="G36" s="48">
        <v>6</v>
      </c>
      <c r="H36" s="29">
        <f t="shared" si="0"/>
        <v>100</v>
      </c>
      <c r="I36" s="48">
        <v>6</v>
      </c>
      <c r="J36" s="39">
        <v>6</v>
      </c>
      <c r="K36" s="39">
        <v>6</v>
      </c>
      <c r="L36" s="39">
        <v>6</v>
      </c>
      <c r="M36" s="14">
        <f t="shared" si="2"/>
        <v>100</v>
      </c>
      <c r="N36" s="48">
        <v>6</v>
      </c>
      <c r="O36" s="39"/>
      <c r="P36" s="39"/>
      <c r="Q36" s="39"/>
      <c r="R36" s="14"/>
      <c r="S36" s="39"/>
      <c r="T36" s="39"/>
      <c r="U36" s="39"/>
      <c r="V36" s="39"/>
      <c r="W36" s="14"/>
      <c r="X36" s="39"/>
    </row>
  </sheetData>
  <mergeCells count="38">
    <mergeCell ref="A1:X1"/>
    <mergeCell ref="A3:A5"/>
    <mergeCell ref="B3:C5"/>
    <mergeCell ref="D3:D5"/>
    <mergeCell ref="E3:I3"/>
    <mergeCell ref="J3:N3"/>
    <mergeCell ref="O3:S3"/>
    <mergeCell ref="T3:X3"/>
    <mergeCell ref="E4:E5"/>
    <mergeCell ref="F4:H4"/>
    <mergeCell ref="I4:I5"/>
    <mergeCell ref="J4:J5"/>
    <mergeCell ref="X4:X5"/>
    <mergeCell ref="B6:C6"/>
    <mergeCell ref="O4:O5"/>
    <mergeCell ref="P4:R4"/>
    <mergeCell ref="B12:C12"/>
    <mergeCell ref="K4:M4"/>
    <mergeCell ref="N4:N5"/>
    <mergeCell ref="S4:S5"/>
    <mergeCell ref="T4:T5"/>
    <mergeCell ref="U4:W4"/>
    <mergeCell ref="B8:C8"/>
    <mergeCell ref="B10:C10"/>
    <mergeCell ref="B11:C11"/>
    <mergeCell ref="B7:C7"/>
    <mergeCell ref="B13:C13"/>
    <mergeCell ref="B26:C26"/>
    <mergeCell ref="B34:C34"/>
    <mergeCell ref="B35:C35"/>
    <mergeCell ref="B15:C15"/>
    <mergeCell ref="B36:C36"/>
    <mergeCell ref="B16:C16"/>
    <mergeCell ref="B18:C18"/>
    <mergeCell ref="B19:C19"/>
    <mergeCell ref="B20:C20"/>
    <mergeCell ref="B21:C21"/>
    <mergeCell ref="B22:C22"/>
  </mergeCells>
  <pageMargins left="0.70866141732283472" right="0.70866141732283472" top="0.78740157480314965" bottom="0.78740157480314965" header="0.31496062992125984" footer="0.31496062992125984"/>
  <pageSetup paperSize="9" scale="85" firstPageNumber="133" orientation="landscape" useFirstPageNumber="1" r:id="rId1"/>
  <headerFooter>
    <oddFooter>&amp;C&amp;P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5"/>
  <sheetViews>
    <sheetView topLeftCell="A25" workbookViewId="0">
      <selection activeCell="C51" sqref="C51"/>
    </sheetView>
  </sheetViews>
  <sheetFormatPr defaultRowHeight="12.75" x14ac:dyDescent="0.2"/>
  <cols>
    <col min="1" max="1" width="33.140625" style="4" customWidth="1"/>
    <col min="2" max="2" width="19.140625" style="4" customWidth="1"/>
    <col min="3" max="5" width="14.7109375" style="4" customWidth="1"/>
    <col min="6" max="7" width="13" style="4" customWidth="1"/>
    <col min="8" max="8" width="18.42578125" style="4" customWidth="1"/>
    <col min="9" max="16384" width="9.140625" style="4"/>
  </cols>
  <sheetData>
    <row r="1" spans="1:9" s="168" customFormat="1" ht="18.75" x14ac:dyDescent="0.3">
      <c r="A1" s="818" t="s">
        <v>170</v>
      </c>
      <c r="B1" s="818"/>
      <c r="C1" s="818"/>
      <c r="D1" s="818"/>
      <c r="E1" s="818"/>
      <c r="F1" s="818"/>
      <c r="G1" s="818"/>
      <c r="H1" s="818"/>
      <c r="I1" s="818"/>
    </row>
    <row r="3" spans="1:9" s="169" customFormat="1" ht="10.5" x14ac:dyDescent="0.15">
      <c r="A3" s="781" t="s">
        <v>99</v>
      </c>
      <c r="B3" s="781"/>
      <c r="C3" s="781"/>
      <c r="D3" s="781"/>
      <c r="E3" s="781"/>
      <c r="F3" s="781"/>
      <c r="G3" s="781"/>
      <c r="H3" s="781"/>
      <c r="I3" s="781"/>
    </row>
    <row r="4" spans="1:9" s="170" customFormat="1" ht="11.25" x14ac:dyDescent="0.2"/>
    <row r="5" spans="1:9" s="172" customFormat="1" ht="9.75" x14ac:dyDescent="0.2">
      <c r="A5" s="819" t="s">
        <v>100</v>
      </c>
      <c r="B5" s="820"/>
      <c r="C5" s="171" t="s">
        <v>16</v>
      </c>
      <c r="D5" s="805" t="s">
        <v>101</v>
      </c>
      <c r="E5" s="805"/>
      <c r="F5" s="805"/>
      <c r="G5" s="805"/>
      <c r="H5" s="805"/>
      <c r="I5" s="805"/>
    </row>
    <row r="6" spans="1:9" s="170" customFormat="1" ht="51" customHeight="1" x14ac:dyDescent="0.2">
      <c r="A6" s="821" t="s">
        <v>102</v>
      </c>
      <c r="B6" s="822"/>
      <c r="C6" s="173">
        <v>151301.6</v>
      </c>
      <c r="D6" s="823" t="s">
        <v>171</v>
      </c>
      <c r="E6" s="824"/>
      <c r="F6" s="824"/>
      <c r="G6" s="824"/>
      <c r="H6" s="824"/>
      <c r="I6" s="825"/>
    </row>
    <row r="7" spans="1:9" s="174" customFormat="1" ht="24.75" customHeight="1" x14ac:dyDescent="0.15">
      <c r="A7" s="821" t="s">
        <v>103</v>
      </c>
      <c r="B7" s="822"/>
      <c r="C7" s="173">
        <v>0</v>
      </c>
      <c r="D7" s="826"/>
      <c r="E7" s="827"/>
      <c r="F7" s="827"/>
      <c r="G7" s="827"/>
      <c r="H7" s="827"/>
      <c r="I7" s="828"/>
    </row>
    <row r="8" spans="1:9" s="174" customFormat="1" ht="15" customHeight="1" x14ac:dyDescent="0.15">
      <c r="A8" s="829" t="s">
        <v>105</v>
      </c>
      <c r="B8" s="830"/>
      <c r="C8" s="175">
        <v>0</v>
      </c>
      <c r="D8" s="831"/>
      <c r="E8" s="832"/>
      <c r="F8" s="832"/>
      <c r="G8" s="832"/>
      <c r="H8" s="832"/>
      <c r="I8" s="833"/>
    </row>
    <row r="9" spans="1:9" s="170" customFormat="1" ht="11.25" x14ac:dyDescent="0.2">
      <c r="C9" s="176"/>
    </row>
    <row r="10" spans="1:9" s="177" customFormat="1" ht="11.25" x14ac:dyDescent="0.2">
      <c r="A10" s="781" t="s">
        <v>106</v>
      </c>
      <c r="B10" s="781"/>
      <c r="C10" s="781"/>
      <c r="D10" s="781"/>
      <c r="E10" s="781"/>
      <c r="F10" s="781"/>
      <c r="G10" s="781"/>
      <c r="H10" s="781"/>
      <c r="I10" s="781"/>
    </row>
    <row r="11" spans="1:9" s="170" customFormat="1" ht="12" thickBot="1" x14ac:dyDescent="0.25">
      <c r="C11" s="176"/>
    </row>
    <row r="12" spans="1:9" s="181" customFormat="1" ht="20.25" customHeight="1" x14ac:dyDescent="0.15">
      <c r="A12" s="178" t="s">
        <v>107</v>
      </c>
      <c r="B12" s="178" t="s">
        <v>108</v>
      </c>
      <c r="C12" s="179" t="s">
        <v>109</v>
      </c>
      <c r="D12" s="180" t="s">
        <v>110</v>
      </c>
      <c r="E12" s="179" t="s">
        <v>111</v>
      </c>
      <c r="F12" s="814" t="s">
        <v>112</v>
      </c>
      <c r="G12" s="815"/>
      <c r="H12" s="816" t="s">
        <v>113</v>
      </c>
      <c r="I12" s="817"/>
    </row>
    <row r="13" spans="1:9" s="181" customFormat="1" ht="33.75" customHeight="1" x14ac:dyDescent="0.15">
      <c r="A13" s="182" t="s">
        <v>114</v>
      </c>
      <c r="B13" s="183">
        <v>15227.73</v>
      </c>
      <c r="C13" s="184">
        <v>70061.55</v>
      </c>
      <c r="D13" s="185"/>
      <c r="E13" s="184">
        <f>B13+C13-D13</f>
        <v>85289.279999999999</v>
      </c>
      <c r="F13" s="809">
        <v>85289.279999999999</v>
      </c>
      <c r="G13" s="809"/>
      <c r="H13" s="801" t="s">
        <v>172</v>
      </c>
      <c r="I13" s="802"/>
    </row>
    <row r="14" spans="1:9" s="181" customFormat="1" ht="16.5" customHeight="1" x14ac:dyDescent="0.15">
      <c r="A14" s="182" t="s">
        <v>115</v>
      </c>
      <c r="B14" s="183"/>
      <c r="C14" s="184"/>
      <c r="D14" s="185"/>
      <c r="E14" s="184">
        <f t="shared" ref="E14:E17" si="0">B14+C14-D14</f>
        <v>0</v>
      </c>
      <c r="F14" s="810"/>
      <c r="G14" s="811"/>
      <c r="H14" s="801"/>
      <c r="I14" s="812"/>
    </row>
    <row r="15" spans="1:9" s="181" customFormat="1" ht="15.75" customHeight="1" x14ac:dyDescent="0.15">
      <c r="A15" s="186" t="s">
        <v>116</v>
      </c>
      <c r="B15" s="187"/>
      <c r="C15" s="188"/>
      <c r="D15" s="189"/>
      <c r="E15" s="184">
        <f t="shared" si="0"/>
        <v>0</v>
      </c>
      <c r="F15" s="813"/>
      <c r="G15" s="813"/>
      <c r="H15" s="801"/>
      <c r="I15" s="802"/>
    </row>
    <row r="16" spans="1:9" s="181" customFormat="1" ht="23.25" customHeight="1" x14ac:dyDescent="0.15">
      <c r="A16" s="190" t="s">
        <v>117</v>
      </c>
      <c r="B16" s="191">
        <v>10670.73</v>
      </c>
      <c r="C16" s="192">
        <v>20000</v>
      </c>
      <c r="D16" s="193"/>
      <c r="E16" s="184">
        <f t="shared" si="0"/>
        <v>30670.73</v>
      </c>
      <c r="F16" s="800">
        <v>30670.73</v>
      </c>
      <c r="G16" s="800"/>
      <c r="H16" s="801" t="s">
        <v>172</v>
      </c>
      <c r="I16" s="802"/>
    </row>
    <row r="17" spans="1:9" s="181" customFormat="1" ht="51" customHeight="1" x14ac:dyDescent="0.15">
      <c r="A17" s="194" t="s">
        <v>118</v>
      </c>
      <c r="B17" s="195">
        <v>39852.839999999997</v>
      </c>
      <c r="C17" s="196">
        <v>16384</v>
      </c>
      <c r="D17" s="197">
        <v>9625</v>
      </c>
      <c r="E17" s="184">
        <f t="shared" si="0"/>
        <v>46611.839999999997</v>
      </c>
      <c r="F17" s="803">
        <v>45399.839999999997</v>
      </c>
      <c r="G17" s="803"/>
      <c r="H17" s="801" t="s">
        <v>173</v>
      </c>
      <c r="I17" s="802"/>
    </row>
    <row r="18" spans="1:9" s="181" customFormat="1" thickBot="1" x14ac:dyDescent="0.2">
      <c r="A18" s="198" t="s">
        <v>120</v>
      </c>
      <c r="B18" s="199">
        <f>SUM(B13:B17)</f>
        <v>65751.299999999988</v>
      </c>
      <c r="C18" s="200">
        <f>SUM(C13:C17)</f>
        <v>106445.55</v>
      </c>
      <c r="D18" s="201">
        <f>SUM(D13:D17)</f>
        <v>9625</v>
      </c>
      <c r="E18" s="200">
        <f>SUM(E13:E17)</f>
        <v>162571.84999999998</v>
      </c>
      <c r="F18" s="804">
        <f>SUM(F13:G17)</f>
        <v>161359.84999999998</v>
      </c>
      <c r="G18" s="804"/>
      <c r="H18" s="202"/>
      <c r="I18" s="203"/>
    </row>
    <row r="19" spans="1:9" s="204" customFormat="1" ht="11.25" x14ac:dyDescent="0.2">
      <c r="C19" s="205"/>
    </row>
    <row r="20" spans="1:9" s="177" customFormat="1" ht="11.25" x14ac:dyDescent="0.2">
      <c r="A20" s="781" t="s">
        <v>121</v>
      </c>
      <c r="B20" s="781"/>
      <c r="C20" s="781"/>
      <c r="D20" s="781"/>
      <c r="E20" s="781"/>
      <c r="F20" s="781"/>
      <c r="G20" s="781"/>
      <c r="H20" s="781"/>
      <c r="I20" s="781"/>
    </row>
    <row r="21" spans="1:9" s="170" customFormat="1" ht="11.25" x14ac:dyDescent="0.2">
      <c r="C21" s="176"/>
    </row>
    <row r="22" spans="1:9" s="170" customFormat="1" ht="11.25" x14ac:dyDescent="0.2">
      <c r="A22" s="171" t="s">
        <v>122</v>
      </c>
      <c r="B22" s="171" t="s">
        <v>16</v>
      </c>
      <c r="C22" s="206" t="s">
        <v>123</v>
      </c>
      <c r="D22" s="805" t="s">
        <v>124</v>
      </c>
      <c r="E22" s="805"/>
      <c r="F22" s="805"/>
      <c r="G22" s="805"/>
      <c r="H22" s="805"/>
      <c r="I22" s="805"/>
    </row>
    <row r="23" spans="1:9" s="170" customFormat="1" ht="11.25" customHeight="1" x14ac:dyDescent="0.2">
      <c r="A23" s="207"/>
      <c r="B23" s="208"/>
      <c r="C23" s="209"/>
      <c r="D23" s="797"/>
      <c r="E23" s="798"/>
      <c r="F23" s="798"/>
      <c r="G23" s="798"/>
      <c r="H23" s="798"/>
      <c r="I23" s="799"/>
    </row>
    <row r="24" spans="1:9" s="174" customFormat="1" ht="11.25" x14ac:dyDescent="0.2">
      <c r="A24" s="210" t="s">
        <v>120</v>
      </c>
      <c r="B24" s="211">
        <f>SUM(B23:B23)</f>
        <v>0</v>
      </c>
      <c r="C24" s="806"/>
      <c r="D24" s="806"/>
      <c r="E24" s="806"/>
      <c r="F24" s="806"/>
      <c r="G24" s="806"/>
      <c r="H24" s="806"/>
      <c r="I24" s="807"/>
    </row>
    <row r="25" spans="1:9" s="204" customFormat="1" ht="11.25" x14ac:dyDescent="0.2">
      <c r="A25" s="1212" t="s">
        <v>174</v>
      </c>
      <c r="B25" s="1212"/>
      <c r="C25" s="205"/>
    </row>
    <row r="26" spans="1:9" s="204" customFormat="1" ht="11.25" x14ac:dyDescent="0.2">
      <c r="C26" s="205"/>
    </row>
    <row r="27" spans="1:9" s="177" customFormat="1" ht="11.25" x14ac:dyDescent="0.2">
      <c r="A27" s="781" t="s">
        <v>126</v>
      </c>
      <c r="B27" s="781"/>
      <c r="C27" s="781"/>
      <c r="D27" s="781"/>
      <c r="E27" s="781"/>
      <c r="F27" s="781"/>
      <c r="G27" s="781"/>
      <c r="H27" s="781"/>
      <c r="I27" s="781"/>
    </row>
    <row r="28" spans="1:9" s="170" customFormat="1" ht="11.25" x14ac:dyDescent="0.2">
      <c r="C28" s="176"/>
    </row>
    <row r="29" spans="1:9" s="170" customFormat="1" ht="11.25" x14ac:dyDescent="0.2">
      <c r="A29" s="171" t="s">
        <v>122</v>
      </c>
      <c r="B29" s="171" t="s">
        <v>16</v>
      </c>
      <c r="C29" s="206" t="s">
        <v>123</v>
      </c>
      <c r="D29" s="805" t="s">
        <v>127</v>
      </c>
      <c r="E29" s="805"/>
      <c r="F29" s="805"/>
      <c r="G29" s="805"/>
      <c r="H29" s="805"/>
      <c r="I29" s="808"/>
    </row>
    <row r="30" spans="1:9" s="170" customFormat="1" ht="11.25" customHeight="1" x14ac:dyDescent="0.2">
      <c r="A30" s="207"/>
      <c r="B30" s="208"/>
      <c r="C30" s="209"/>
      <c r="D30" s="797"/>
      <c r="E30" s="798"/>
      <c r="F30" s="798"/>
      <c r="G30" s="798"/>
      <c r="H30" s="798"/>
      <c r="I30" s="799"/>
    </row>
    <row r="31" spans="1:9" s="174" customFormat="1" ht="10.5" x14ac:dyDescent="0.15">
      <c r="A31" s="210" t="s">
        <v>120</v>
      </c>
      <c r="B31" s="211">
        <f>SUM(B30:B30)</f>
        <v>0</v>
      </c>
      <c r="C31" s="784"/>
      <c r="D31" s="784"/>
      <c r="E31" s="784"/>
      <c r="F31" s="784"/>
      <c r="G31" s="784"/>
      <c r="H31" s="784"/>
      <c r="I31" s="784"/>
    </row>
    <row r="32" spans="1:9" s="170" customFormat="1" ht="11.25" x14ac:dyDescent="0.2">
      <c r="A32" s="1211" t="s">
        <v>175</v>
      </c>
      <c r="B32" s="1211"/>
      <c r="C32" s="176"/>
    </row>
    <row r="33" spans="1:9" s="170" customFormat="1" ht="11.25" x14ac:dyDescent="0.2">
      <c r="C33" s="176"/>
    </row>
    <row r="34" spans="1:9" s="177" customFormat="1" ht="11.25" x14ac:dyDescent="0.2">
      <c r="A34" s="781" t="s">
        <v>129</v>
      </c>
      <c r="B34" s="781"/>
      <c r="C34" s="781"/>
      <c r="D34" s="781"/>
      <c r="E34" s="781"/>
      <c r="F34" s="781"/>
      <c r="G34" s="781"/>
      <c r="H34" s="781"/>
      <c r="I34" s="781"/>
    </row>
    <row r="35" spans="1:9" s="170" customFormat="1" ht="11.25" x14ac:dyDescent="0.2">
      <c r="C35" s="212"/>
    </row>
    <row r="36" spans="1:9" s="170" customFormat="1" ht="11.25" x14ac:dyDescent="0.2">
      <c r="A36" s="171" t="s">
        <v>130</v>
      </c>
      <c r="B36" s="206" t="s">
        <v>131</v>
      </c>
      <c r="C36" s="785" t="s">
        <v>132</v>
      </c>
      <c r="D36" s="785"/>
      <c r="E36" s="785"/>
      <c r="F36" s="785"/>
      <c r="G36" s="785"/>
      <c r="H36" s="785"/>
      <c r="I36" s="786"/>
    </row>
    <row r="37" spans="1:9" s="170" customFormat="1" ht="11.25" x14ac:dyDescent="0.2">
      <c r="A37" s="213"/>
      <c r="B37" s="213"/>
      <c r="C37" s="787"/>
      <c r="D37" s="787"/>
      <c r="E37" s="787"/>
      <c r="F37" s="787"/>
      <c r="G37" s="787"/>
      <c r="H37" s="787"/>
      <c r="I37" s="787"/>
    </row>
    <row r="38" spans="1:9" s="174" customFormat="1" ht="10.5" x14ac:dyDescent="0.15">
      <c r="A38" s="214">
        <f>SUM(A37:A37)</f>
        <v>0</v>
      </c>
      <c r="B38" s="214">
        <f>SUM(B37:B37)</f>
        <v>0</v>
      </c>
      <c r="C38" s="788" t="s">
        <v>120</v>
      </c>
      <c r="D38" s="789"/>
      <c r="E38" s="789"/>
      <c r="F38" s="789"/>
      <c r="G38" s="789"/>
      <c r="H38" s="789"/>
      <c r="I38" s="790"/>
    </row>
    <row r="39" spans="1:9" s="170" customFormat="1" ht="11.25" x14ac:dyDescent="0.2">
      <c r="A39" s="1211" t="s">
        <v>176</v>
      </c>
      <c r="B39" s="1211"/>
      <c r="C39" s="212"/>
    </row>
    <row r="40" spans="1:9" s="170" customFormat="1" ht="11.25" x14ac:dyDescent="0.2">
      <c r="C40" s="212"/>
    </row>
    <row r="41" spans="1:9" s="170" customFormat="1" ht="11.25" x14ac:dyDescent="0.2">
      <c r="A41" s="781" t="s">
        <v>177</v>
      </c>
      <c r="B41" s="766"/>
      <c r="C41" s="766"/>
      <c r="D41" s="766"/>
      <c r="E41" s="766"/>
      <c r="F41" s="766"/>
      <c r="G41" s="766"/>
      <c r="H41" s="766"/>
      <c r="I41" s="766"/>
    </row>
    <row r="42" spans="1:9" s="170" customFormat="1" ht="11.25" x14ac:dyDescent="0.2">
      <c r="C42" s="212"/>
    </row>
    <row r="43" spans="1:9" s="216" customFormat="1" ht="31.5" x14ac:dyDescent="0.25">
      <c r="A43" s="767" t="s">
        <v>135</v>
      </c>
      <c r="B43" s="768"/>
      <c r="C43" s="215" t="s">
        <v>136</v>
      </c>
      <c r="D43" s="215" t="s">
        <v>137</v>
      </c>
      <c r="E43" s="215" t="s">
        <v>138</v>
      </c>
      <c r="F43" s="215" t="s">
        <v>139</v>
      </c>
      <c r="G43" s="215" t="s">
        <v>140</v>
      </c>
    </row>
    <row r="44" spans="1:9" s="170" customFormat="1" ht="12" x14ac:dyDescent="0.2">
      <c r="A44" s="791"/>
      <c r="B44" s="792"/>
      <c r="C44" s="217"/>
      <c r="D44" s="218"/>
      <c r="E44" s="219"/>
      <c r="F44" s="220"/>
      <c r="G44" s="221"/>
    </row>
    <row r="45" spans="1:9" s="170" customFormat="1" ht="15.75" customHeight="1" x14ac:dyDescent="0.2">
      <c r="A45" s="773" t="s">
        <v>178</v>
      </c>
      <c r="B45" s="774"/>
      <c r="C45" s="233"/>
      <c r="D45" s="234">
        <f>SUM(D44:D44)</f>
        <v>0</v>
      </c>
      <c r="E45" s="234">
        <f>SUM(E44:E44)</f>
        <v>0</v>
      </c>
      <c r="F45" s="795"/>
      <c r="G45" s="796"/>
    </row>
    <row r="46" spans="1:9" s="170" customFormat="1" ht="18.75" customHeight="1" x14ac:dyDescent="0.25">
      <c r="A46" s="782" t="s">
        <v>179</v>
      </c>
      <c r="B46" s="783"/>
      <c r="C46" s="212"/>
    </row>
    <row r="47" spans="1:9" s="170" customFormat="1" ht="11.25" x14ac:dyDescent="0.2">
      <c r="A47" s="766" t="s">
        <v>180</v>
      </c>
      <c r="B47" s="766"/>
      <c r="C47" s="766"/>
      <c r="D47" s="766"/>
      <c r="E47" s="766"/>
      <c r="F47" s="766"/>
      <c r="G47" s="766"/>
      <c r="H47" s="766"/>
      <c r="I47" s="766"/>
    </row>
    <row r="48" spans="1:9" s="170" customFormat="1" ht="11.25" x14ac:dyDescent="0.2">
      <c r="C48" s="212"/>
    </row>
    <row r="49" spans="1:9" s="216" customFormat="1" ht="31.5" x14ac:dyDescent="0.25">
      <c r="A49" s="767" t="s">
        <v>135</v>
      </c>
      <c r="B49" s="768"/>
      <c r="C49" s="215" t="s">
        <v>136</v>
      </c>
      <c r="D49" s="215" t="s">
        <v>137</v>
      </c>
      <c r="E49" s="215" t="s">
        <v>138</v>
      </c>
      <c r="F49" s="215" t="s">
        <v>139</v>
      </c>
      <c r="G49" s="215" t="s">
        <v>140</v>
      </c>
    </row>
    <row r="50" spans="1:9" s="170" customFormat="1" ht="11.25" customHeight="1" x14ac:dyDescent="0.2">
      <c r="A50" s="769"/>
      <c r="B50" s="770"/>
      <c r="C50" s="236"/>
      <c r="D50" s="237"/>
      <c r="E50" s="237"/>
      <c r="F50" s="247"/>
      <c r="G50" s="247"/>
    </row>
    <row r="51" spans="1:9" s="170" customFormat="1" ht="11.25" x14ac:dyDescent="0.2">
      <c r="A51" s="773" t="s">
        <v>178</v>
      </c>
      <c r="B51" s="774"/>
      <c r="C51" s="233"/>
      <c r="D51" s="234">
        <f>SUM(D50:D50)</f>
        <v>0</v>
      </c>
      <c r="E51" s="234">
        <f>SUM(E50:E50)</f>
        <v>0</v>
      </c>
      <c r="F51" s="775"/>
      <c r="G51" s="776"/>
    </row>
    <row r="52" spans="1:9" s="170" customFormat="1" ht="11.25" x14ac:dyDescent="0.2">
      <c r="C52" s="212"/>
    </row>
    <row r="53" spans="1:9" s="170" customFormat="1" ht="11.25" x14ac:dyDescent="0.2">
      <c r="C53" s="212"/>
    </row>
    <row r="54" spans="1:9" s="177" customFormat="1" ht="11.25" x14ac:dyDescent="0.2">
      <c r="A54" s="777" t="s">
        <v>238</v>
      </c>
      <c r="B54" s="777"/>
      <c r="C54" s="777"/>
      <c r="D54" s="777"/>
      <c r="E54" s="777"/>
      <c r="F54" s="777"/>
      <c r="G54" s="777"/>
      <c r="H54" s="777"/>
      <c r="I54" s="777"/>
    </row>
    <row r="55" spans="1:9" s="170" customFormat="1" ht="11.25" x14ac:dyDescent="0.2">
      <c r="A55" s="778" t="s">
        <v>181</v>
      </c>
      <c r="B55" s="779"/>
      <c r="C55" s="779"/>
      <c r="D55" s="779"/>
      <c r="E55" s="779"/>
      <c r="F55" s="779"/>
      <c r="G55" s="779"/>
      <c r="H55" s="779"/>
      <c r="I55" s="780"/>
    </row>
    <row r="56" spans="1:9" s="170" customFormat="1" ht="11.25" x14ac:dyDescent="0.2"/>
    <row r="57" spans="1:9" s="170" customFormat="1" ht="11.25" x14ac:dyDescent="0.2">
      <c r="A57" s="778"/>
      <c r="B57" s="779"/>
      <c r="C57" s="779"/>
      <c r="D57" s="779"/>
      <c r="E57" s="779"/>
      <c r="F57" s="779"/>
      <c r="G57" s="779"/>
      <c r="H57" s="779"/>
      <c r="I57" s="780"/>
    </row>
    <row r="58" spans="1:9" s="169" customFormat="1" ht="10.5" x14ac:dyDescent="0.15">
      <c r="A58" s="781" t="s">
        <v>165</v>
      </c>
      <c r="B58" s="781"/>
      <c r="C58" s="781"/>
      <c r="D58" s="781"/>
      <c r="E58" s="781"/>
      <c r="F58" s="781"/>
      <c r="G58" s="781"/>
      <c r="H58" s="781"/>
      <c r="I58" s="781"/>
    </row>
    <row r="59" spans="1:9" s="170" customFormat="1" ht="11.25" x14ac:dyDescent="0.2">
      <c r="A59" s="778" t="s">
        <v>182</v>
      </c>
      <c r="B59" s="779"/>
      <c r="C59" s="779"/>
      <c r="D59" s="779"/>
      <c r="E59" s="779"/>
      <c r="F59" s="779"/>
      <c r="G59" s="779"/>
      <c r="H59" s="779"/>
      <c r="I59" s="780"/>
    </row>
    <row r="60" spans="1:9" s="170" customFormat="1" ht="14.25" customHeight="1" x14ac:dyDescent="0.2">
      <c r="A60" s="778" t="s">
        <v>183</v>
      </c>
      <c r="B60" s="779"/>
      <c r="C60" s="779"/>
      <c r="D60" s="779"/>
      <c r="E60" s="779"/>
      <c r="F60" s="779"/>
      <c r="G60" s="779"/>
      <c r="H60" s="779"/>
      <c r="I60" s="780"/>
    </row>
    <row r="61" spans="1:9" s="170" customFormat="1" ht="23.25" customHeight="1" x14ac:dyDescent="0.2">
      <c r="A61" s="763"/>
      <c r="B61" s="764"/>
      <c r="C61" s="764"/>
      <c r="D61" s="764"/>
      <c r="E61" s="764"/>
      <c r="F61" s="764"/>
      <c r="G61" s="764"/>
      <c r="H61" s="764"/>
      <c r="I61" s="765"/>
    </row>
    <row r="62" spans="1:9" s="170" customFormat="1" ht="18.75" customHeight="1" x14ac:dyDescent="0.2">
      <c r="A62" s="763"/>
      <c r="B62" s="764"/>
      <c r="C62" s="764"/>
      <c r="D62" s="764"/>
      <c r="E62" s="764"/>
      <c r="F62" s="764"/>
      <c r="G62" s="764"/>
      <c r="H62" s="764"/>
      <c r="I62" s="765"/>
    </row>
    <row r="63" spans="1:9" x14ac:dyDescent="0.2">
      <c r="A63" s="4" t="s">
        <v>184</v>
      </c>
    </row>
    <row r="64" spans="1:9" ht="14.25" customHeight="1" x14ac:dyDescent="0.2">
      <c r="A64" s="246" t="s">
        <v>185</v>
      </c>
    </row>
    <row r="65" spans="1:1" ht="13.5" customHeight="1" x14ac:dyDescent="0.2">
      <c r="A65" s="246"/>
    </row>
  </sheetData>
  <mergeCells count="58">
    <mergeCell ref="F12:G12"/>
    <mergeCell ref="H12:I12"/>
    <mergeCell ref="A1:I1"/>
    <mergeCell ref="A3:I3"/>
    <mergeCell ref="A5:B5"/>
    <mergeCell ref="D5:I5"/>
    <mergeCell ref="A6:B6"/>
    <mergeCell ref="D6:I6"/>
    <mergeCell ref="A7:B7"/>
    <mergeCell ref="D7:I7"/>
    <mergeCell ref="A8:B8"/>
    <mergeCell ref="D8:I8"/>
    <mergeCell ref="A10:I10"/>
    <mergeCell ref="F13:G13"/>
    <mergeCell ref="H13:I13"/>
    <mergeCell ref="F14:G14"/>
    <mergeCell ref="H14:I14"/>
    <mergeCell ref="F15:G15"/>
    <mergeCell ref="H15:I15"/>
    <mergeCell ref="D29:I29"/>
    <mergeCell ref="F16:G16"/>
    <mergeCell ref="H16:I16"/>
    <mergeCell ref="F17:G17"/>
    <mergeCell ref="H17:I17"/>
    <mergeCell ref="F18:G18"/>
    <mergeCell ref="A20:I20"/>
    <mergeCell ref="D22:I22"/>
    <mergeCell ref="D23:I23"/>
    <mergeCell ref="C24:I24"/>
    <mergeCell ref="A25:B25"/>
    <mergeCell ref="A27:I27"/>
    <mergeCell ref="A45:B45"/>
    <mergeCell ref="F45:G45"/>
    <mergeCell ref="D30:I30"/>
    <mergeCell ref="C31:I31"/>
    <mergeCell ref="A32:B32"/>
    <mergeCell ref="A34:I34"/>
    <mergeCell ref="C36:I36"/>
    <mergeCell ref="C37:I37"/>
    <mergeCell ref="C38:I38"/>
    <mergeCell ref="A39:B39"/>
    <mergeCell ref="A41:I41"/>
    <mergeCell ref="A43:B43"/>
    <mergeCell ref="A44:B44"/>
    <mergeCell ref="A46:B46"/>
    <mergeCell ref="A47:I47"/>
    <mergeCell ref="A49:B49"/>
    <mergeCell ref="A50:B50"/>
    <mergeCell ref="A51:B51"/>
    <mergeCell ref="F51:G51"/>
    <mergeCell ref="A61:I61"/>
    <mergeCell ref="A62:I62"/>
    <mergeCell ref="A54:I54"/>
    <mergeCell ref="A55:I55"/>
    <mergeCell ref="A57:I57"/>
    <mergeCell ref="A58:I58"/>
    <mergeCell ref="A59:I59"/>
    <mergeCell ref="A60:I60"/>
  </mergeCells>
  <pageMargins left="0.70866141732283472" right="0.70866141732283472" top="0.78740157480314965" bottom="0.78740157480314965" header="0.31496062992125984" footer="0.31496062992125984"/>
  <pageSetup paperSize="9" scale="58" firstPageNumber="134" orientation="portrait" useFirstPageNumber="1"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6"/>
  <sheetViews>
    <sheetView topLeftCell="A49" workbookViewId="0">
      <selection activeCell="C51" sqref="C51"/>
    </sheetView>
  </sheetViews>
  <sheetFormatPr defaultRowHeight="12.75" x14ac:dyDescent="0.2"/>
  <cols>
    <col min="1" max="1" width="33.140625" style="4" customWidth="1"/>
    <col min="2" max="2" width="19.140625" style="4" customWidth="1"/>
    <col min="3" max="5" width="14.7109375" style="4" customWidth="1"/>
    <col min="6" max="7" width="13" style="4" customWidth="1"/>
    <col min="8" max="8" width="18.42578125" style="4" customWidth="1"/>
    <col min="9" max="16384" width="9.140625" style="4"/>
  </cols>
  <sheetData>
    <row r="1" spans="1:9" s="168" customFormat="1" ht="18.75" x14ac:dyDescent="0.3">
      <c r="A1" s="818" t="s">
        <v>365</v>
      </c>
      <c r="B1" s="818"/>
      <c r="C1" s="818"/>
      <c r="D1" s="818"/>
      <c r="E1" s="818"/>
      <c r="F1" s="818"/>
      <c r="G1" s="818"/>
      <c r="H1" s="818"/>
      <c r="I1" s="818"/>
    </row>
    <row r="3" spans="1:9" s="169" customFormat="1" ht="10.5" x14ac:dyDescent="0.15">
      <c r="A3" s="781" t="s">
        <v>99</v>
      </c>
      <c r="B3" s="781"/>
      <c r="C3" s="781"/>
      <c r="D3" s="781"/>
      <c r="E3" s="781"/>
      <c r="F3" s="781"/>
      <c r="G3" s="781"/>
      <c r="H3" s="781"/>
      <c r="I3" s="781"/>
    </row>
    <row r="4" spans="1:9" s="170" customFormat="1" ht="11.25" x14ac:dyDescent="0.2"/>
    <row r="5" spans="1:9" s="172" customFormat="1" ht="9.75" x14ac:dyDescent="0.2">
      <c r="A5" s="819" t="s">
        <v>100</v>
      </c>
      <c r="B5" s="820"/>
      <c r="C5" s="171" t="s">
        <v>16</v>
      </c>
      <c r="D5" s="805" t="s">
        <v>101</v>
      </c>
      <c r="E5" s="805"/>
      <c r="F5" s="805"/>
      <c r="G5" s="805"/>
      <c r="H5" s="805"/>
      <c r="I5" s="805"/>
    </row>
    <row r="6" spans="1:9" s="170" customFormat="1" ht="51" customHeight="1" x14ac:dyDescent="0.2">
      <c r="A6" s="821" t="s">
        <v>102</v>
      </c>
      <c r="B6" s="822"/>
      <c r="C6" s="173">
        <v>1638757.54</v>
      </c>
      <c r="D6" s="823" t="s">
        <v>366</v>
      </c>
      <c r="E6" s="824"/>
      <c r="F6" s="824"/>
      <c r="G6" s="824"/>
      <c r="H6" s="824"/>
      <c r="I6" s="825"/>
    </row>
    <row r="7" spans="1:9" s="174" customFormat="1" ht="24.75" customHeight="1" x14ac:dyDescent="0.15">
      <c r="A7" s="821" t="s">
        <v>103</v>
      </c>
      <c r="B7" s="822"/>
      <c r="C7" s="173">
        <v>0</v>
      </c>
      <c r="D7" s="826" t="s">
        <v>367</v>
      </c>
      <c r="E7" s="827"/>
      <c r="F7" s="827"/>
      <c r="G7" s="827"/>
      <c r="H7" s="827"/>
      <c r="I7" s="828"/>
    </row>
    <row r="8" spans="1:9" s="174" customFormat="1" ht="15" customHeight="1" x14ac:dyDescent="0.15">
      <c r="A8" s="829" t="s">
        <v>105</v>
      </c>
      <c r="B8" s="830"/>
      <c r="C8" s="175">
        <v>0</v>
      </c>
      <c r="D8" s="831"/>
      <c r="E8" s="832"/>
      <c r="F8" s="832"/>
      <c r="G8" s="832"/>
      <c r="H8" s="832"/>
      <c r="I8" s="833"/>
    </row>
    <row r="9" spans="1:9" s="170" customFormat="1" ht="11.25" x14ac:dyDescent="0.2">
      <c r="C9" s="176"/>
    </row>
    <row r="10" spans="1:9" s="177" customFormat="1" ht="11.25" x14ac:dyDescent="0.2">
      <c r="A10" s="781" t="s">
        <v>106</v>
      </c>
      <c r="B10" s="781"/>
      <c r="C10" s="781"/>
      <c r="D10" s="781"/>
      <c r="E10" s="781"/>
      <c r="F10" s="781"/>
      <c r="G10" s="781"/>
      <c r="H10" s="781"/>
      <c r="I10" s="781"/>
    </row>
    <row r="11" spans="1:9" s="170" customFormat="1" ht="12" thickBot="1" x14ac:dyDescent="0.25">
      <c r="C11" s="176"/>
    </row>
    <row r="12" spans="1:9" s="181" customFormat="1" ht="21" x14ac:dyDescent="0.15">
      <c r="A12" s="178" t="s">
        <v>107</v>
      </c>
      <c r="B12" s="178" t="s">
        <v>108</v>
      </c>
      <c r="C12" s="179" t="s">
        <v>109</v>
      </c>
      <c r="D12" s="180" t="s">
        <v>110</v>
      </c>
      <c r="E12" s="179" t="s">
        <v>111</v>
      </c>
      <c r="F12" s="814" t="s">
        <v>112</v>
      </c>
      <c r="G12" s="815"/>
      <c r="H12" s="816" t="s">
        <v>113</v>
      </c>
      <c r="I12" s="817"/>
    </row>
    <row r="13" spans="1:9" s="181" customFormat="1" ht="87.75" customHeight="1" x14ac:dyDescent="0.15">
      <c r="A13" s="182" t="s">
        <v>114</v>
      </c>
      <c r="B13" s="183">
        <v>434975.94</v>
      </c>
      <c r="C13" s="184">
        <v>175633.48</v>
      </c>
      <c r="D13" s="185">
        <v>391615.2</v>
      </c>
      <c r="E13" s="184">
        <f>B13+C13-D13</f>
        <v>218994.22000000003</v>
      </c>
      <c r="F13" s="809">
        <v>218994.22</v>
      </c>
      <c r="G13" s="809"/>
      <c r="H13" s="801" t="s">
        <v>368</v>
      </c>
      <c r="I13" s="802"/>
    </row>
    <row r="14" spans="1:9" s="181" customFormat="1" ht="43.5" customHeight="1" x14ac:dyDescent="0.15">
      <c r="A14" s="182" t="s">
        <v>115</v>
      </c>
      <c r="B14" s="183">
        <v>0</v>
      </c>
      <c r="C14" s="184">
        <v>12000</v>
      </c>
      <c r="D14" s="185">
        <v>0</v>
      </c>
      <c r="E14" s="184">
        <f t="shared" ref="E14:E17" si="0">B14+C14-D14</f>
        <v>12000</v>
      </c>
      <c r="F14" s="810">
        <v>12000</v>
      </c>
      <c r="G14" s="811"/>
      <c r="H14" s="801" t="s">
        <v>369</v>
      </c>
      <c r="I14" s="812"/>
    </row>
    <row r="15" spans="1:9" s="181" customFormat="1" ht="48" customHeight="1" x14ac:dyDescent="0.15">
      <c r="A15" s="186" t="s">
        <v>116</v>
      </c>
      <c r="B15" s="187">
        <v>104026.54</v>
      </c>
      <c r="C15" s="188">
        <v>295064</v>
      </c>
      <c r="D15" s="189">
        <v>263572</v>
      </c>
      <c r="E15" s="184">
        <f t="shared" si="0"/>
        <v>135518.53999999998</v>
      </c>
      <c r="F15" s="813">
        <v>135518.54</v>
      </c>
      <c r="G15" s="813"/>
      <c r="H15" s="801" t="s">
        <v>370</v>
      </c>
      <c r="I15" s="802"/>
    </row>
    <row r="16" spans="1:9" s="181" customFormat="1" ht="35.25" customHeight="1" x14ac:dyDescent="0.15">
      <c r="A16" s="190" t="s">
        <v>117</v>
      </c>
      <c r="B16" s="191">
        <v>42245.49</v>
      </c>
      <c r="C16" s="192">
        <v>0</v>
      </c>
      <c r="D16" s="193">
        <v>0</v>
      </c>
      <c r="E16" s="184">
        <f t="shared" si="0"/>
        <v>42245.49</v>
      </c>
      <c r="F16" s="800">
        <v>42245.49</v>
      </c>
      <c r="G16" s="800"/>
      <c r="H16" s="801" t="s">
        <v>371</v>
      </c>
      <c r="I16" s="802"/>
    </row>
    <row r="17" spans="1:9" s="181" customFormat="1" ht="87" customHeight="1" x14ac:dyDescent="0.15">
      <c r="A17" s="194" t="s">
        <v>118</v>
      </c>
      <c r="B17" s="195">
        <v>114465.23</v>
      </c>
      <c r="C17" s="196">
        <v>78650.320000000007</v>
      </c>
      <c r="D17" s="197">
        <v>13400</v>
      </c>
      <c r="E17" s="184">
        <f t="shared" si="0"/>
        <v>179715.55</v>
      </c>
      <c r="F17" s="803">
        <v>169676.55</v>
      </c>
      <c r="G17" s="803"/>
      <c r="H17" s="801" t="s">
        <v>372</v>
      </c>
      <c r="I17" s="802"/>
    </row>
    <row r="18" spans="1:9" s="181" customFormat="1" thickBot="1" x14ac:dyDescent="0.2">
      <c r="A18" s="198" t="s">
        <v>120</v>
      </c>
      <c r="B18" s="199">
        <f>SUM(B13:B17)</f>
        <v>695713.2</v>
      </c>
      <c r="C18" s="200">
        <f>SUM(C13:C17)</f>
        <v>561347.80000000005</v>
      </c>
      <c r="D18" s="201">
        <f>SUM(D13:D17)</f>
        <v>668587.19999999995</v>
      </c>
      <c r="E18" s="200">
        <f>SUM(E13:E17)</f>
        <v>588473.80000000005</v>
      </c>
      <c r="F18" s="804">
        <f>SUM(F13:G17)</f>
        <v>578434.80000000005</v>
      </c>
      <c r="G18" s="804"/>
      <c r="H18" s="202"/>
      <c r="I18" s="203"/>
    </row>
    <row r="19" spans="1:9" s="204" customFormat="1" ht="34.5" customHeight="1" x14ac:dyDescent="0.2">
      <c r="C19" s="205"/>
    </row>
    <row r="20" spans="1:9" s="177" customFormat="1" ht="11.25" x14ac:dyDescent="0.2">
      <c r="A20" s="781" t="s">
        <v>121</v>
      </c>
      <c r="B20" s="781"/>
      <c r="C20" s="781"/>
      <c r="D20" s="781"/>
      <c r="E20" s="781"/>
      <c r="F20" s="781"/>
      <c r="G20" s="781"/>
      <c r="H20" s="781"/>
      <c r="I20" s="781"/>
    </row>
    <row r="21" spans="1:9" s="170" customFormat="1" ht="12" customHeight="1" x14ac:dyDescent="0.2">
      <c r="C21" s="176"/>
    </row>
    <row r="22" spans="1:9" s="170" customFormat="1" ht="11.25" x14ac:dyDescent="0.2">
      <c r="A22" s="171" t="s">
        <v>122</v>
      </c>
      <c r="B22" s="171" t="s">
        <v>16</v>
      </c>
      <c r="C22" s="206" t="s">
        <v>123</v>
      </c>
      <c r="D22" s="805" t="s">
        <v>124</v>
      </c>
      <c r="E22" s="805"/>
      <c r="F22" s="805"/>
      <c r="G22" s="805"/>
      <c r="H22" s="805"/>
      <c r="I22" s="805"/>
    </row>
    <row r="23" spans="1:9" s="170" customFormat="1" ht="11.25" customHeight="1" x14ac:dyDescent="0.2">
      <c r="A23" s="207"/>
      <c r="B23" s="208"/>
      <c r="C23" s="209"/>
      <c r="D23" s="797"/>
      <c r="E23" s="798"/>
      <c r="F23" s="798"/>
      <c r="G23" s="798"/>
      <c r="H23" s="798"/>
      <c r="I23" s="799"/>
    </row>
    <row r="24" spans="1:9" s="174" customFormat="1" ht="11.25" x14ac:dyDescent="0.2">
      <c r="A24" s="210" t="s">
        <v>120</v>
      </c>
      <c r="B24" s="211">
        <f>SUM(B23:B23)</f>
        <v>0</v>
      </c>
      <c r="C24" s="806"/>
      <c r="D24" s="806"/>
      <c r="E24" s="806"/>
      <c r="F24" s="806"/>
      <c r="G24" s="806"/>
      <c r="H24" s="806"/>
      <c r="I24" s="807"/>
    </row>
    <row r="25" spans="1:9" s="204" customFormat="1" ht="11.25" x14ac:dyDescent="0.2">
      <c r="A25" s="204" t="s">
        <v>174</v>
      </c>
      <c r="C25" s="205"/>
    </row>
    <row r="26" spans="1:9" s="204" customFormat="1" ht="11.25" x14ac:dyDescent="0.2">
      <c r="C26" s="205"/>
    </row>
    <row r="27" spans="1:9" s="177" customFormat="1" ht="11.25" x14ac:dyDescent="0.2">
      <c r="A27" s="781" t="s">
        <v>126</v>
      </c>
      <c r="B27" s="781"/>
      <c r="C27" s="781"/>
      <c r="D27" s="781"/>
      <c r="E27" s="781"/>
      <c r="F27" s="781"/>
      <c r="G27" s="781"/>
      <c r="H27" s="781"/>
      <c r="I27" s="781"/>
    </row>
    <row r="28" spans="1:9" s="170" customFormat="1" ht="11.25" x14ac:dyDescent="0.2">
      <c r="C28" s="176"/>
    </row>
    <row r="29" spans="1:9" s="170" customFormat="1" ht="11.25" x14ac:dyDescent="0.2">
      <c r="A29" s="171" t="s">
        <v>122</v>
      </c>
      <c r="B29" s="171" t="s">
        <v>16</v>
      </c>
      <c r="C29" s="206" t="s">
        <v>123</v>
      </c>
      <c r="D29" s="805" t="s">
        <v>127</v>
      </c>
      <c r="E29" s="805"/>
      <c r="F29" s="805"/>
      <c r="G29" s="805"/>
      <c r="H29" s="805"/>
      <c r="I29" s="808"/>
    </row>
    <row r="30" spans="1:9" s="170" customFormat="1" ht="11.25" customHeight="1" x14ac:dyDescent="0.2">
      <c r="A30" s="207"/>
      <c r="B30" s="208"/>
      <c r="C30" s="209"/>
      <c r="D30" s="797"/>
      <c r="E30" s="798"/>
      <c r="F30" s="798"/>
      <c r="G30" s="798"/>
      <c r="H30" s="798"/>
      <c r="I30" s="799"/>
    </row>
    <row r="31" spans="1:9" s="174" customFormat="1" ht="10.5" x14ac:dyDescent="0.15">
      <c r="A31" s="210" t="s">
        <v>120</v>
      </c>
      <c r="B31" s="211">
        <f>SUM(B30:B30)</f>
        <v>0</v>
      </c>
      <c r="C31" s="784"/>
      <c r="D31" s="784"/>
      <c r="E31" s="784"/>
      <c r="F31" s="784"/>
      <c r="G31" s="784"/>
      <c r="H31" s="784"/>
      <c r="I31" s="784"/>
    </row>
    <row r="32" spans="1:9" s="170" customFormat="1" ht="11.25" x14ac:dyDescent="0.2">
      <c r="A32" s="170" t="s">
        <v>128</v>
      </c>
      <c r="C32" s="176"/>
    </row>
    <row r="33" spans="1:9" s="170" customFormat="1" ht="11.25" x14ac:dyDescent="0.2">
      <c r="C33" s="176"/>
    </row>
    <row r="34" spans="1:9" s="177" customFormat="1" ht="11.25" x14ac:dyDescent="0.2">
      <c r="A34" s="781" t="s">
        <v>129</v>
      </c>
      <c r="B34" s="781"/>
      <c r="C34" s="781"/>
      <c r="D34" s="781"/>
      <c r="E34" s="781"/>
      <c r="F34" s="781"/>
      <c r="G34" s="781"/>
      <c r="H34" s="781"/>
      <c r="I34" s="781"/>
    </row>
    <row r="35" spans="1:9" s="170" customFormat="1" ht="11.25" x14ac:dyDescent="0.2">
      <c r="C35" s="212"/>
    </row>
    <row r="36" spans="1:9" s="170" customFormat="1" ht="11.25" x14ac:dyDescent="0.2">
      <c r="A36" s="171" t="s">
        <v>130</v>
      </c>
      <c r="B36" s="206" t="s">
        <v>131</v>
      </c>
      <c r="C36" s="785" t="s">
        <v>132</v>
      </c>
      <c r="D36" s="785"/>
      <c r="E36" s="785"/>
      <c r="F36" s="785"/>
      <c r="G36" s="785"/>
      <c r="H36" s="785"/>
      <c r="I36" s="786"/>
    </row>
    <row r="37" spans="1:9" s="170" customFormat="1" ht="11.25" x14ac:dyDescent="0.2">
      <c r="A37" s="213"/>
      <c r="B37" s="213"/>
      <c r="C37" s="787"/>
      <c r="D37" s="787"/>
      <c r="E37" s="787"/>
      <c r="F37" s="787"/>
      <c r="G37" s="787"/>
      <c r="H37" s="787"/>
      <c r="I37" s="787"/>
    </row>
    <row r="38" spans="1:9" s="174" customFormat="1" ht="10.5" x14ac:dyDescent="0.15">
      <c r="A38" s="214">
        <v>12000</v>
      </c>
      <c r="B38" s="214">
        <f>SUM(B37:B37)</f>
        <v>0</v>
      </c>
      <c r="C38" s="788" t="s">
        <v>373</v>
      </c>
      <c r="D38" s="789"/>
      <c r="E38" s="789"/>
      <c r="F38" s="789"/>
      <c r="G38" s="789"/>
      <c r="H38" s="789"/>
      <c r="I38" s="790"/>
    </row>
    <row r="39" spans="1:9" s="170" customFormat="1" ht="11.25" x14ac:dyDescent="0.2">
      <c r="C39" s="212"/>
    </row>
    <row r="40" spans="1:9" s="170" customFormat="1" ht="11.25" x14ac:dyDescent="0.2">
      <c r="C40" s="212"/>
    </row>
    <row r="41" spans="1:9" s="170" customFormat="1" ht="11.25" x14ac:dyDescent="0.2">
      <c r="A41" s="781" t="s">
        <v>177</v>
      </c>
      <c r="B41" s="766"/>
      <c r="C41" s="766"/>
      <c r="D41" s="766"/>
      <c r="E41" s="766"/>
      <c r="F41" s="766"/>
      <c r="G41" s="766"/>
      <c r="H41" s="766"/>
      <c r="I41" s="766"/>
    </row>
    <row r="42" spans="1:9" s="170" customFormat="1" ht="11.25" x14ac:dyDescent="0.2">
      <c r="C42" s="212"/>
    </row>
    <row r="43" spans="1:9" s="216" customFormat="1" ht="31.5" x14ac:dyDescent="0.25">
      <c r="A43" s="767" t="s">
        <v>135</v>
      </c>
      <c r="B43" s="768"/>
      <c r="C43" s="215" t="s">
        <v>136</v>
      </c>
      <c r="D43" s="215" t="s">
        <v>137</v>
      </c>
      <c r="E43" s="215" t="s">
        <v>138</v>
      </c>
      <c r="F43" s="215" t="s">
        <v>139</v>
      </c>
      <c r="G43" s="215" t="s">
        <v>140</v>
      </c>
    </row>
    <row r="44" spans="1:9" s="170" customFormat="1" ht="12" x14ac:dyDescent="0.2">
      <c r="A44" s="791" t="s">
        <v>374</v>
      </c>
      <c r="B44" s="792"/>
      <c r="C44" s="217" t="s">
        <v>258</v>
      </c>
      <c r="D44" s="218">
        <v>104532</v>
      </c>
      <c r="E44" s="219"/>
      <c r="F44" s="220">
        <v>43112</v>
      </c>
      <c r="G44" s="221"/>
    </row>
    <row r="45" spans="1:9" s="170" customFormat="1" ht="12" x14ac:dyDescent="0.2">
      <c r="A45" s="791" t="s">
        <v>374</v>
      </c>
      <c r="B45" s="792"/>
      <c r="C45" s="222" t="s">
        <v>375</v>
      </c>
      <c r="D45" s="223"/>
      <c r="E45" s="224">
        <v>104532</v>
      </c>
      <c r="F45" s="225"/>
      <c r="G45" s="226">
        <v>43118</v>
      </c>
    </row>
    <row r="46" spans="1:9" s="170" customFormat="1" ht="12" x14ac:dyDescent="0.2">
      <c r="A46" s="791" t="s">
        <v>376</v>
      </c>
      <c r="B46" s="792"/>
      <c r="C46" s="222" t="s">
        <v>258</v>
      </c>
      <c r="D46" s="223">
        <v>605000</v>
      </c>
      <c r="E46" s="224"/>
      <c r="F46" s="225">
        <v>43185</v>
      </c>
      <c r="G46" s="226"/>
    </row>
    <row r="47" spans="1:9" s="170" customFormat="1" ht="12" x14ac:dyDescent="0.2">
      <c r="A47" s="791" t="s">
        <v>377</v>
      </c>
      <c r="B47" s="792"/>
      <c r="C47" s="222" t="s">
        <v>378</v>
      </c>
      <c r="D47" s="223"/>
      <c r="E47" s="224">
        <v>605000</v>
      </c>
      <c r="F47" s="225"/>
      <c r="G47" s="226" t="s">
        <v>379</v>
      </c>
    </row>
    <row r="48" spans="1:9" s="170" customFormat="1" ht="12" x14ac:dyDescent="0.2">
      <c r="A48" s="791" t="s">
        <v>380</v>
      </c>
      <c r="B48" s="792"/>
      <c r="C48" s="222" t="s">
        <v>258</v>
      </c>
      <c r="D48" s="223">
        <v>46500</v>
      </c>
      <c r="E48" s="224"/>
      <c r="F48" s="225">
        <v>43229</v>
      </c>
      <c r="G48" s="226"/>
    </row>
    <row r="49" spans="1:7" s="170" customFormat="1" ht="12" x14ac:dyDescent="0.2">
      <c r="A49" s="274" t="s">
        <v>381</v>
      </c>
      <c r="B49" s="331"/>
      <c r="C49" s="222" t="s">
        <v>378</v>
      </c>
      <c r="D49" s="223"/>
      <c r="E49" s="224">
        <v>46500</v>
      </c>
      <c r="F49" s="225"/>
      <c r="G49" s="226" t="s">
        <v>379</v>
      </c>
    </row>
    <row r="50" spans="1:7" s="170" customFormat="1" ht="12" x14ac:dyDescent="0.2">
      <c r="A50" s="274" t="s">
        <v>382</v>
      </c>
      <c r="B50" s="331"/>
      <c r="C50" s="222" t="s">
        <v>383</v>
      </c>
      <c r="D50" s="223"/>
      <c r="E50" s="223">
        <v>-6683</v>
      </c>
      <c r="F50" s="225">
        <v>43278</v>
      </c>
      <c r="G50" s="226">
        <v>43280</v>
      </c>
    </row>
    <row r="51" spans="1:7" s="170" customFormat="1" ht="12" x14ac:dyDescent="0.2">
      <c r="A51" s="274" t="s">
        <v>384</v>
      </c>
      <c r="B51" s="331"/>
      <c r="C51" s="222" t="s">
        <v>383</v>
      </c>
      <c r="D51" s="223"/>
      <c r="E51" s="224">
        <v>6683</v>
      </c>
      <c r="F51" s="225">
        <v>43278</v>
      </c>
      <c r="G51" s="226">
        <v>43280</v>
      </c>
    </row>
    <row r="52" spans="1:7" s="170" customFormat="1" ht="12" x14ac:dyDescent="0.2">
      <c r="A52" s="274" t="s">
        <v>385</v>
      </c>
      <c r="B52" s="331"/>
      <c r="C52" s="222" t="s">
        <v>386</v>
      </c>
      <c r="D52" s="223"/>
      <c r="E52" s="224">
        <v>1507</v>
      </c>
      <c r="F52" s="225">
        <v>43278</v>
      </c>
      <c r="G52" s="226">
        <v>43280</v>
      </c>
    </row>
    <row r="53" spans="1:7" s="170" customFormat="1" ht="12" x14ac:dyDescent="0.2">
      <c r="A53" s="274" t="s">
        <v>387</v>
      </c>
      <c r="B53" s="331"/>
      <c r="C53" s="222" t="s">
        <v>386</v>
      </c>
      <c r="D53" s="223"/>
      <c r="E53" s="224">
        <v>4970</v>
      </c>
      <c r="F53" s="225">
        <v>43278</v>
      </c>
      <c r="G53" s="226">
        <v>43280</v>
      </c>
    </row>
    <row r="54" spans="1:7" s="170" customFormat="1" ht="12" x14ac:dyDescent="0.2">
      <c r="A54" s="274" t="s">
        <v>388</v>
      </c>
      <c r="B54" s="331"/>
      <c r="C54" s="222"/>
      <c r="D54" s="223"/>
      <c r="E54" s="224">
        <v>8552</v>
      </c>
      <c r="F54" s="225">
        <v>43278</v>
      </c>
      <c r="G54" s="226">
        <v>43280</v>
      </c>
    </row>
    <row r="55" spans="1:7" s="170" customFormat="1" ht="12" x14ac:dyDescent="0.2">
      <c r="A55" s="274" t="s">
        <v>389</v>
      </c>
      <c r="B55" s="331"/>
      <c r="C55" s="222"/>
      <c r="D55" s="223"/>
      <c r="E55" s="224">
        <v>-19339</v>
      </c>
      <c r="F55" s="225">
        <v>43278</v>
      </c>
      <c r="G55" s="226">
        <v>43280</v>
      </c>
    </row>
    <row r="56" spans="1:7" s="170" customFormat="1" ht="12" x14ac:dyDescent="0.2">
      <c r="A56" s="274" t="s">
        <v>390</v>
      </c>
      <c r="B56" s="331"/>
      <c r="C56" s="222"/>
      <c r="D56" s="223"/>
      <c r="E56" s="224">
        <v>-15883</v>
      </c>
      <c r="F56" s="225">
        <v>43278</v>
      </c>
      <c r="G56" s="226">
        <v>43280</v>
      </c>
    </row>
    <row r="57" spans="1:7" s="170" customFormat="1" ht="24" x14ac:dyDescent="0.2">
      <c r="A57" s="274" t="s">
        <v>391</v>
      </c>
      <c r="B57" s="331"/>
      <c r="C57" s="222"/>
      <c r="D57" s="223"/>
      <c r="E57" s="224">
        <v>4220</v>
      </c>
      <c r="F57" s="225">
        <v>43278</v>
      </c>
      <c r="G57" s="226">
        <v>43280</v>
      </c>
    </row>
    <row r="58" spans="1:7" s="170" customFormat="1" ht="12" x14ac:dyDescent="0.2">
      <c r="A58" s="274" t="s">
        <v>392</v>
      </c>
      <c r="B58" s="331"/>
      <c r="C58" s="222"/>
      <c r="D58" s="223"/>
      <c r="E58" s="224">
        <v>90</v>
      </c>
      <c r="F58" s="225">
        <v>43278</v>
      </c>
      <c r="G58" s="226">
        <v>43280</v>
      </c>
    </row>
    <row r="59" spans="1:7" s="170" customFormat="1" ht="12" x14ac:dyDescent="0.2">
      <c r="A59" s="274" t="s">
        <v>393</v>
      </c>
      <c r="B59" s="331"/>
      <c r="C59" s="222"/>
      <c r="D59" s="223"/>
      <c r="E59" s="224">
        <v>19883</v>
      </c>
      <c r="F59" s="225">
        <v>43278</v>
      </c>
      <c r="G59" s="226">
        <v>43280</v>
      </c>
    </row>
    <row r="60" spans="1:7" s="170" customFormat="1" ht="12" x14ac:dyDescent="0.2">
      <c r="A60" s="274" t="s">
        <v>394</v>
      </c>
      <c r="B60" s="331"/>
      <c r="C60" s="222"/>
      <c r="D60" s="223"/>
      <c r="E60" s="224">
        <v>-4000</v>
      </c>
      <c r="F60" s="225">
        <v>43278</v>
      </c>
      <c r="G60" s="226">
        <v>43280</v>
      </c>
    </row>
    <row r="61" spans="1:7" s="170" customFormat="1" ht="12" x14ac:dyDescent="0.2">
      <c r="A61" s="274"/>
      <c r="B61" s="331"/>
      <c r="C61" s="222"/>
      <c r="D61" s="223"/>
      <c r="E61" s="224"/>
      <c r="F61" s="225"/>
      <c r="G61" s="226"/>
    </row>
    <row r="62" spans="1:7" s="170" customFormat="1" ht="12" x14ac:dyDescent="0.2">
      <c r="A62" s="274"/>
      <c r="B62" s="331"/>
      <c r="C62" s="222"/>
      <c r="D62" s="223"/>
      <c r="E62" s="224"/>
      <c r="F62" s="225"/>
      <c r="G62" s="226"/>
    </row>
    <row r="63" spans="1:7" s="170" customFormat="1" ht="12" x14ac:dyDescent="0.2">
      <c r="A63" s="793"/>
      <c r="B63" s="794"/>
      <c r="C63" s="227"/>
      <c r="D63" s="232"/>
      <c r="E63" s="229"/>
      <c r="F63" s="230"/>
      <c r="G63" s="231"/>
    </row>
    <row r="64" spans="1:7" s="170" customFormat="1" ht="11.25" x14ac:dyDescent="0.2">
      <c r="A64" s="773" t="s">
        <v>178</v>
      </c>
      <c r="B64" s="774"/>
      <c r="C64" s="233"/>
      <c r="D64" s="234">
        <f>SUM(D44:D63)</f>
        <v>756032</v>
      </c>
      <c r="E64" s="234">
        <f>SUM(E44:E63)</f>
        <v>756032</v>
      </c>
      <c r="F64" s="795"/>
      <c r="G64" s="796"/>
    </row>
    <row r="65" spans="1:9" s="170" customFormat="1" ht="15" x14ac:dyDescent="0.25">
      <c r="A65" s="782"/>
      <c r="B65" s="783"/>
      <c r="C65" s="212"/>
    </row>
    <row r="66" spans="1:9" s="170" customFormat="1" ht="11.25" x14ac:dyDescent="0.2">
      <c r="A66" s="235"/>
      <c r="C66" s="212"/>
    </row>
    <row r="67" spans="1:9" s="170" customFormat="1" ht="11.25" x14ac:dyDescent="0.2">
      <c r="A67" s="766" t="s">
        <v>180</v>
      </c>
      <c r="B67" s="766"/>
      <c r="C67" s="766"/>
      <c r="D67" s="766"/>
      <c r="E67" s="766"/>
      <c r="F67" s="766"/>
      <c r="G67" s="766"/>
      <c r="H67" s="766"/>
      <c r="I67" s="766"/>
    </row>
    <row r="68" spans="1:9" s="170" customFormat="1" ht="11.25" x14ac:dyDescent="0.2">
      <c r="C68" s="212"/>
    </row>
    <row r="69" spans="1:9" s="216" customFormat="1" ht="31.5" x14ac:dyDescent="0.25">
      <c r="A69" s="767" t="s">
        <v>135</v>
      </c>
      <c r="B69" s="768"/>
      <c r="C69" s="215" t="s">
        <v>136</v>
      </c>
      <c r="D69" s="215" t="s">
        <v>137</v>
      </c>
      <c r="E69" s="215" t="s">
        <v>138</v>
      </c>
      <c r="F69" s="215" t="s">
        <v>139</v>
      </c>
      <c r="G69" s="215" t="s">
        <v>140</v>
      </c>
    </row>
    <row r="70" spans="1:9" s="170" customFormat="1" ht="11.25" customHeight="1" x14ac:dyDescent="0.2">
      <c r="A70" s="769"/>
      <c r="B70" s="770"/>
      <c r="C70" s="236"/>
      <c r="D70" s="237"/>
      <c r="E70" s="237"/>
      <c r="F70" s="247"/>
      <c r="G70" s="247"/>
    </row>
    <row r="71" spans="1:9" s="170" customFormat="1" ht="11.25" customHeight="1" x14ac:dyDescent="0.2">
      <c r="A71" s="771"/>
      <c r="B71" s="772"/>
      <c r="C71" s="243"/>
      <c r="D71" s="244"/>
      <c r="E71" s="244"/>
      <c r="F71" s="245"/>
      <c r="G71" s="245"/>
    </row>
    <row r="72" spans="1:9" s="170" customFormat="1" ht="11.25" x14ac:dyDescent="0.2">
      <c r="A72" s="773" t="s">
        <v>178</v>
      </c>
      <c r="B72" s="774"/>
      <c r="C72" s="233"/>
      <c r="D72" s="234">
        <f>SUM(D70:D71)</f>
        <v>0</v>
      </c>
      <c r="E72" s="234">
        <f>SUM(E70:E71)</f>
        <v>0</v>
      </c>
      <c r="F72" s="775"/>
      <c r="G72" s="776"/>
    </row>
    <row r="73" spans="1:9" s="170" customFormat="1" ht="11.25" x14ac:dyDescent="0.2">
      <c r="A73" s="170" t="s">
        <v>217</v>
      </c>
      <c r="C73" s="212"/>
    </row>
    <row r="74" spans="1:9" s="170" customFormat="1" ht="11.25" x14ac:dyDescent="0.2">
      <c r="C74" s="212"/>
    </row>
    <row r="75" spans="1:9" s="177" customFormat="1" ht="11.25" x14ac:dyDescent="0.2">
      <c r="A75" s="777" t="s">
        <v>238</v>
      </c>
      <c r="B75" s="777"/>
      <c r="C75" s="777"/>
      <c r="D75" s="777"/>
      <c r="E75" s="777"/>
      <c r="F75" s="777"/>
      <c r="G75" s="777"/>
      <c r="H75" s="777"/>
      <c r="I75" s="777"/>
    </row>
    <row r="76" spans="1:9" s="170" customFormat="1" ht="11.25" x14ac:dyDescent="0.2">
      <c r="A76" s="170" t="s">
        <v>395</v>
      </c>
    </row>
    <row r="77" spans="1:9" s="170" customFormat="1" ht="11.25" x14ac:dyDescent="0.2">
      <c r="A77" s="778" t="s">
        <v>793</v>
      </c>
      <c r="B77" s="779"/>
      <c r="C77" s="779"/>
      <c r="D77" s="779"/>
      <c r="E77" s="779"/>
      <c r="F77" s="779"/>
      <c r="G77" s="779"/>
      <c r="H77" s="779"/>
      <c r="I77" s="780"/>
    </row>
    <row r="78" spans="1:9" s="170" customFormat="1" ht="11.25" x14ac:dyDescent="0.2"/>
    <row r="79" spans="1:9" s="169" customFormat="1" ht="10.5" x14ac:dyDescent="0.15">
      <c r="A79" s="781" t="s">
        <v>165</v>
      </c>
      <c r="B79" s="781"/>
      <c r="C79" s="781"/>
      <c r="D79" s="781"/>
      <c r="E79" s="781"/>
      <c r="F79" s="781"/>
      <c r="G79" s="781"/>
      <c r="H79" s="781"/>
      <c r="I79" s="781"/>
    </row>
    <row r="80" spans="1:9" s="170" customFormat="1" ht="42.75" customHeight="1" x14ac:dyDescent="0.2">
      <c r="A80" s="823" t="s">
        <v>396</v>
      </c>
      <c r="B80" s="824"/>
      <c r="C80" s="824"/>
      <c r="D80" s="824"/>
      <c r="E80" s="824"/>
      <c r="F80" s="825"/>
    </row>
    <row r="81" spans="1:9" s="170" customFormat="1" ht="12" customHeight="1" x14ac:dyDescent="0.2">
      <c r="A81" s="170" t="s">
        <v>397</v>
      </c>
    </row>
    <row r="82" spans="1:9" s="170" customFormat="1" ht="12" customHeight="1" x14ac:dyDescent="0.2">
      <c r="A82" s="763"/>
      <c r="B82" s="764"/>
      <c r="C82" s="764"/>
      <c r="D82" s="764"/>
      <c r="E82" s="764"/>
      <c r="F82" s="764"/>
      <c r="G82" s="764"/>
      <c r="H82" s="764"/>
      <c r="I82" s="765"/>
    </row>
    <row r="83" spans="1:9" s="170" customFormat="1" ht="18.75" customHeight="1" x14ac:dyDescent="0.2">
      <c r="A83" s="763"/>
      <c r="B83" s="764"/>
      <c r="C83" s="764"/>
      <c r="D83" s="764"/>
      <c r="E83" s="764"/>
      <c r="F83" s="764"/>
      <c r="G83" s="764"/>
      <c r="H83" s="764"/>
      <c r="I83" s="765"/>
    </row>
    <row r="84" spans="1:9" x14ac:dyDescent="0.2">
      <c r="A84" s="4" t="s">
        <v>362</v>
      </c>
      <c r="B84" s="4" t="s">
        <v>398</v>
      </c>
    </row>
    <row r="85" spans="1:9" ht="14.25" customHeight="1" x14ac:dyDescent="0.2">
      <c r="A85" s="246" t="s">
        <v>364</v>
      </c>
      <c r="B85" s="333">
        <v>43308</v>
      </c>
    </row>
    <row r="86" spans="1:9" ht="13.5" customHeight="1" x14ac:dyDescent="0.2">
      <c r="A86" s="246"/>
    </row>
  </sheetData>
  <mergeCells count="59">
    <mergeCell ref="F12:G12"/>
    <mergeCell ref="H12:I12"/>
    <mergeCell ref="A1:I1"/>
    <mergeCell ref="A3:I3"/>
    <mergeCell ref="A5:B5"/>
    <mergeCell ref="D5:I5"/>
    <mergeCell ref="A6:B6"/>
    <mergeCell ref="D6:I6"/>
    <mergeCell ref="A7:B7"/>
    <mergeCell ref="D7:I7"/>
    <mergeCell ref="A8:B8"/>
    <mergeCell ref="D8:I8"/>
    <mergeCell ref="A10:I10"/>
    <mergeCell ref="A43:B43"/>
    <mergeCell ref="A20:I20"/>
    <mergeCell ref="F13:G13"/>
    <mergeCell ref="H13:I13"/>
    <mergeCell ref="F14:G14"/>
    <mergeCell ref="H14:I14"/>
    <mergeCell ref="F15:G15"/>
    <mergeCell ref="H15:I15"/>
    <mergeCell ref="F16:G16"/>
    <mergeCell ref="H16:I16"/>
    <mergeCell ref="F17:G17"/>
    <mergeCell ref="H17:I17"/>
    <mergeCell ref="F18:G18"/>
    <mergeCell ref="A41:I41"/>
    <mergeCell ref="D22:I22"/>
    <mergeCell ref="D23:I23"/>
    <mergeCell ref="C24:I24"/>
    <mergeCell ref="A27:I27"/>
    <mergeCell ref="D29:I29"/>
    <mergeCell ref="D30:I30"/>
    <mergeCell ref="C31:I31"/>
    <mergeCell ref="A34:I34"/>
    <mergeCell ref="C36:I36"/>
    <mergeCell ref="C37:I37"/>
    <mergeCell ref="C38:I38"/>
    <mergeCell ref="A44:B44"/>
    <mergeCell ref="A45:B45"/>
    <mergeCell ref="A46:B46"/>
    <mergeCell ref="A47:B47"/>
    <mergeCell ref="F64:G64"/>
    <mergeCell ref="A48:B48"/>
    <mergeCell ref="A63:B63"/>
    <mergeCell ref="A64:B64"/>
    <mergeCell ref="A65:B65"/>
    <mergeCell ref="A67:I67"/>
    <mergeCell ref="A79:I79"/>
    <mergeCell ref="A80:F80"/>
    <mergeCell ref="A69:B69"/>
    <mergeCell ref="A82:I82"/>
    <mergeCell ref="A83:I83"/>
    <mergeCell ref="A70:B70"/>
    <mergeCell ref="A71:B71"/>
    <mergeCell ref="A72:B72"/>
    <mergeCell ref="F72:G72"/>
    <mergeCell ref="A75:I75"/>
    <mergeCell ref="A77:I77"/>
  </mergeCells>
  <pageMargins left="0.70866141732283472" right="0.70866141732283472" top="0.78740157480314965" bottom="0.78740157480314965" header="0.31496062992125984" footer="0.31496062992125984"/>
  <pageSetup paperSize="9" scale="53" firstPageNumber="98" orientation="portrait" useFirstPageNumber="1"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X40"/>
  <sheetViews>
    <sheetView workbookViewId="0">
      <selection activeCell="C51" sqref="C51"/>
    </sheetView>
  </sheetViews>
  <sheetFormatPr defaultColWidth="3.7109375" defaultRowHeight="15" x14ac:dyDescent="0.25"/>
  <cols>
    <col min="1" max="1" width="3.140625" style="2" customWidth="1"/>
    <col min="2" max="2" width="3.7109375" style="3" customWidth="1"/>
    <col min="3" max="3" width="21" style="3" customWidth="1"/>
    <col min="4" max="4" width="4.85546875" style="3" customWidth="1"/>
    <col min="5" max="7" width="6.28515625" style="3" customWidth="1"/>
    <col min="8" max="8" width="5" style="3" customWidth="1"/>
    <col min="9" max="12" width="6.28515625" style="3" customWidth="1"/>
    <col min="13" max="13" width="5" style="3" customWidth="1"/>
    <col min="14" max="17" width="6.28515625" style="3" customWidth="1"/>
    <col min="18" max="18" width="5" style="3" customWidth="1"/>
    <col min="19" max="22" width="6.28515625" style="3" customWidth="1"/>
    <col min="23" max="23" width="5" style="3" customWidth="1"/>
    <col min="24" max="24" width="6.28515625" style="3" customWidth="1"/>
    <col min="25" max="16384" width="3.7109375" style="3"/>
  </cols>
  <sheetData>
    <row r="3" spans="1:24" s="6" customFormat="1" ht="15.75" x14ac:dyDescent="0.25">
      <c r="A3" s="759" t="s">
        <v>83</v>
      </c>
      <c r="B3" s="759"/>
      <c r="C3" s="759"/>
      <c r="D3" s="759"/>
      <c r="E3" s="759"/>
      <c r="F3" s="759"/>
      <c r="G3" s="759"/>
      <c r="H3" s="759"/>
      <c r="I3" s="759"/>
      <c r="J3" s="759"/>
      <c r="K3" s="759"/>
      <c r="L3" s="759"/>
      <c r="M3" s="759"/>
      <c r="N3" s="759"/>
      <c r="O3" s="759"/>
      <c r="P3" s="759"/>
      <c r="Q3" s="759"/>
      <c r="R3" s="759"/>
      <c r="S3" s="759"/>
      <c r="T3" s="759"/>
      <c r="U3" s="759"/>
      <c r="V3" s="759"/>
      <c r="W3" s="759"/>
      <c r="X3" s="759"/>
    </row>
    <row r="5" spans="1:24" s="7" customFormat="1" ht="9.75" customHeight="1" x14ac:dyDescent="0.2">
      <c r="A5" s="752" t="s">
        <v>1</v>
      </c>
      <c r="B5" s="761" t="s">
        <v>2</v>
      </c>
      <c r="C5" s="760"/>
      <c r="D5" s="761" t="s">
        <v>3</v>
      </c>
      <c r="E5" s="762" t="s">
        <v>4</v>
      </c>
      <c r="F5" s="762"/>
      <c r="G5" s="762"/>
      <c r="H5" s="762"/>
      <c r="I5" s="762"/>
      <c r="J5" s="762" t="s">
        <v>5</v>
      </c>
      <c r="K5" s="762"/>
      <c r="L5" s="762"/>
      <c r="M5" s="762"/>
      <c r="N5" s="762"/>
      <c r="O5" s="762" t="s">
        <v>6</v>
      </c>
      <c r="P5" s="762"/>
      <c r="Q5" s="762"/>
      <c r="R5" s="762"/>
      <c r="S5" s="762"/>
      <c r="T5" s="762" t="s">
        <v>7</v>
      </c>
      <c r="U5" s="762"/>
      <c r="V5" s="762"/>
      <c r="W5" s="762"/>
      <c r="X5" s="762"/>
    </row>
    <row r="6" spans="1:24" s="8" customFormat="1" ht="9.75" customHeight="1" x14ac:dyDescent="0.2">
      <c r="A6" s="760"/>
      <c r="B6" s="760"/>
      <c r="C6" s="760"/>
      <c r="D6" s="761"/>
      <c r="E6" s="754" t="s">
        <v>8</v>
      </c>
      <c r="F6" s="755" t="s">
        <v>9</v>
      </c>
      <c r="G6" s="755"/>
      <c r="H6" s="755"/>
      <c r="I6" s="752" t="s">
        <v>10</v>
      </c>
      <c r="J6" s="754" t="s">
        <v>8</v>
      </c>
      <c r="K6" s="755" t="s">
        <v>9</v>
      </c>
      <c r="L6" s="755"/>
      <c r="M6" s="755"/>
      <c r="N6" s="752" t="s">
        <v>10</v>
      </c>
      <c r="O6" s="754" t="s">
        <v>8</v>
      </c>
      <c r="P6" s="755" t="s">
        <v>9</v>
      </c>
      <c r="Q6" s="755"/>
      <c r="R6" s="755"/>
      <c r="S6" s="752" t="s">
        <v>10</v>
      </c>
      <c r="T6" s="754" t="s">
        <v>8</v>
      </c>
      <c r="U6" s="755" t="s">
        <v>9</v>
      </c>
      <c r="V6" s="755"/>
      <c r="W6" s="755"/>
      <c r="X6" s="752" t="s">
        <v>10</v>
      </c>
    </row>
    <row r="7" spans="1:24" s="10" customFormat="1" ht="9.75" customHeight="1" x14ac:dyDescent="0.2">
      <c r="A7" s="760"/>
      <c r="B7" s="760"/>
      <c r="C7" s="760"/>
      <c r="D7" s="761"/>
      <c r="E7" s="754"/>
      <c r="F7" s="9" t="s">
        <v>11</v>
      </c>
      <c r="G7" s="9" t="s">
        <v>12</v>
      </c>
      <c r="H7" s="9" t="s">
        <v>13</v>
      </c>
      <c r="I7" s="752"/>
      <c r="J7" s="754"/>
      <c r="K7" s="9" t="s">
        <v>11</v>
      </c>
      <c r="L7" s="9" t="s">
        <v>12</v>
      </c>
      <c r="M7" s="9" t="s">
        <v>13</v>
      </c>
      <c r="N7" s="752"/>
      <c r="O7" s="754"/>
      <c r="P7" s="9" t="s">
        <v>11</v>
      </c>
      <c r="Q7" s="9" t="s">
        <v>12</v>
      </c>
      <c r="R7" s="9" t="s">
        <v>13</v>
      </c>
      <c r="S7" s="752"/>
      <c r="T7" s="754"/>
      <c r="U7" s="9" t="s">
        <v>11</v>
      </c>
      <c r="V7" s="9" t="s">
        <v>12</v>
      </c>
      <c r="W7" s="9" t="s">
        <v>13</v>
      </c>
      <c r="X7" s="752"/>
    </row>
    <row r="8" spans="1:24" s="7" customFormat="1" ht="9.75" customHeight="1" x14ac:dyDescent="0.2">
      <c r="A8" s="11" t="s">
        <v>14</v>
      </c>
      <c r="B8" s="753" t="s">
        <v>15</v>
      </c>
      <c r="C8" s="753"/>
      <c r="D8" s="12" t="s">
        <v>16</v>
      </c>
      <c r="E8" s="52">
        <f>SUM(E9:E11)</f>
        <v>8544168</v>
      </c>
      <c r="F8" s="52">
        <f>SUM(F9:F11)</f>
        <v>9001118</v>
      </c>
      <c r="G8" s="52">
        <f>SUM(G9:G11)</f>
        <v>4710301</v>
      </c>
      <c r="H8" s="53">
        <f t="shared" ref="H8:H31" si="0">G8/F8*100</f>
        <v>52.330177206875859</v>
      </c>
      <c r="I8" s="54">
        <f>SUM(I9:I11)</f>
        <v>4028833</v>
      </c>
      <c r="J8" s="54">
        <f>SUM(J9:J11)</f>
        <v>2250408</v>
      </c>
      <c r="K8" s="52">
        <f t="shared" ref="K8:X8" si="1">SUM(K9:K11)</f>
        <v>2707358</v>
      </c>
      <c r="L8" s="52">
        <f t="shared" si="1"/>
        <v>1537088</v>
      </c>
      <c r="M8" s="53">
        <f t="shared" ref="M8:M31" si="2">L8/K8*100</f>
        <v>56.774464256297094</v>
      </c>
      <c r="N8" s="54">
        <f t="shared" si="1"/>
        <v>1234116</v>
      </c>
      <c r="O8" s="54">
        <f t="shared" si="1"/>
        <v>6293760</v>
      </c>
      <c r="P8" s="54">
        <f t="shared" si="1"/>
        <v>6293760</v>
      </c>
      <c r="Q8" s="52">
        <f t="shared" si="1"/>
        <v>3173213</v>
      </c>
      <c r="R8" s="53">
        <f t="shared" ref="R8:R23" si="3">Q8/P8*100</f>
        <v>50.418398540776899</v>
      </c>
      <c r="S8" s="54">
        <f t="shared" si="1"/>
        <v>2794717</v>
      </c>
      <c r="T8" s="54">
        <f t="shared" si="1"/>
        <v>0</v>
      </c>
      <c r="U8" s="52">
        <f t="shared" si="1"/>
        <v>0</v>
      </c>
      <c r="V8" s="52">
        <f t="shared" si="1"/>
        <v>0</v>
      </c>
      <c r="W8" s="53">
        <v>0</v>
      </c>
      <c r="X8" s="54">
        <f t="shared" si="1"/>
        <v>0</v>
      </c>
    </row>
    <row r="9" spans="1:24" s="7" customFormat="1" ht="9.75" x14ac:dyDescent="0.2">
      <c r="A9" s="15" t="s">
        <v>17</v>
      </c>
      <c r="B9" s="750" t="s">
        <v>18</v>
      </c>
      <c r="C9" s="750"/>
      <c r="D9" s="16" t="s">
        <v>16</v>
      </c>
      <c r="E9" s="55">
        <f t="shared" ref="E9:G12" si="4">SUM(J9,O9)</f>
        <v>780000</v>
      </c>
      <c r="F9" s="55">
        <f t="shared" si="4"/>
        <v>989200</v>
      </c>
      <c r="G9" s="55">
        <f t="shared" si="4"/>
        <v>554134</v>
      </c>
      <c r="H9" s="56">
        <f t="shared" si="0"/>
        <v>56.018398706025074</v>
      </c>
      <c r="I9" s="57">
        <f>SUM(N9,S9)</f>
        <v>525012</v>
      </c>
      <c r="J9" s="58">
        <v>780000</v>
      </c>
      <c r="K9" s="59">
        <v>989200</v>
      </c>
      <c r="L9" s="59">
        <v>554134</v>
      </c>
      <c r="M9" s="56">
        <f t="shared" si="2"/>
        <v>56.018398706025074</v>
      </c>
      <c r="N9" s="60">
        <v>525012</v>
      </c>
      <c r="O9" s="60">
        <v>0</v>
      </c>
      <c r="P9" s="60">
        <v>0</v>
      </c>
      <c r="Q9" s="59">
        <v>0</v>
      </c>
      <c r="R9" s="56">
        <v>0</v>
      </c>
      <c r="S9" s="60">
        <v>0</v>
      </c>
      <c r="T9" s="60">
        <v>0</v>
      </c>
      <c r="U9" s="59">
        <v>0</v>
      </c>
      <c r="V9" s="59">
        <v>0</v>
      </c>
      <c r="W9" s="56">
        <v>0</v>
      </c>
      <c r="X9" s="61">
        <v>0</v>
      </c>
    </row>
    <row r="10" spans="1:24" s="7" customFormat="1" ht="9.75" x14ac:dyDescent="0.2">
      <c r="A10" s="20" t="s">
        <v>19</v>
      </c>
      <c r="B10" s="758" t="s">
        <v>20</v>
      </c>
      <c r="C10" s="758"/>
      <c r="D10" s="16" t="s">
        <v>16</v>
      </c>
      <c r="E10" s="55">
        <f t="shared" si="4"/>
        <v>0</v>
      </c>
      <c r="F10" s="55">
        <f t="shared" si="4"/>
        <v>0</v>
      </c>
      <c r="G10" s="55">
        <f t="shared" si="4"/>
        <v>0</v>
      </c>
      <c r="H10" s="56">
        <v>0</v>
      </c>
      <c r="I10" s="57">
        <f>SUM(N10,S10)</f>
        <v>0</v>
      </c>
      <c r="J10" s="62">
        <v>0</v>
      </c>
      <c r="K10" s="55">
        <v>0</v>
      </c>
      <c r="L10" s="55">
        <v>0</v>
      </c>
      <c r="M10" s="56">
        <v>0</v>
      </c>
      <c r="N10" s="63">
        <v>0</v>
      </c>
      <c r="O10" s="57">
        <v>0</v>
      </c>
      <c r="P10" s="57">
        <v>0</v>
      </c>
      <c r="Q10" s="55">
        <v>0</v>
      </c>
      <c r="R10" s="56">
        <v>0</v>
      </c>
      <c r="S10" s="57">
        <v>0</v>
      </c>
      <c r="T10" s="57">
        <v>0</v>
      </c>
      <c r="U10" s="55">
        <v>0</v>
      </c>
      <c r="V10" s="55">
        <v>0</v>
      </c>
      <c r="W10" s="56">
        <v>0</v>
      </c>
      <c r="X10" s="57">
        <v>0</v>
      </c>
    </row>
    <row r="11" spans="1:24" s="7" customFormat="1" ht="9.75" x14ac:dyDescent="0.2">
      <c r="A11" s="20" t="s">
        <v>21</v>
      </c>
      <c r="B11" s="21" t="s">
        <v>22</v>
      </c>
      <c r="C11" s="22"/>
      <c r="D11" s="16" t="s">
        <v>16</v>
      </c>
      <c r="E11" s="55">
        <f t="shared" si="4"/>
        <v>7764168</v>
      </c>
      <c r="F11" s="55">
        <f t="shared" si="4"/>
        <v>8011918</v>
      </c>
      <c r="G11" s="55">
        <f t="shared" si="4"/>
        <v>4156167</v>
      </c>
      <c r="H11" s="56">
        <f t="shared" si="0"/>
        <v>51.874807006262422</v>
      </c>
      <c r="I11" s="57">
        <f>SUM(N11,S11)</f>
        <v>3503821</v>
      </c>
      <c r="J11" s="62">
        <v>1470408</v>
      </c>
      <c r="K11" s="55">
        <v>1718158</v>
      </c>
      <c r="L11" s="55">
        <v>982954</v>
      </c>
      <c r="M11" s="56">
        <f t="shared" si="2"/>
        <v>57.209756029422209</v>
      </c>
      <c r="N11" s="57">
        <v>709104</v>
      </c>
      <c r="O11" s="57">
        <v>6293760</v>
      </c>
      <c r="P11" s="57">
        <v>6293760</v>
      </c>
      <c r="Q11" s="55">
        <v>3173213</v>
      </c>
      <c r="R11" s="56">
        <f t="shared" si="3"/>
        <v>50.418398540776899</v>
      </c>
      <c r="S11" s="64">
        <v>2794717</v>
      </c>
      <c r="T11" s="57">
        <v>0</v>
      </c>
      <c r="U11" s="55">
        <v>0</v>
      </c>
      <c r="V11" s="55">
        <v>0</v>
      </c>
      <c r="W11" s="56">
        <v>0</v>
      </c>
      <c r="X11" s="57">
        <v>0</v>
      </c>
    </row>
    <row r="12" spans="1:24" s="7" customFormat="1" ht="9.75" x14ac:dyDescent="0.2">
      <c r="A12" s="11" t="s">
        <v>23</v>
      </c>
      <c r="B12" s="753" t="s">
        <v>24</v>
      </c>
      <c r="C12" s="753"/>
      <c r="D12" s="12" t="s">
        <v>16</v>
      </c>
      <c r="E12" s="65">
        <f t="shared" si="4"/>
        <v>0</v>
      </c>
      <c r="F12" s="65">
        <f t="shared" si="4"/>
        <v>0</v>
      </c>
      <c r="G12" s="65">
        <f t="shared" si="4"/>
        <v>0</v>
      </c>
      <c r="H12" s="53">
        <v>0</v>
      </c>
      <c r="I12" s="66">
        <f>SUM(N12,S12)</f>
        <v>0</v>
      </c>
      <c r="J12" s="67"/>
      <c r="K12" s="65"/>
      <c r="L12" s="65"/>
      <c r="M12" s="53">
        <v>0</v>
      </c>
      <c r="N12" s="66"/>
      <c r="O12" s="66"/>
      <c r="P12" s="66"/>
      <c r="Q12" s="65"/>
      <c r="R12" s="53">
        <v>0</v>
      </c>
      <c r="S12" s="66"/>
      <c r="T12" s="66"/>
      <c r="U12" s="65"/>
      <c r="V12" s="65"/>
      <c r="W12" s="53">
        <v>0</v>
      </c>
      <c r="X12" s="66"/>
    </row>
    <row r="13" spans="1:24" s="7" customFormat="1" ht="9.75" x14ac:dyDescent="0.2">
      <c r="A13" s="11" t="s">
        <v>25</v>
      </c>
      <c r="B13" s="753" t="s">
        <v>26</v>
      </c>
      <c r="C13" s="753"/>
      <c r="D13" s="12" t="s">
        <v>16</v>
      </c>
      <c r="E13" s="52">
        <f>SUM(E14:E33)</f>
        <v>8544168</v>
      </c>
      <c r="F13" s="52">
        <f>SUM(F14:F33)</f>
        <v>9001118</v>
      </c>
      <c r="G13" s="52">
        <f>SUM(G14:G33)</f>
        <v>4449363.5199999996</v>
      </c>
      <c r="H13" s="53">
        <f t="shared" si="0"/>
        <v>49.431231986959837</v>
      </c>
      <c r="I13" s="54">
        <f>SUM(I14:I33)</f>
        <v>3804680.06</v>
      </c>
      <c r="J13" s="54">
        <f>SUM(J14:J33)</f>
        <v>2250408</v>
      </c>
      <c r="K13" s="52">
        <f>SUM(K14:K33)</f>
        <v>2707358</v>
      </c>
      <c r="L13" s="52">
        <f>SUM(L14:L33)</f>
        <v>1276150.52</v>
      </c>
      <c r="M13" s="53">
        <f t="shared" si="2"/>
        <v>47.136378713121793</v>
      </c>
      <c r="N13" s="54">
        <f>SUM(N14:N33)</f>
        <v>1009963.06</v>
      </c>
      <c r="O13" s="54">
        <f>SUM(O14:O33)</f>
        <v>6293760</v>
      </c>
      <c r="P13" s="54">
        <f>SUM(P14:P33)</f>
        <v>6293760</v>
      </c>
      <c r="Q13" s="52">
        <f>SUM(Q14:Q33)</f>
        <v>3173213</v>
      </c>
      <c r="R13" s="53">
        <f t="shared" si="3"/>
        <v>50.418398540776899</v>
      </c>
      <c r="S13" s="54">
        <f>SUM(S14:S33)</f>
        <v>2794717</v>
      </c>
      <c r="T13" s="54">
        <f>SUM(T14:T33)</f>
        <v>0</v>
      </c>
      <c r="U13" s="52">
        <f>SUM(U14:U33)</f>
        <v>0</v>
      </c>
      <c r="V13" s="52">
        <f>SUM(V14:V33)</f>
        <v>0</v>
      </c>
      <c r="W13" s="53">
        <v>0</v>
      </c>
      <c r="X13" s="54">
        <f>SUM(X14:X33)</f>
        <v>0</v>
      </c>
    </row>
    <row r="14" spans="1:24" s="7" customFormat="1" ht="9.75" x14ac:dyDescent="0.2">
      <c r="A14" s="15" t="s">
        <v>27</v>
      </c>
      <c r="B14" s="750" t="s">
        <v>28</v>
      </c>
      <c r="C14" s="750"/>
      <c r="D14" s="16" t="s">
        <v>16</v>
      </c>
      <c r="E14" s="55">
        <f t="shared" ref="E14:I31" si="5">SUM(J14,O14)</f>
        <v>696588</v>
      </c>
      <c r="F14" s="55">
        <f t="shared" si="5"/>
        <v>801588</v>
      </c>
      <c r="G14" s="55">
        <f t="shared" si="5"/>
        <v>470759.42</v>
      </c>
      <c r="H14" s="56">
        <f t="shared" si="0"/>
        <v>58.728351721832162</v>
      </c>
      <c r="I14" s="57">
        <f t="shared" si="5"/>
        <v>448508</v>
      </c>
      <c r="J14" s="68">
        <v>642628</v>
      </c>
      <c r="K14" s="68">
        <v>752628</v>
      </c>
      <c r="L14" s="69">
        <v>432863.42</v>
      </c>
      <c r="M14" s="56">
        <f t="shared" si="2"/>
        <v>57.513595029682648</v>
      </c>
      <c r="N14" s="70">
        <v>439779</v>
      </c>
      <c r="O14" s="71">
        <v>53960</v>
      </c>
      <c r="P14" s="71">
        <v>48960</v>
      </c>
      <c r="Q14" s="69">
        <v>37896</v>
      </c>
      <c r="R14" s="56">
        <f t="shared" si="3"/>
        <v>77.401960784313729</v>
      </c>
      <c r="S14" s="71">
        <v>8729</v>
      </c>
      <c r="T14" s="71">
        <v>0</v>
      </c>
      <c r="U14" s="69">
        <v>0</v>
      </c>
      <c r="V14" s="69">
        <v>0</v>
      </c>
      <c r="W14" s="56">
        <v>0</v>
      </c>
      <c r="X14" s="71">
        <v>0</v>
      </c>
    </row>
    <row r="15" spans="1:24" s="7" customFormat="1" ht="9.75" x14ac:dyDescent="0.2">
      <c r="A15" s="15" t="s">
        <v>29</v>
      </c>
      <c r="B15" s="750" t="s">
        <v>30</v>
      </c>
      <c r="C15" s="750"/>
      <c r="D15" s="16" t="s">
        <v>16</v>
      </c>
      <c r="E15" s="55">
        <f t="shared" si="5"/>
        <v>670000</v>
      </c>
      <c r="F15" s="55">
        <f t="shared" si="5"/>
        <v>670000</v>
      </c>
      <c r="G15" s="55">
        <f t="shared" si="5"/>
        <v>263553</v>
      </c>
      <c r="H15" s="56">
        <f t="shared" si="0"/>
        <v>39.336268656716413</v>
      </c>
      <c r="I15" s="57">
        <f t="shared" si="5"/>
        <v>92980.77</v>
      </c>
      <c r="J15" s="68">
        <v>670000</v>
      </c>
      <c r="K15" s="68">
        <v>670000</v>
      </c>
      <c r="L15" s="55">
        <v>263553</v>
      </c>
      <c r="M15" s="56">
        <f t="shared" si="2"/>
        <v>39.336268656716413</v>
      </c>
      <c r="N15" s="72">
        <v>92980.77</v>
      </c>
      <c r="O15" s="57">
        <v>0</v>
      </c>
      <c r="P15" s="57">
        <v>0</v>
      </c>
      <c r="Q15" s="55">
        <v>0</v>
      </c>
      <c r="R15" s="56">
        <v>0</v>
      </c>
      <c r="S15" s="73">
        <v>0</v>
      </c>
      <c r="T15" s="57">
        <v>0</v>
      </c>
      <c r="U15" s="55">
        <v>0</v>
      </c>
      <c r="V15" s="55">
        <v>0</v>
      </c>
      <c r="W15" s="56">
        <v>0</v>
      </c>
      <c r="X15" s="74">
        <v>0</v>
      </c>
    </row>
    <row r="16" spans="1:24" s="7" customFormat="1" ht="9.75" x14ac:dyDescent="0.2">
      <c r="A16" s="15" t="s">
        <v>31</v>
      </c>
      <c r="B16" s="21" t="s">
        <v>32</v>
      </c>
      <c r="C16" s="21"/>
      <c r="D16" s="16" t="s">
        <v>16</v>
      </c>
      <c r="E16" s="55">
        <f t="shared" si="5"/>
        <v>0</v>
      </c>
      <c r="F16" s="55">
        <f t="shared" si="5"/>
        <v>0</v>
      </c>
      <c r="G16" s="55">
        <f t="shared" si="5"/>
        <v>0</v>
      </c>
      <c r="H16" s="56">
        <v>0</v>
      </c>
      <c r="I16" s="57">
        <f t="shared" si="5"/>
        <v>0</v>
      </c>
      <c r="J16" s="68">
        <v>0</v>
      </c>
      <c r="K16" s="68">
        <v>0</v>
      </c>
      <c r="L16" s="55">
        <v>0</v>
      </c>
      <c r="M16" s="56">
        <v>0</v>
      </c>
      <c r="N16" s="72">
        <v>0</v>
      </c>
      <c r="O16" s="57">
        <v>0</v>
      </c>
      <c r="P16" s="57">
        <v>0</v>
      </c>
      <c r="Q16" s="55">
        <v>0</v>
      </c>
      <c r="R16" s="56">
        <v>0</v>
      </c>
      <c r="S16" s="57">
        <v>0</v>
      </c>
      <c r="T16" s="57">
        <v>0</v>
      </c>
      <c r="U16" s="55">
        <v>0</v>
      </c>
      <c r="V16" s="55">
        <v>0</v>
      </c>
      <c r="W16" s="56">
        <v>0</v>
      </c>
      <c r="X16" s="57">
        <v>0</v>
      </c>
    </row>
    <row r="17" spans="1:24" s="7" customFormat="1" ht="9.75" x14ac:dyDescent="0.2">
      <c r="A17" s="15" t="s">
        <v>33</v>
      </c>
      <c r="B17" s="750" t="s">
        <v>34</v>
      </c>
      <c r="C17" s="750"/>
      <c r="D17" s="16" t="s">
        <v>16</v>
      </c>
      <c r="E17" s="55">
        <f t="shared" si="5"/>
        <v>415000</v>
      </c>
      <c r="F17" s="55">
        <f t="shared" si="5"/>
        <v>662750</v>
      </c>
      <c r="G17" s="55">
        <f t="shared" si="5"/>
        <v>196100</v>
      </c>
      <c r="H17" s="56">
        <f t="shared" si="0"/>
        <v>29.588834402112411</v>
      </c>
      <c r="I17" s="57">
        <f t="shared" si="5"/>
        <v>212674</v>
      </c>
      <c r="J17" s="68">
        <v>415000</v>
      </c>
      <c r="K17" s="68">
        <v>662750</v>
      </c>
      <c r="L17" s="55">
        <v>196100</v>
      </c>
      <c r="M17" s="56">
        <f t="shared" si="2"/>
        <v>29.588834402112411</v>
      </c>
      <c r="N17" s="72">
        <v>212674</v>
      </c>
      <c r="O17" s="57">
        <v>0</v>
      </c>
      <c r="P17" s="57">
        <v>0</v>
      </c>
      <c r="Q17" s="55">
        <v>0</v>
      </c>
      <c r="R17" s="56">
        <v>0</v>
      </c>
      <c r="S17" s="57">
        <v>0</v>
      </c>
      <c r="T17" s="57">
        <v>0</v>
      </c>
      <c r="U17" s="55">
        <v>0</v>
      </c>
      <c r="V17" s="55">
        <v>0</v>
      </c>
      <c r="W17" s="56">
        <v>0</v>
      </c>
      <c r="X17" s="57">
        <v>0</v>
      </c>
    </row>
    <row r="18" spans="1:24" s="7" customFormat="1" ht="9.75" x14ac:dyDescent="0.2">
      <c r="A18" s="15" t="s">
        <v>35</v>
      </c>
      <c r="B18" s="750" t="s">
        <v>36</v>
      </c>
      <c r="C18" s="750"/>
      <c r="D18" s="16" t="s">
        <v>16</v>
      </c>
      <c r="E18" s="55">
        <f t="shared" si="5"/>
        <v>2000</v>
      </c>
      <c r="F18" s="55">
        <f t="shared" si="5"/>
        <v>500</v>
      </c>
      <c r="G18" s="55">
        <f t="shared" si="5"/>
        <v>0</v>
      </c>
      <c r="H18" s="56">
        <f t="shared" si="0"/>
        <v>0</v>
      </c>
      <c r="I18" s="57">
        <f t="shared" si="5"/>
        <v>0</v>
      </c>
      <c r="J18" s="68">
        <v>2000</v>
      </c>
      <c r="K18" s="68">
        <v>500</v>
      </c>
      <c r="L18" s="55">
        <v>0</v>
      </c>
      <c r="M18" s="56">
        <f t="shared" si="2"/>
        <v>0</v>
      </c>
      <c r="N18" s="57">
        <v>0</v>
      </c>
      <c r="O18" s="57">
        <v>0</v>
      </c>
      <c r="P18" s="57">
        <v>0</v>
      </c>
      <c r="Q18" s="55">
        <v>0</v>
      </c>
      <c r="R18" s="56">
        <v>0</v>
      </c>
      <c r="S18" s="57">
        <v>0</v>
      </c>
      <c r="T18" s="57">
        <v>0</v>
      </c>
      <c r="U18" s="55">
        <v>0</v>
      </c>
      <c r="V18" s="55">
        <v>0</v>
      </c>
      <c r="W18" s="56">
        <v>0</v>
      </c>
      <c r="X18" s="74">
        <v>0</v>
      </c>
    </row>
    <row r="19" spans="1:24" s="7" customFormat="1" ht="9.75" x14ac:dyDescent="0.2">
      <c r="A19" s="15" t="s">
        <v>37</v>
      </c>
      <c r="B19" s="21" t="s">
        <v>38</v>
      </c>
      <c r="C19" s="21"/>
      <c r="D19" s="16" t="s">
        <v>16</v>
      </c>
      <c r="E19" s="55">
        <f t="shared" si="5"/>
        <v>1000</v>
      </c>
      <c r="F19" s="55">
        <f t="shared" si="5"/>
        <v>500</v>
      </c>
      <c r="G19" s="55">
        <f t="shared" si="5"/>
        <v>0</v>
      </c>
      <c r="H19" s="56">
        <f t="shared" si="0"/>
        <v>0</v>
      </c>
      <c r="I19" s="57">
        <f t="shared" si="5"/>
        <v>0</v>
      </c>
      <c r="J19" s="68">
        <v>1000</v>
      </c>
      <c r="K19" s="68">
        <v>500</v>
      </c>
      <c r="L19" s="55">
        <v>0</v>
      </c>
      <c r="M19" s="56">
        <f t="shared" si="2"/>
        <v>0</v>
      </c>
      <c r="N19" s="63">
        <v>0</v>
      </c>
      <c r="O19" s="57">
        <v>0</v>
      </c>
      <c r="P19" s="57">
        <v>0</v>
      </c>
      <c r="Q19" s="55">
        <v>0</v>
      </c>
      <c r="R19" s="56">
        <v>0</v>
      </c>
      <c r="S19" s="73">
        <v>0</v>
      </c>
      <c r="T19" s="57">
        <v>0</v>
      </c>
      <c r="U19" s="55">
        <v>0</v>
      </c>
      <c r="V19" s="55">
        <v>0</v>
      </c>
      <c r="W19" s="56">
        <v>0</v>
      </c>
      <c r="X19" s="72">
        <v>0</v>
      </c>
    </row>
    <row r="20" spans="1:24" s="7" customFormat="1" ht="9.75" x14ac:dyDescent="0.2">
      <c r="A20" s="15" t="s">
        <v>39</v>
      </c>
      <c r="B20" s="750" t="s">
        <v>40</v>
      </c>
      <c r="C20" s="750"/>
      <c r="D20" s="16" t="s">
        <v>16</v>
      </c>
      <c r="E20" s="55">
        <f t="shared" si="5"/>
        <v>258200</v>
      </c>
      <c r="F20" s="55">
        <f t="shared" si="5"/>
        <v>358500</v>
      </c>
      <c r="G20" s="55">
        <f t="shared" si="5"/>
        <v>228404.6</v>
      </c>
      <c r="H20" s="56">
        <f t="shared" si="0"/>
        <v>63.711185495118549</v>
      </c>
      <c r="I20" s="57">
        <f t="shared" si="5"/>
        <v>91863.29</v>
      </c>
      <c r="J20" s="68">
        <v>258200</v>
      </c>
      <c r="K20" s="68">
        <v>358500</v>
      </c>
      <c r="L20" s="55">
        <v>228404.6</v>
      </c>
      <c r="M20" s="56">
        <f t="shared" si="2"/>
        <v>63.711185495118549</v>
      </c>
      <c r="N20" s="57">
        <v>91863.29</v>
      </c>
      <c r="O20" s="57">
        <v>0</v>
      </c>
      <c r="P20" s="57">
        <v>0</v>
      </c>
      <c r="Q20" s="55">
        <v>0</v>
      </c>
      <c r="R20" s="56">
        <v>0</v>
      </c>
      <c r="S20" s="57">
        <v>0</v>
      </c>
      <c r="T20" s="57">
        <v>0</v>
      </c>
      <c r="U20" s="55">
        <v>0</v>
      </c>
      <c r="V20" s="55">
        <v>0</v>
      </c>
      <c r="W20" s="56">
        <v>0</v>
      </c>
      <c r="X20" s="72">
        <v>0</v>
      </c>
    </row>
    <row r="21" spans="1:24" s="28" customFormat="1" ht="9.75" x14ac:dyDescent="0.2">
      <c r="A21" s="15" t="s">
        <v>41</v>
      </c>
      <c r="B21" s="750" t="s">
        <v>42</v>
      </c>
      <c r="C21" s="750"/>
      <c r="D21" s="16" t="s">
        <v>16</v>
      </c>
      <c r="E21" s="55">
        <f t="shared" si="5"/>
        <v>4588100</v>
      </c>
      <c r="F21" s="55">
        <f t="shared" si="5"/>
        <v>4588100</v>
      </c>
      <c r="G21" s="55">
        <f t="shared" si="5"/>
        <v>2302270</v>
      </c>
      <c r="H21" s="56">
        <f t="shared" si="0"/>
        <v>50.179159129051243</v>
      </c>
      <c r="I21" s="57">
        <f t="shared" si="5"/>
        <v>2049200</v>
      </c>
      <c r="J21" s="75">
        <v>0</v>
      </c>
      <c r="K21" s="75">
        <v>0</v>
      </c>
      <c r="L21" s="55">
        <v>0</v>
      </c>
      <c r="M21" s="56">
        <v>0</v>
      </c>
      <c r="N21" s="63">
        <v>0</v>
      </c>
      <c r="O21" s="57">
        <v>4588100</v>
      </c>
      <c r="P21" s="57">
        <v>4588100</v>
      </c>
      <c r="Q21" s="55">
        <v>2302270</v>
      </c>
      <c r="R21" s="56">
        <f t="shared" si="3"/>
        <v>50.179159129051243</v>
      </c>
      <c r="S21" s="57">
        <v>2049200</v>
      </c>
      <c r="T21" s="76">
        <v>0</v>
      </c>
      <c r="U21" s="77">
        <v>0</v>
      </c>
      <c r="V21" s="77">
        <v>0</v>
      </c>
      <c r="W21" s="56">
        <v>0</v>
      </c>
      <c r="X21" s="78">
        <v>0</v>
      </c>
    </row>
    <row r="22" spans="1:24" s="7" customFormat="1" ht="9.75" x14ac:dyDescent="0.2">
      <c r="A22" s="15" t="s">
        <v>43</v>
      </c>
      <c r="B22" s="750" t="s">
        <v>44</v>
      </c>
      <c r="C22" s="750"/>
      <c r="D22" s="16" t="s">
        <v>16</v>
      </c>
      <c r="E22" s="55">
        <f t="shared" si="5"/>
        <v>1559938</v>
      </c>
      <c r="F22" s="55">
        <f t="shared" si="5"/>
        <v>1566838</v>
      </c>
      <c r="G22" s="55">
        <f t="shared" si="5"/>
        <v>784984</v>
      </c>
      <c r="H22" s="56">
        <f t="shared" si="0"/>
        <v>50.099882693679888</v>
      </c>
      <c r="I22" s="57">
        <f t="shared" si="5"/>
        <v>695804</v>
      </c>
      <c r="J22" s="68">
        <v>0</v>
      </c>
      <c r="K22" s="68">
        <v>6900</v>
      </c>
      <c r="L22" s="55">
        <v>3400</v>
      </c>
      <c r="M22" s="56">
        <f t="shared" si="2"/>
        <v>49.275362318840585</v>
      </c>
      <c r="N22" s="57">
        <v>0</v>
      </c>
      <c r="O22" s="57">
        <v>1559938</v>
      </c>
      <c r="P22" s="57">
        <v>1559938</v>
      </c>
      <c r="Q22" s="55">
        <v>781584</v>
      </c>
      <c r="R22" s="56">
        <f t="shared" si="3"/>
        <v>50.103529755669776</v>
      </c>
      <c r="S22" s="73">
        <v>695804</v>
      </c>
      <c r="T22" s="57">
        <v>0</v>
      </c>
      <c r="U22" s="55">
        <v>0</v>
      </c>
      <c r="V22" s="55">
        <v>0</v>
      </c>
      <c r="W22" s="56">
        <v>0</v>
      </c>
      <c r="X22" s="72">
        <v>0</v>
      </c>
    </row>
    <row r="23" spans="1:24" s="7" customFormat="1" ht="9.75" x14ac:dyDescent="0.2">
      <c r="A23" s="15" t="s">
        <v>45</v>
      </c>
      <c r="B23" s="750" t="s">
        <v>46</v>
      </c>
      <c r="C23" s="750"/>
      <c r="D23" s="16" t="s">
        <v>16</v>
      </c>
      <c r="E23" s="55">
        <f t="shared" si="5"/>
        <v>98762</v>
      </c>
      <c r="F23" s="55">
        <f t="shared" si="5"/>
        <v>93062</v>
      </c>
      <c r="G23" s="55">
        <f t="shared" si="5"/>
        <v>47293</v>
      </c>
      <c r="H23" s="56">
        <f t="shared" si="0"/>
        <v>50.818808966065632</v>
      </c>
      <c r="I23" s="57">
        <f t="shared" si="5"/>
        <v>40984</v>
      </c>
      <c r="J23" s="68">
        <v>7000</v>
      </c>
      <c r="K23" s="68">
        <v>1300</v>
      </c>
      <c r="L23" s="55">
        <v>300</v>
      </c>
      <c r="M23" s="56">
        <f t="shared" si="2"/>
        <v>23.076923076923077</v>
      </c>
      <c r="N23" s="57">
        <v>0</v>
      </c>
      <c r="O23" s="57">
        <v>91762</v>
      </c>
      <c r="P23" s="57">
        <v>91762</v>
      </c>
      <c r="Q23" s="55">
        <v>46993</v>
      </c>
      <c r="R23" s="56">
        <f t="shared" si="3"/>
        <v>51.211830605261433</v>
      </c>
      <c r="S23" s="57">
        <v>40984</v>
      </c>
      <c r="T23" s="57">
        <v>0</v>
      </c>
      <c r="U23" s="55">
        <v>0</v>
      </c>
      <c r="V23" s="55">
        <v>0</v>
      </c>
      <c r="W23" s="56">
        <v>0</v>
      </c>
      <c r="X23" s="72">
        <v>0</v>
      </c>
    </row>
    <row r="24" spans="1:24" s="7" customFormat="1" ht="9.75" x14ac:dyDescent="0.2">
      <c r="A24" s="15" t="s">
        <v>47</v>
      </c>
      <c r="B24" s="750" t="s">
        <v>48</v>
      </c>
      <c r="C24" s="750"/>
      <c r="D24" s="16" t="s">
        <v>16</v>
      </c>
      <c r="E24" s="55">
        <f t="shared" si="5"/>
        <v>0</v>
      </c>
      <c r="F24" s="55">
        <f t="shared" si="5"/>
        <v>0</v>
      </c>
      <c r="G24" s="55">
        <f t="shared" si="5"/>
        <v>0</v>
      </c>
      <c r="H24" s="56">
        <v>0</v>
      </c>
      <c r="I24" s="57">
        <f t="shared" si="5"/>
        <v>0</v>
      </c>
      <c r="J24" s="68">
        <v>0</v>
      </c>
      <c r="K24" s="68">
        <v>0</v>
      </c>
      <c r="L24" s="55">
        <v>0</v>
      </c>
      <c r="M24" s="56">
        <v>0</v>
      </c>
      <c r="N24" s="57">
        <v>0</v>
      </c>
      <c r="O24" s="57">
        <v>0</v>
      </c>
      <c r="P24" s="57">
        <v>0</v>
      </c>
      <c r="Q24" s="55">
        <v>0</v>
      </c>
      <c r="R24" s="56">
        <v>0</v>
      </c>
      <c r="S24" s="57">
        <v>0</v>
      </c>
      <c r="T24" s="57">
        <v>0</v>
      </c>
      <c r="U24" s="55">
        <v>0</v>
      </c>
      <c r="V24" s="55">
        <v>0</v>
      </c>
      <c r="W24" s="56">
        <v>0</v>
      </c>
      <c r="X24" s="57">
        <v>0</v>
      </c>
    </row>
    <row r="25" spans="1:24" s="7" customFormat="1" ht="9.75" x14ac:dyDescent="0.2">
      <c r="A25" s="15" t="s">
        <v>49</v>
      </c>
      <c r="B25" s="21" t="s">
        <v>50</v>
      </c>
      <c r="C25" s="21"/>
      <c r="D25" s="16" t="s">
        <v>16</v>
      </c>
      <c r="E25" s="55">
        <f t="shared" si="5"/>
        <v>0</v>
      </c>
      <c r="F25" s="55">
        <f t="shared" si="5"/>
        <v>0</v>
      </c>
      <c r="G25" s="55">
        <f t="shared" si="5"/>
        <v>0</v>
      </c>
      <c r="H25" s="56">
        <v>0</v>
      </c>
      <c r="I25" s="57">
        <f t="shared" si="5"/>
        <v>0</v>
      </c>
      <c r="J25" s="68">
        <v>0</v>
      </c>
      <c r="K25" s="68">
        <v>0</v>
      </c>
      <c r="L25" s="55">
        <v>0</v>
      </c>
      <c r="M25" s="56">
        <v>0</v>
      </c>
      <c r="N25" s="57">
        <v>0</v>
      </c>
      <c r="O25" s="57">
        <v>0</v>
      </c>
      <c r="P25" s="57">
        <v>0</v>
      </c>
      <c r="Q25" s="55">
        <v>0</v>
      </c>
      <c r="R25" s="56">
        <v>0</v>
      </c>
      <c r="S25" s="73">
        <v>0</v>
      </c>
      <c r="T25" s="57">
        <v>0</v>
      </c>
      <c r="U25" s="55">
        <v>0</v>
      </c>
      <c r="V25" s="55">
        <v>0</v>
      </c>
      <c r="W25" s="56">
        <v>0</v>
      </c>
      <c r="X25" s="74">
        <v>0</v>
      </c>
    </row>
    <row r="26" spans="1:24" s="7" customFormat="1" ht="9.75" x14ac:dyDescent="0.2">
      <c r="A26" s="15" t="s">
        <v>51</v>
      </c>
      <c r="B26" s="21" t="s">
        <v>52</v>
      </c>
      <c r="C26" s="21"/>
      <c r="D26" s="16" t="s">
        <v>16</v>
      </c>
      <c r="E26" s="55">
        <f t="shared" si="5"/>
        <v>0</v>
      </c>
      <c r="F26" s="55">
        <f t="shared" si="5"/>
        <v>0</v>
      </c>
      <c r="G26" s="55">
        <f t="shared" si="5"/>
        <v>0</v>
      </c>
      <c r="H26" s="56">
        <v>0</v>
      </c>
      <c r="I26" s="57">
        <f t="shared" si="5"/>
        <v>0</v>
      </c>
      <c r="J26" s="68">
        <v>0</v>
      </c>
      <c r="K26" s="68">
        <v>0</v>
      </c>
      <c r="L26" s="55">
        <v>0</v>
      </c>
      <c r="M26" s="56">
        <v>0</v>
      </c>
      <c r="N26" s="57">
        <v>0</v>
      </c>
      <c r="O26" s="57">
        <v>0</v>
      </c>
      <c r="P26" s="57">
        <v>0</v>
      </c>
      <c r="Q26" s="55">
        <v>0</v>
      </c>
      <c r="R26" s="56">
        <v>0</v>
      </c>
      <c r="S26" s="57">
        <v>0</v>
      </c>
      <c r="T26" s="57">
        <v>0</v>
      </c>
      <c r="U26" s="55">
        <v>0</v>
      </c>
      <c r="V26" s="55">
        <v>0</v>
      </c>
      <c r="W26" s="56">
        <v>0</v>
      </c>
      <c r="X26" s="57">
        <v>0</v>
      </c>
    </row>
    <row r="27" spans="1:24" s="7" customFormat="1" ht="9.75" x14ac:dyDescent="0.2">
      <c r="A27" s="15" t="s">
        <v>53</v>
      </c>
      <c r="B27" s="21" t="s">
        <v>54</v>
      </c>
      <c r="C27" s="21"/>
      <c r="D27" s="16" t="s">
        <v>16</v>
      </c>
      <c r="E27" s="55">
        <f t="shared" si="5"/>
        <v>0</v>
      </c>
      <c r="F27" s="55">
        <f t="shared" si="5"/>
        <v>40000</v>
      </c>
      <c r="G27" s="55">
        <f t="shared" si="5"/>
        <v>28350</v>
      </c>
      <c r="H27" s="56">
        <f t="shared" ref="H27" si="6">G27/F27*100</f>
        <v>70.875</v>
      </c>
      <c r="I27" s="57">
        <f t="shared" si="5"/>
        <v>0</v>
      </c>
      <c r="J27" s="68">
        <v>0</v>
      </c>
      <c r="K27" s="68">
        <v>40000</v>
      </c>
      <c r="L27" s="69">
        <v>28350</v>
      </c>
      <c r="M27" s="56">
        <f t="shared" ref="M27" si="7">L27/K27*100</f>
        <v>70.875</v>
      </c>
      <c r="N27" s="71">
        <v>0</v>
      </c>
      <c r="O27" s="71">
        <v>0</v>
      </c>
      <c r="P27" s="71">
        <v>0</v>
      </c>
      <c r="Q27" s="69">
        <v>0</v>
      </c>
      <c r="R27" s="56">
        <v>0</v>
      </c>
      <c r="S27" s="71">
        <v>0</v>
      </c>
      <c r="T27" s="71">
        <v>0</v>
      </c>
      <c r="U27" s="69">
        <v>0</v>
      </c>
      <c r="V27" s="69">
        <v>0</v>
      </c>
      <c r="W27" s="56">
        <v>0</v>
      </c>
      <c r="X27" s="79">
        <v>0</v>
      </c>
    </row>
    <row r="28" spans="1:24" s="30" customFormat="1" ht="9.75" x14ac:dyDescent="0.2">
      <c r="A28" s="15" t="s">
        <v>55</v>
      </c>
      <c r="B28" s="750" t="s">
        <v>56</v>
      </c>
      <c r="C28" s="750"/>
      <c r="D28" s="16" t="s">
        <v>16</v>
      </c>
      <c r="E28" s="55">
        <f t="shared" si="5"/>
        <v>173580</v>
      </c>
      <c r="F28" s="55">
        <f t="shared" si="5"/>
        <v>173580</v>
      </c>
      <c r="G28" s="55">
        <f t="shared" si="5"/>
        <v>86790</v>
      </c>
      <c r="H28" s="56">
        <f>G28/F28*100</f>
        <v>50</v>
      </c>
      <c r="I28" s="57">
        <f>SUM(N28,S28)</f>
        <v>84540</v>
      </c>
      <c r="J28" s="68">
        <v>173580</v>
      </c>
      <c r="K28" s="68">
        <v>173580</v>
      </c>
      <c r="L28" s="80">
        <v>86790</v>
      </c>
      <c r="M28" s="56">
        <f>L28/K28*100</f>
        <v>50</v>
      </c>
      <c r="N28" s="81">
        <v>84540</v>
      </c>
      <c r="O28" s="82">
        <v>0</v>
      </c>
      <c r="P28" s="82">
        <v>0</v>
      </c>
      <c r="Q28" s="80">
        <v>0</v>
      </c>
      <c r="R28" s="56">
        <v>0</v>
      </c>
      <c r="S28" s="83">
        <v>0</v>
      </c>
      <c r="T28" s="82">
        <v>0</v>
      </c>
      <c r="U28" s="80">
        <v>0</v>
      </c>
      <c r="V28" s="80">
        <v>0</v>
      </c>
      <c r="W28" s="56">
        <v>0</v>
      </c>
      <c r="X28" s="82">
        <v>0</v>
      </c>
    </row>
    <row r="29" spans="1:24" s="30" customFormat="1" ht="9.75" x14ac:dyDescent="0.2">
      <c r="A29" s="15" t="s">
        <v>57</v>
      </c>
      <c r="B29" s="21" t="s">
        <v>58</v>
      </c>
      <c r="C29" s="21"/>
      <c r="D29" s="16" t="s">
        <v>16</v>
      </c>
      <c r="E29" s="55">
        <f t="shared" si="5"/>
        <v>0</v>
      </c>
      <c r="F29" s="55">
        <f t="shared" si="5"/>
        <v>0</v>
      </c>
      <c r="G29" s="55">
        <f t="shared" si="5"/>
        <v>0</v>
      </c>
      <c r="H29" s="56">
        <v>0</v>
      </c>
      <c r="I29" s="57">
        <f t="shared" si="5"/>
        <v>0</v>
      </c>
      <c r="J29" s="68">
        <v>0</v>
      </c>
      <c r="K29" s="68">
        <v>0</v>
      </c>
      <c r="L29" s="80">
        <v>0</v>
      </c>
      <c r="M29" s="56">
        <v>0</v>
      </c>
      <c r="N29" s="84">
        <v>0</v>
      </c>
      <c r="O29" s="82">
        <v>0</v>
      </c>
      <c r="P29" s="82">
        <v>0</v>
      </c>
      <c r="Q29" s="80">
        <v>0</v>
      </c>
      <c r="R29" s="56">
        <v>0</v>
      </c>
      <c r="S29" s="82">
        <v>0</v>
      </c>
      <c r="T29" s="82">
        <v>0</v>
      </c>
      <c r="U29" s="80">
        <v>0</v>
      </c>
      <c r="V29" s="80">
        <v>0</v>
      </c>
      <c r="W29" s="56">
        <v>0</v>
      </c>
      <c r="X29" s="85">
        <v>0</v>
      </c>
    </row>
    <row r="30" spans="1:24" s="30" customFormat="1" ht="9.75" x14ac:dyDescent="0.2">
      <c r="A30" s="15" t="s">
        <v>59</v>
      </c>
      <c r="B30" s="21" t="s">
        <v>60</v>
      </c>
      <c r="C30" s="21"/>
      <c r="D30" s="16" t="s">
        <v>16</v>
      </c>
      <c r="E30" s="55">
        <f>SUM(J30,O30)</f>
        <v>80000</v>
      </c>
      <c r="F30" s="55">
        <f>SUM(K30,P30)</f>
        <v>45000</v>
      </c>
      <c r="G30" s="55">
        <f>SUM(L30,Q30)</f>
        <v>40194.5</v>
      </c>
      <c r="H30" s="56">
        <f>G30/F30*100</f>
        <v>89.321111111111108</v>
      </c>
      <c r="I30" s="57">
        <f>SUM(N30,S30)</f>
        <v>70926</v>
      </c>
      <c r="J30" s="68">
        <v>80000</v>
      </c>
      <c r="K30" s="68">
        <v>40000</v>
      </c>
      <c r="L30" s="80">
        <v>35724.5</v>
      </c>
      <c r="M30" s="56">
        <f t="shared" si="2"/>
        <v>89.311250000000001</v>
      </c>
      <c r="N30" s="82">
        <v>70926</v>
      </c>
      <c r="O30" s="82">
        <v>0</v>
      </c>
      <c r="P30" s="82">
        <v>5000</v>
      </c>
      <c r="Q30" s="80">
        <v>4470</v>
      </c>
      <c r="R30" s="56">
        <f>Q30/P30*100</f>
        <v>89.4</v>
      </c>
      <c r="S30" s="82">
        <v>0</v>
      </c>
      <c r="T30" s="82">
        <v>0</v>
      </c>
      <c r="U30" s="80">
        <v>0</v>
      </c>
      <c r="V30" s="80">
        <v>0</v>
      </c>
      <c r="W30" s="56">
        <v>0</v>
      </c>
      <c r="X30" s="84">
        <v>0</v>
      </c>
    </row>
    <row r="31" spans="1:24" s="31" customFormat="1" ht="9.75" x14ac:dyDescent="0.2">
      <c r="A31" s="15" t="s">
        <v>61</v>
      </c>
      <c r="B31" s="21" t="s">
        <v>62</v>
      </c>
      <c r="C31" s="21"/>
      <c r="D31" s="16" t="s">
        <v>16</v>
      </c>
      <c r="E31" s="55">
        <f t="shared" si="5"/>
        <v>1000</v>
      </c>
      <c r="F31" s="55">
        <f t="shared" si="5"/>
        <v>700</v>
      </c>
      <c r="G31" s="55">
        <f t="shared" si="5"/>
        <v>665</v>
      </c>
      <c r="H31" s="56">
        <f t="shared" si="0"/>
        <v>95</v>
      </c>
      <c r="I31" s="57">
        <f t="shared" si="5"/>
        <v>17200</v>
      </c>
      <c r="J31" s="68">
        <v>1000</v>
      </c>
      <c r="K31" s="68">
        <v>700</v>
      </c>
      <c r="L31" s="80">
        <v>665</v>
      </c>
      <c r="M31" s="56">
        <f t="shared" si="2"/>
        <v>95</v>
      </c>
      <c r="N31" s="82">
        <v>17200</v>
      </c>
      <c r="O31" s="82">
        <v>0</v>
      </c>
      <c r="P31" s="82">
        <v>0</v>
      </c>
      <c r="Q31" s="80">
        <v>0</v>
      </c>
      <c r="R31" s="56">
        <v>0</v>
      </c>
      <c r="S31" s="82">
        <v>0</v>
      </c>
      <c r="T31" s="82">
        <v>0</v>
      </c>
      <c r="U31" s="80">
        <v>0</v>
      </c>
      <c r="V31" s="80">
        <v>0</v>
      </c>
      <c r="W31" s="56">
        <v>0</v>
      </c>
      <c r="X31" s="82">
        <v>0</v>
      </c>
    </row>
    <row r="32" spans="1:24" s="7" customFormat="1" ht="9.75" x14ac:dyDescent="0.2">
      <c r="A32" s="15" t="s">
        <v>63</v>
      </c>
      <c r="B32" s="21" t="s">
        <v>64</v>
      </c>
      <c r="C32" s="21"/>
      <c r="D32" s="16" t="s">
        <v>16</v>
      </c>
      <c r="E32" s="55">
        <f t="shared" ref="E32:G33" si="8">SUM(J32,O32)</f>
        <v>0</v>
      </c>
      <c r="F32" s="55">
        <f t="shared" si="8"/>
        <v>0</v>
      </c>
      <c r="G32" s="55">
        <f t="shared" si="8"/>
        <v>0</v>
      </c>
      <c r="H32" s="56">
        <v>0</v>
      </c>
      <c r="I32" s="57">
        <f>SUM(N32,S32)</f>
        <v>0</v>
      </c>
      <c r="J32" s="68">
        <v>0</v>
      </c>
      <c r="K32" s="80">
        <v>0</v>
      </c>
      <c r="L32" s="80">
        <v>0</v>
      </c>
      <c r="M32" s="56">
        <v>0</v>
      </c>
      <c r="N32" s="81">
        <v>0</v>
      </c>
      <c r="O32" s="82">
        <v>0</v>
      </c>
      <c r="P32" s="82">
        <v>0</v>
      </c>
      <c r="Q32" s="80">
        <v>0</v>
      </c>
      <c r="R32" s="56">
        <v>0</v>
      </c>
      <c r="S32" s="82">
        <v>0</v>
      </c>
      <c r="T32" s="82">
        <v>0</v>
      </c>
      <c r="U32" s="80">
        <v>0</v>
      </c>
      <c r="V32" s="80">
        <v>0</v>
      </c>
      <c r="W32" s="56">
        <v>0</v>
      </c>
      <c r="X32" s="82">
        <v>0</v>
      </c>
    </row>
    <row r="33" spans="1:24" s="34" customFormat="1" ht="9.75" x14ac:dyDescent="0.2">
      <c r="A33" s="15" t="s">
        <v>65</v>
      </c>
      <c r="B33" s="21" t="s">
        <v>66</v>
      </c>
      <c r="C33" s="21"/>
      <c r="D33" s="16" t="s">
        <v>16</v>
      </c>
      <c r="E33" s="55">
        <f t="shared" si="8"/>
        <v>0</v>
      </c>
      <c r="F33" s="55">
        <f t="shared" si="8"/>
        <v>0</v>
      </c>
      <c r="G33" s="55">
        <f t="shared" si="8"/>
        <v>0</v>
      </c>
      <c r="H33" s="56">
        <v>0</v>
      </c>
      <c r="I33" s="57">
        <f>SUM(N33,S33)</f>
        <v>0</v>
      </c>
      <c r="J33" s="68">
        <v>0</v>
      </c>
      <c r="K33" s="86">
        <v>0</v>
      </c>
      <c r="L33" s="86">
        <v>0</v>
      </c>
      <c r="M33" s="56">
        <v>0</v>
      </c>
      <c r="N33" s="87">
        <v>0</v>
      </c>
      <c r="O33" s="87">
        <v>0</v>
      </c>
      <c r="P33" s="87">
        <v>0</v>
      </c>
      <c r="Q33" s="86">
        <v>0</v>
      </c>
      <c r="R33" s="56">
        <v>0</v>
      </c>
      <c r="S33" s="87">
        <v>0</v>
      </c>
      <c r="T33" s="88">
        <v>0</v>
      </c>
      <c r="U33" s="86">
        <v>0</v>
      </c>
      <c r="V33" s="86">
        <v>0</v>
      </c>
      <c r="W33" s="56">
        <v>0</v>
      </c>
      <c r="X33" s="88">
        <v>0</v>
      </c>
    </row>
    <row r="34" spans="1:24" s="34" customFormat="1" ht="9.75" x14ac:dyDescent="0.2">
      <c r="A34" s="15" t="s">
        <v>67</v>
      </c>
      <c r="B34" s="21" t="s">
        <v>68</v>
      </c>
      <c r="C34" s="21"/>
      <c r="D34" s="16" t="s">
        <v>16</v>
      </c>
      <c r="E34" s="55">
        <f>SUM(J34,O34)</f>
        <v>0</v>
      </c>
      <c r="F34" s="55">
        <f>SUM(K34,P34)</f>
        <v>0</v>
      </c>
      <c r="G34" s="55">
        <f>SUM(L34,Q34)</f>
        <v>0</v>
      </c>
      <c r="H34" s="56">
        <v>0</v>
      </c>
      <c r="I34" s="57">
        <f>SUM(N34,S34)</f>
        <v>0</v>
      </c>
      <c r="J34" s="89">
        <v>0</v>
      </c>
      <c r="K34" s="90">
        <v>0</v>
      </c>
      <c r="L34" s="90">
        <v>0</v>
      </c>
      <c r="M34" s="56">
        <v>0</v>
      </c>
      <c r="N34" s="91">
        <v>0</v>
      </c>
      <c r="O34" s="88">
        <v>0</v>
      </c>
      <c r="P34" s="88">
        <v>0</v>
      </c>
      <c r="Q34" s="90">
        <v>0</v>
      </c>
      <c r="R34" s="56">
        <v>0</v>
      </c>
      <c r="S34" s="91">
        <v>0</v>
      </c>
      <c r="T34" s="88">
        <v>0</v>
      </c>
      <c r="U34" s="86">
        <v>0</v>
      </c>
      <c r="V34" s="86">
        <v>0</v>
      </c>
      <c r="W34" s="56">
        <v>0</v>
      </c>
      <c r="X34" s="92">
        <v>0</v>
      </c>
    </row>
    <row r="35" spans="1:24" s="34" customFormat="1" ht="9.75" x14ac:dyDescent="0.2">
      <c r="A35" s="11" t="s">
        <v>69</v>
      </c>
      <c r="B35" s="35" t="s">
        <v>70</v>
      </c>
      <c r="C35" s="35"/>
      <c r="D35" s="12" t="s">
        <v>16</v>
      </c>
      <c r="E35" s="13">
        <f>E8-E13</f>
        <v>0</v>
      </c>
      <c r="F35" s="13">
        <f>F8-F13</f>
        <v>0</v>
      </c>
      <c r="G35" s="13">
        <f>G8-G13</f>
        <v>260937.48000000045</v>
      </c>
      <c r="H35" s="36">
        <v>0</v>
      </c>
      <c r="I35" s="54">
        <f>I8-I13</f>
        <v>224152.93999999994</v>
      </c>
      <c r="J35" s="13">
        <f>J8-J13</f>
        <v>0</v>
      </c>
      <c r="K35" s="13">
        <f>K8-K13</f>
        <v>0</v>
      </c>
      <c r="L35" s="13">
        <f>L8-L13</f>
        <v>260937.47999999998</v>
      </c>
      <c r="M35" s="14">
        <v>0</v>
      </c>
      <c r="N35" s="54">
        <f>N8-N13</f>
        <v>224152.93999999994</v>
      </c>
      <c r="O35" s="13">
        <f>O8-O13</f>
        <v>0</v>
      </c>
      <c r="P35" s="54">
        <f>P8-P13</f>
        <v>0</v>
      </c>
      <c r="Q35" s="13">
        <f>Q8-Q13</f>
        <v>0</v>
      </c>
      <c r="R35" s="14">
        <v>0</v>
      </c>
      <c r="S35" s="13">
        <f>S8-S13</f>
        <v>0</v>
      </c>
      <c r="T35" s="13">
        <f>T8-T13</f>
        <v>0</v>
      </c>
      <c r="U35" s="13">
        <f>U8-U13</f>
        <v>0</v>
      </c>
      <c r="V35" s="13">
        <f>V8-V13</f>
        <v>0</v>
      </c>
      <c r="W35" s="14">
        <v>0</v>
      </c>
      <c r="X35" s="13">
        <f>X8-X13</f>
        <v>0</v>
      </c>
    </row>
    <row r="36" spans="1:24" s="1" customFormat="1" ht="9.75" x14ac:dyDescent="0.2">
      <c r="A36" s="37" t="s">
        <v>71</v>
      </c>
      <c r="B36" s="749" t="s">
        <v>72</v>
      </c>
      <c r="C36" s="749"/>
      <c r="D36" s="38" t="s">
        <v>16</v>
      </c>
      <c r="E36" s="48">
        <v>23485</v>
      </c>
      <c r="F36" s="48">
        <v>23485</v>
      </c>
      <c r="G36" s="48">
        <v>22842</v>
      </c>
      <c r="H36" s="93">
        <f t="shared" ref="H36:H38" si="9">G36/F36*100</f>
        <v>97.262082180114959</v>
      </c>
      <c r="I36" s="94">
        <v>20787</v>
      </c>
      <c r="J36" s="39"/>
      <c r="K36" s="39"/>
      <c r="L36" s="39"/>
      <c r="M36" s="14">
        <v>0</v>
      </c>
      <c r="N36" s="39"/>
      <c r="O36" s="39">
        <v>23485</v>
      </c>
      <c r="P36" s="39">
        <v>23485</v>
      </c>
      <c r="Q36" s="39">
        <v>22842</v>
      </c>
      <c r="R36" s="14">
        <v>0</v>
      </c>
      <c r="S36" s="39">
        <v>20953</v>
      </c>
      <c r="T36" s="49"/>
      <c r="U36" s="49"/>
      <c r="V36" s="49"/>
      <c r="W36" s="95">
        <v>0</v>
      </c>
      <c r="X36" s="49"/>
    </row>
    <row r="37" spans="1:24" s="1" customFormat="1" ht="9.75" x14ac:dyDescent="0.2">
      <c r="A37" s="40" t="s">
        <v>73</v>
      </c>
      <c r="B37" s="751" t="s">
        <v>74</v>
      </c>
      <c r="C37" s="751"/>
      <c r="D37" s="40" t="s">
        <v>75</v>
      </c>
      <c r="E37" s="48">
        <v>16.28</v>
      </c>
      <c r="F37" s="48">
        <v>16.28</v>
      </c>
      <c r="G37" s="48">
        <v>16.798500000000001</v>
      </c>
      <c r="H37" s="93">
        <f t="shared" si="9"/>
        <v>103.18488943488944</v>
      </c>
      <c r="I37" s="94">
        <v>16.3</v>
      </c>
      <c r="J37" s="39"/>
      <c r="K37" s="51"/>
      <c r="L37" s="39"/>
      <c r="M37" s="14">
        <v>0</v>
      </c>
      <c r="N37" s="39"/>
      <c r="O37" s="39">
        <v>16</v>
      </c>
      <c r="P37" s="39">
        <v>16</v>
      </c>
      <c r="Q37" s="39">
        <v>17</v>
      </c>
      <c r="R37" s="14">
        <v>0</v>
      </c>
      <c r="S37" s="39">
        <v>16.23</v>
      </c>
      <c r="T37" s="39"/>
      <c r="U37" s="39"/>
      <c r="V37" s="39"/>
      <c r="W37" s="14">
        <v>0</v>
      </c>
      <c r="X37" s="39"/>
    </row>
    <row r="38" spans="1:24" s="1" customFormat="1" ht="9.75" x14ac:dyDescent="0.2">
      <c r="A38" s="37" t="s">
        <v>76</v>
      </c>
      <c r="B38" s="749" t="s">
        <v>77</v>
      </c>
      <c r="C38" s="749"/>
      <c r="D38" s="38" t="s">
        <v>75</v>
      </c>
      <c r="E38" s="48">
        <v>22</v>
      </c>
      <c r="F38" s="48">
        <v>22</v>
      </c>
      <c r="G38" s="48">
        <v>23</v>
      </c>
      <c r="H38" s="93">
        <f t="shared" si="9"/>
        <v>104.54545454545455</v>
      </c>
      <c r="I38" s="96">
        <v>17</v>
      </c>
      <c r="J38" s="39"/>
      <c r="K38" s="39"/>
      <c r="L38" s="39"/>
      <c r="M38" s="14">
        <v>0</v>
      </c>
      <c r="N38" s="39"/>
      <c r="O38" s="39">
        <v>22</v>
      </c>
      <c r="P38" s="39">
        <v>22</v>
      </c>
      <c r="Q38" s="39">
        <v>23</v>
      </c>
      <c r="R38" s="14">
        <v>0</v>
      </c>
      <c r="S38" s="39">
        <v>22</v>
      </c>
      <c r="T38" s="39"/>
      <c r="U38" s="39"/>
      <c r="V38" s="39"/>
      <c r="W38" s="14">
        <v>0</v>
      </c>
      <c r="X38" s="39"/>
    </row>
    <row r="40" spans="1:24" x14ac:dyDescent="0.25">
      <c r="J40" s="834"/>
      <c r="K40" s="834"/>
      <c r="L40" s="834"/>
    </row>
  </sheetData>
  <mergeCells count="39">
    <mergeCell ref="A3:X3"/>
    <mergeCell ref="A5:A7"/>
    <mergeCell ref="B5:C7"/>
    <mergeCell ref="D5:D7"/>
    <mergeCell ref="E5:I5"/>
    <mergeCell ref="J5:N5"/>
    <mergeCell ref="O5:S5"/>
    <mergeCell ref="T5:X5"/>
    <mergeCell ref="E6:E7"/>
    <mergeCell ref="F6:H6"/>
    <mergeCell ref="S6:S7"/>
    <mergeCell ref="T6:T7"/>
    <mergeCell ref="U6:W6"/>
    <mergeCell ref="X6:X7"/>
    <mergeCell ref="O6:O7"/>
    <mergeCell ref="P6:R6"/>
    <mergeCell ref="B9:C9"/>
    <mergeCell ref="I6:I7"/>
    <mergeCell ref="J6:J7"/>
    <mergeCell ref="K6:M6"/>
    <mergeCell ref="N6:N7"/>
    <mergeCell ref="B8:C8"/>
    <mergeCell ref="B24:C24"/>
    <mergeCell ref="B10:C10"/>
    <mergeCell ref="B12:C12"/>
    <mergeCell ref="B13:C13"/>
    <mergeCell ref="B14:C14"/>
    <mergeCell ref="B15:C15"/>
    <mergeCell ref="B17:C17"/>
    <mergeCell ref="B18:C18"/>
    <mergeCell ref="B20:C20"/>
    <mergeCell ref="B21:C21"/>
    <mergeCell ref="B22:C22"/>
    <mergeCell ref="B23:C23"/>
    <mergeCell ref="B28:C28"/>
    <mergeCell ref="B36:C36"/>
    <mergeCell ref="B37:C37"/>
    <mergeCell ref="B38:C38"/>
    <mergeCell ref="J40:L40"/>
  </mergeCells>
  <pageMargins left="0.70866141732283472" right="0.70866141732283472" top="0.78740157480314965" bottom="0.78740157480314965" header="0.31496062992125984" footer="0.31496062992125984"/>
  <pageSetup paperSize="9" scale="85" firstPageNumber="99" orientation="landscape" useFirstPageNumber="1"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0"/>
  <sheetViews>
    <sheetView topLeftCell="A7" workbookViewId="0">
      <selection activeCell="C51" sqref="C51"/>
    </sheetView>
  </sheetViews>
  <sheetFormatPr defaultColWidth="9.140625" defaultRowHeight="12.75" x14ac:dyDescent="0.2"/>
  <cols>
    <col min="1" max="1" width="28.85546875" style="4" customWidth="1"/>
    <col min="2" max="2" width="16.42578125" style="4" customWidth="1"/>
    <col min="3" max="5" width="14.7109375" style="4" customWidth="1"/>
    <col min="6" max="6" width="13" style="4" customWidth="1"/>
    <col min="7" max="7" width="13.28515625" style="4" customWidth="1"/>
    <col min="8" max="8" width="36.28515625" style="4" customWidth="1"/>
    <col min="9" max="9" width="9.42578125" style="4" customWidth="1"/>
    <col min="10" max="16384" width="9.140625" style="4"/>
  </cols>
  <sheetData>
    <row r="1" spans="1:14" s="168" customFormat="1" ht="18.75" x14ac:dyDescent="0.3">
      <c r="A1" s="818" t="s">
        <v>291</v>
      </c>
      <c r="B1" s="818"/>
      <c r="C1" s="818"/>
      <c r="D1" s="818"/>
      <c r="E1" s="818"/>
      <c r="F1" s="818"/>
      <c r="G1" s="818"/>
      <c r="H1" s="818"/>
      <c r="I1" s="818"/>
    </row>
    <row r="3" spans="1:14" s="169" customFormat="1" ht="10.5" x14ac:dyDescent="0.15">
      <c r="A3" s="781" t="s">
        <v>99</v>
      </c>
      <c r="B3" s="781"/>
      <c r="C3" s="781"/>
      <c r="D3" s="781"/>
      <c r="E3" s="781"/>
      <c r="F3" s="781"/>
      <c r="G3" s="781"/>
      <c r="H3" s="781"/>
      <c r="I3" s="781"/>
    </row>
    <row r="4" spans="1:14" s="170" customFormat="1" ht="11.25" x14ac:dyDescent="0.2"/>
    <row r="5" spans="1:14" s="172" customFormat="1" ht="15" customHeight="1" x14ac:dyDescent="0.2">
      <c r="A5" s="816" t="s">
        <v>100</v>
      </c>
      <c r="B5" s="873"/>
      <c r="C5" s="278" t="s">
        <v>16</v>
      </c>
      <c r="D5" s="279" t="s">
        <v>101</v>
      </c>
      <c r="E5" s="279"/>
      <c r="F5" s="280"/>
      <c r="G5" s="281"/>
      <c r="H5" s="281"/>
      <c r="I5" s="282"/>
    </row>
    <row r="6" spans="1:14" s="170" customFormat="1" ht="25.15" customHeight="1" x14ac:dyDescent="0.2">
      <c r="A6" s="874" t="s">
        <v>102</v>
      </c>
      <c r="B6" s="875"/>
      <c r="C6" s="283">
        <v>260937.48</v>
      </c>
      <c r="D6" s="876" t="s">
        <v>292</v>
      </c>
      <c r="E6" s="877"/>
      <c r="F6" s="877"/>
      <c r="G6" s="877"/>
      <c r="H6" s="877"/>
      <c r="I6" s="878"/>
      <c r="J6" s="284"/>
    </row>
    <row r="7" spans="1:14" s="174" customFormat="1" ht="25.15" customHeight="1" x14ac:dyDescent="0.15">
      <c r="A7" s="874" t="s">
        <v>103</v>
      </c>
      <c r="B7" s="875"/>
      <c r="C7" s="285">
        <v>0</v>
      </c>
      <c r="D7" s="879" t="s">
        <v>293</v>
      </c>
      <c r="E7" s="880"/>
      <c r="F7" s="880"/>
      <c r="G7" s="880"/>
      <c r="H7" s="880"/>
      <c r="I7" s="881"/>
    </row>
    <row r="8" spans="1:14" s="174" customFormat="1" ht="15" customHeight="1" x14ac:dyDescent="0.15">
      <c r="A8" s="829" t="s">
        <v>105</v>
      </c>
      <c r="B8" s="830"/>
      <c r="C8" s="175"/>
      <c r="D8" s="831"/>
      <c r="E8" s="832"/>
      <c r="F8" s="832"/>
      <c r="G8" s="832"/>
      <c r="H8" s="832"/>
      <c r="I8" s="833"/>
    </row>
    <row r="9" spans="1:14" s="170" customFormat="1" ht="11.25" x14ac:dyDescent="0.2">
      <c r="C9" s="176"/>
    </row>
    <row r="10" spans="1:14" s="177" customFormat="1" ht="11.25" x14ac:dyDescent="0.2">
      <c r="A10" s="781" t="s">
        <v>106</v>
      </c>
      <c r="B10" s="781"/>
      <c r="C10" s="781"/>
      <c r="D10" s="781"/>
      <c r="E10" s="781"/>
      <c r="F10" s="781"/>
      <c r="G10" s="781"/>
      <c r="H10" s="781"/>
      <c r="I10" s="781"/>
      <c r="K10" s="286"/>
      <c r="L10" s="286"/>
      <c r="M10" s="286"/>
      <c r="N10" s="286"/>
    </row>
    <row r="11" spans="1:14" s="170" customFormat="1" ht="12" thickBot="1" x14ac:dyDescent="0.25">
      <c r="C11" s="176"/>
      <c r="K11" s="287"/>
      <c r="L11" s="287"/>
      <c r="M11" s="287"/>
      <c r="N11" s="287"/>
    </row>
    <row r="12" spans="1:14" s="181" customFormat="1" ht="21" customHeight="1" x14ac:dyDescent="0.15">
      <c r="A12" s="178" t="s">
        <v>107</v>
      </c>
      <c r="B12" s="178" t="s">
        <v>108</v>
      </c>
      <c r="C12" s="179" t="s">
        <v>109</v>
      </c>
      <c r="D12" s="180" t="s">
        <v>110</v>
      </c>
      <c r="E12" s="179" t="s">
        <v>111</v>
      </c>
      <c r="F12" s="814" t="s">
        <v>112</v>
      </c>
      <c r="G12" s="815"/>
      <c r="H12" s="882" t="s">
        <v>113</v>
      </c>
      <c r="I12" s="883"/>
      <c r="J12" s="288"/>
      <c r="K12" s="288"/>
      <c r="L12" s="288"/>
      <c r="M12" s="288"/>
      <c r="N12" s="288"/>
    </row>
    <row r="13" spans="1:14" s="181" customFormat="1" ht="100.15" customHeight="1" x14ac:dyDescent="0.15">
      <c r="A13" s="182" t="s">
        <v>114</v>
      </c>
      <c r="B13" s="289">
        <v>10498.9</v>
      </c>
      <c r="C13" s="289">
        <v>12936.61</v>
      </c>
      <c r="D13" s="289">
        <v>12200</v>
      </c>
      <c r="E13" s="290">
        <f>B13+C13-D13</f>
        <v>11235.510000000002</v>
      </c>
      <c r="F13" s="870">
        <v>11235.51</v>
      </c>
      <c r="G13" s="809"/>
      <c r="H13" s="871" t="s">
        <v>294</v>
      </c>
      <c r="I13" s="872"/>
      <c r="J13" s="291"/>
      <c r="K13" s="291"/>
      <c r="L13" s="291"/>
      <c r="M13" s="291"/>
      <c r="N13" s="291"/>
    </row>
    <row r="14" spans="1:14" s="181" customFormat="1" ht="36.6" customHeight="1" x14ac:dyDescent="0.15">
      <c r="A14" s="182" t="s">
        <v>115</v>
      </c>
      <c r="B14" s="292">
        <v>8853.5</v>
      </c>
      <c r="C14" s="289">
        <v>12000</v>
      </c>
      <c r="D14" s="289">
        <v>0</v>
      </c>
      <c r="E14" s="293">
        <f t="shared" ref="E14:E17" si="0">B14+C14-D14</f>
        <v>20853.5</v>
      </c>
      <c r="F14" s="859">
        <v>20853.5</v>
      </c>
      <c r="G14" s="860"/>
      <c r="H14" s="861" t="s">
        <v>295</v>
      </c>
      <c r="I14" s="862"/>
      <c r="J14" s="294"/>
      <c r="K14" s="294"/>
      <c r="L14" s="294"/>
      <c r="M14" s="294"/>
      <c r="N14" s="294"/>
    </row>
    <row r="15" spans="1:14" s="181" customFormat="1" ht="67.900000000000006" customHeight="1" x14ac:dyDescent="0.15">
      <c r="A15" s="186" t="s">
        <v>116</v>
      </c>
      <c r="B15" s="289">
        <v>102859</v>
      </c>
      <c r="C15" s="292">
        <v>86790</v>
      </c>
      <c r="D15" s="292">
        <v>64038</v>
      </c>
      <c r="E15" s="293">
        <f t="shared" si="0"/>
        <v>125611</v>
      </c>
      <c r="F15" s="863">
        <v>125611</v>
      </c>
      <c r="G15" s="813"/>
      <c r="H15" s="864" t="s">
        <v>296</v>
      </c>
      <c r="I15" s="865"/>
      <c r="J15" s="291"/>
      <c r="K15" s="291"/>
      <c r="L15" s="291"/>
      <c r="M15" s="291"/>
      <c r="N15" s="291"/>
    </row>
    <row r="16" spans="1:14" s="181" customFormat="1" ht="19.899999999999999" customHeight="1" x14ac:dyDescent="0.15">
      <c r="A16" s="190" t="s">
        <v>117</v>
      </c>
      <c r="B16" s="295">
        <v>53683.38</v>
      </c>
      <c r="C16" s="289">
        <v>0</v>
      </c>
      <c r="D16" s="289">
        <v>0</v>
      </c>
      <c r="E16" s="296">
        <f t="shared" si="0"/>
        <v>53683.38</v>
      </c>
      <c r="F16" s="866">
        <v>53683.38</v>
      </c>
      <c r="G16" s="867"/>
      <c r="H16" s="868" t="s">
        <v>297</v>
      </c>
      <c r="I16" s="869"/>
    </row>
    <row r="17" spans="1:14" s="181" customFormat="1" ht="108.6" customHeight="1" x14ac:dyDescent="0.15">
      <c r="A17" s="194" t="s">
        <v>118</v>
      </c>
      <c r="B17" s="289">
        <v>78393.52</v>
      </c>
      <c r="C17" s="289">
        <v>46045</v>
      </c>
      <c r="D17" s="289">
        <v>43758</v>
      </c>
      <c r="E17" s="297">
        <f t="shared" si="0"/>
        <v>80680.52</v>
      </c>
      <c r="F17" s="855">
        <v>100872.52</v>
      </c>
      <c r="G17" s="856"/>
      <c r="H17" s="857" t="s">
        <v>298</v>
      </c>
      <c r="I17" s="858"/>
      <c r="J17" s="291"/>
      <c r="K17" s="291"/>
      <c r="L17" s="291"/>
      <c r="M17" s="291"/>
      <c r="N17" s="291"/>
    </row>
    <row r="18" spans="1:14" s="181" customFormat="1" ht="18" customHeight="1" thickBot="1" x14ac:dyDescent="0.2">
      <c r="A18" s="198" t="s">
        <v>120</v>
      </c>
      <c r="B18" s="199">
        <f>SUM(B13:B17)</f>
        <v>254288.3</v>
      </c>
      <c r="C18" s="200">
        <f>SUM(C13:C17)</f>
        <v>157771.60999999999</v>
      </c>
      <c r="D18" s="201">
        <f>SUM(D13:D17)</f>
        <v>119996</v>
      </c>
      <c r="E18" s="200">
        <f>SUM(E13:E17)</f>
        <v>292063.91000000003</v>
      </c>
      <c r="F18" s="804">
        <f>SUM(F13:G17)</f>
        <v>312255.91000000003</v>
      </c>
      <c r="G18" s="804"/>
      <c r="H18" s="298"/>
      <c r="I18" s="299"/>
    </row>
    <row r="19" spans="1:14" s="204" customFormat="1" ht="11.25" x14ac:dyDescent="0.2">
      <c r="C19" s="205"/>
    </row>
    <row r="20" spans="1:14" s="177" customFormat="1" ht="11.25" x14ac:dyDescent="0.2">
      <c r="A20" s="781" t="s">
        <v>121</v>
      </c>
      <c r="B20" s="781"/>
      <c r="C20" s="781"/>
      <c r="D20" s="781"/>
      <c r="E20" s="781"/>
      <c r="F20" s="781"/>
      <c r="G20" s="781"/>
      <c r="H20" s="781"/>
      <c r="I20" s="781"/>
    </row>
    <row r="21" spans="1:14" s="170" customFormat="1" ht="11.45" customHeight="1" x14ac:dyDescent="0.2">
      <c r="A21" s="300"/>
      <c r="B21" s="301"/>
      <c r="C21" s="176"/>
    </row>
    <row r="22" spans="1:14" s="170" customFormat="1" ht="11.25" x14ac:dyDescent="0.2">
      <c r="A22" s="171" t="s">
        <v>122</v>
      </c>
      <c r="B22" s="171" t="s">
        <v>16</v>
      </c>
      <c r="C22" s="206" t="s">
        <v>123</v>
      </c>
      <c r="D22" s="805" t="s">
        <v>124</v>
      </c>
      <c r="E22" s="805"/>
      <c r="F22" s="805"/>
      <c r="G22" s="805"/>
      <c r="H22" s="805"/>
      <c r="I22" s="805"/>
    </row>
    <row r="23" spans="1:14" s="170" customFormat="1" ht="21.6" customHeight="1" x14ac:dyDescent="0.2">
      <c r="A23" s="300" t="s">
        <v>299</v>
      </c>
      <c r="B23" s="208">
        <v>0</v>
      </c>
      <c r="C23" s="209"/>
      <c r="D23" s="797"/>
      <c r="E23" s="798"/>
      <c r="F23" s="798"/>
      <c r="G23" s="798"/>
      <c r="H23" s="798"/>
      <c r="I23" s="799"/>
    </row>
    <row r="24" spans="1:14" s="174" customFormat="1" ht="11.25" x14ac:dyDescent="0.2">
      <c r="A24" s="210" t="s">
        <v>120</v>
      </c>
      <c r="B24" s="211">
        <f>SUM(B23:B23)</f>
        <v>0</v>
      </c>
      <c r="C24" s="806"/>
      <c r="D24" s="806"/>
      <c r="E24" s="806"/>
      <c r="F24" s="806"/>
      <c r="G24" s="806"/>
      <c r="H24" s="806"/>
      <c r="I24" s="807"/>
    </row>
    <row r="25" spans="1:14" s="204" customFormat="1" ht="11.25" x14ac:dyDescent="0.2">
      <c r="C25" s="205"/>
    </row>
    <row r="26" spans="1:14" s="204" customFormat="1" ht="11.25" x14ac:dyDescent="0.2">
      <c r="C26" s="205"/>
    </row>
    <row r="27" spans="1:14" s="177" customFormat="1" ht="11.25" x14ac:dyDescent="0.2">
      <c r="A27" s="781" t="s">
        <v>126</v>
      </c>
      <c r="B27" s="781"/>
      <c r="C27" s="781"/>
      <c r="D27" s="781"/>
      <c r="E27" s="781"/>
      <c r="F27" s="781"/>
      <c r="G27" s="781"/>
      <c r="H27" s="781"/>
      <c r="I27" s="781"/>
    </row>
    <row r="28" spans="1:14" s="170" customFormat="1" ht="11.25" x14ac:dyDescent="0.2">
      <c r="C28" s="176"/>
    </row>
    <row r="29" spans="1:14" s="170" customFormat="1" ht="11.25" x14ac:dyDescent="0.2">
      <c r="A29" s="171" t="s">
        <v>122</v>
      </c>
      <c r="B29" s="171" t="s">
        <v>16</v>
      </c>
      <c r="C29" s="206" t="s">
        <v>123</v>
      </c>
      <c r="D29" s="805" t="s">
        <v>127</v>
      </c>
      <c r="E29" s="805"/>
      <c r="F29" s="805"/>
      <c r="G29" s="805"/>
      <c r="H29" s="805"/>
      <c r="I29" s="808"/>
    </row>
    <row r="30" spans="1:14" s="170" customFormat="1" ht="21" customHeight="1" x14ac:dyDescent="0.2">
      <c r="A30" s="300" t="s">
        <v>300</v>
      </c>
      <c r="B30" s="302">
        <v>0</v>
      </c>
      <c r="C30" s="209"/>
      <c r="D30" s="797"/>
      <c r="E30" s="798"/>
      <c r="F30" s="798"/>
      <c r="G30" s="798"/>
      <c r="H30" s="798"/>
      <c r="I30" s="799"/>
    </row>
    <row r="31" spans="1:14" s="174" customFormat="1" ht="10.5" x14ac:dyDescent="0.15">
      <c r="A31" s="210" t="s">
        <v>120</v>
      </c>
      <c r="B31" s="211">
        <f>SUM(B30:B30)</f>
        <v>0</v>
      </c>
      <c r="C31" s="784"/>
      <c r="D31" s="784"/>
      <c r="E31" s="784"/>
      <c r="F31" s="784"/>
      <c r="G31" s="784"/>
      <c r="H31" s="784"/>
      <c r="I31" s="784"/>
    </row>
    <row r="32" spans="1:14" s="170" customFormat="1" ht="11.25" x14ac:dyDescent="0.2">
      <c r="C32" s="176"/>
    </row>
    <row r="33" spans="1:9" s="170" customFormat="1" ht="11.25" x14ac:dyDescent="0.2">
      <c r="C33" s="176"/>
    </row>
    <row r="34" spans="1:9" s="177" customFormat="1" ht="11.25" x14ac:dyDescent="0.2">
      <c r="A34" s="781" t="s">
        <v>129</v>
      </c>
      <c r="B34" s="781"/>
      <c r="C34" s="781"/>
      <c r="D34" s="781"/>
      <c r="E34" s="781"/>
      <c r="F34" s="781"/>
      <c r="G34" s="781"/>
      <c r="H34" s="781"/>
      <c r="I34" s="781"/>
    </row>
    <row r="35" spans="1:9" s="170" customFormat="1" ht="11.25" x14ac:dyDescent="0.2">
      <c r="C35" s="212"/>
    </row>
    <row r="36" spans="1:9" s="170" customFormat="1" ht="13.15" customHeight="1" x14ac:dyDescent="0.2">
      <c r="A36" s="171" t="s">
        <v>130</v>
      </c>
      <c r="B36" s="206" t="s">
        <v>131</v>
      </c>
      <c r="C36" s="785" t="s">
        <v>132</v>
      </c>
      <c r="D36" s="785"/>
      <c r="E36" s="785"/>
      <c r="F36" s="785"/>
      <c r="G36" s="785"/>
      <c r="H36" s="785"/>
      <c r="I36" s="786"/>
    </row>
    <row r="37" spans="1:9" s="170" customFormat="1" ht="13.15" customHeight="1" x14ac:dyDescent="0.2">
      <c r="A37" s="213">
        <v>12000</v>
      </c>
      <c r="B37" s="213">
        <v>0</v>
      </c>
      <c r="C37" s="854" t="s">
        <v>301</v>
      </c>
      <c r="D37" s="854"/>
      <c r="E37" s="854"/>
      <c r="F37" s="854"/>
      <c r="G37" s="854"/>
      <c r="H37" s="854"/>
      <c r="I37" s="854"/>
    </row>
    <row r="38" spans="1:9" s="174" customFormat="1" ht="13.15" customHeight="1" x14ac:dyDescent="0.15">
      <c r="A38" s="214">
        <f>SUM(A37:A37)</f>
        <v>12000</v>
      </c>
      <c r="B38" s="214">
        <f>SUM(B37:B37)</f>
        <v>0</v>
      </c>
      <c r="C38" s="788" t="s">
        <v>120</v>
      </c>
      <c r="D38" s="789"/>
      <c r="E38" s="789"/>
      <c r="F38" s="789"/>
      <c r="G38" s="789"/>
      <c r="H38" s="789"/>
      <c r="I38" s="790"/>
    </row>
    <row r="39" spans="1:9" s="170" customFormat="1" ht="11.25" x14ac:dyDescent="0.2">
      <c r="C39" s="212"/>
    </row>
    <row r="40" spans="1:9" s="170" customFormat="1" ht="11.25" x14ac:dyDescent="0.2">
      <c r="C40" s="212"/>
    </row>
    <row r="41" spans="1:9" s="170" customFormat="1" ht="11.25" x14ac:dyDescent="0.2">
      <c r="A41" s="781" t="s">
        <v>177</v>
      </c>
      <c r="B41" s="766"/>
      <c r="C41" s="766"/>
      <c r="D41" s="766"/>
      <c r="E41" s="766"/>
      <c r="F41" s="766"/>
      <c r="G41" s="766"/>
      <c r="H41" s="766"/>
      <c r="I41" s="766"/>
    </row>
    <row r="42" spans="1:9" s="170" customFormat="1" ht="11.25" x14ac:dyDescent="0.2">
      <c r="C42" s="212"/>
    </row>
    <row r="43" spans="1:9" s="216" customFormat="1" ht="31.5" x14ac:dyDescent="0.25">
      <c r="A43" s="767" t="s">
        <v>135</v>
      </c>
      <c r="B43" s="768"/>
      <c r="C43" s="215" t="s">
        <v>136</v>
      </c>
      <c r="D43" s="215" t="s">
        <v>137</v>
      </c>
      <c r="E43" s="215" t="s">
        <v>138</v>
      </c>
      <c r="F43" s="215" t="s">
        <v>139</v>
      </c>
      <c r="G43" s="215" t="s">
        <v>140</v>
      </c>
    </row>
    <row r="44" spans="1:9" s="170" customFormat="1" ht="12" customHeight="1" x14ac:dyDescent="0.2">
      <c r="A44" s="850" t="s">
        <v>302</v>
      </c>
      <c r="B44" s="851"/>
      <c r="C44" s="303" t="s">
        <v>303</v>
      </c>
      <c r="D44" s="289">
        <v>0</v>
      </c>
      <c r="E44" s="289">
        <v>247750</v>
      </c>
      <c r="F44" s="304" t="s">
        <v>304</v>
      </c>
      <c r="G44" s="305" t="s">
        <v>304</v>
      </c>
    </row>
    <row r="45" spans="1:9" s="170" customFormat="1" ht="12" customHeight="1" x14ac:dyDescent="0.2">
      <c r="A45" s="850" t="s">
        <v>305</v>
      </c>
      <c r="B45" s="851"/>
      <c r="C45" s="303" t="s">
        <v>306</v>
      </c>
      <c r="D45" s="289">
        <v>247750</v>
      </c>
      <c r="E45" s="289">
        <v>0</v>
      </c>
      <c r="F45" s="304" t="s">
        <v>304</v>
      </c>
      <c r="G45" s="305" t="s">
        <v>304</v>
      </c>
    </row>
    <row r="46" spans="1:9" s="170" customFormat="1" ht="12" customHeight="1" x14ac:dyDescent="0.2">
      <c r="A46" s="850" t="s">
        <v>307</v>
      </c>
      <c r="B46" s="851"/>
      <c r="C46" s="303" t="s">
        <v>308</v>
      </c>
      <c r="D46" s="289">
        <v>0</v>
      </c>
      <c r="E46" s="289">
        <v>110000</v>
      </c>
      <c r="F46" s="304" t="s">
        <v>309</v>
      </c>
      <c r="G46" s="306" t="s">
        <v>309</v>
      </c>
    </row>
    <row r="47" spans="1:9" s="170" customFormat="1" ht="12" customHeight="1" x14ac:dyDescent="0.2">
      <c r="A47" s="850" t="s">
        <v>310</v>
      </c>
      <c r="B47" s="851"/>
      <c r="C47" s="303" t="s">
        <v>311</v>
      </c>
      <c r="D47" s="289">
        <v>110000</v>
      </c>
      <c r="E47" s="289">
        <v>0</v>
      </c>
      <c r="F47" s="304" t="s">
        <v>309</v>
      </c>
      <c r="G47" s="306" t="s">
        <v>309</v>
      </c>
    </row>
    <row r="48" spans="1:9" s="170" customFormat="1" ht="12" customHeight="1" x14ac:dyDescent="0.2">
      <c r="A48" s="850" t="s">
        <v>312</v>
      </c>
      <c r="B48" s="851"/>
      <c r="C48" s="303" t="s">
        <v>313</v>
      </c>
      <c r="D48" s="289">
        <v>40000</v>
      </c>
      <c r="E48" s="289">
        <v>0</v>
      </c>
      <c r="F48" s="304" t="s">
        <v>309</v>
      </c>
      <c r="G48" s="306" t="s">
        <v>309</v>
      </c>
    </row>
    <row r="49" spans="1:7" s="170" customFormat="1" ht="12" customHeight="1" x14ac:dyDescent="0.2">
      <c r="A49" s="850" t="s">
        <v>314</v>
      </c>
      <c r="B49" s="851"/>
      <c r="C49" s="303" t="s">
        <v>315</v>
      </c>
      <c r="D49" s="289">
        <v>0</v>
      </c>
      <c r="E49" s="289">
        <v>40000</v>
      </c>
      <c r="F49" s="304" t="s">
        <v>309</v>
      </c>
      <c r="G49" s="306" t="s">
        <v>309</v>
      </c>
    </row>
    <row r="50" spans="1:7" s="170" customFormat="1" ht="12" customHeight="1" x14ac:dyDescent="0.2">
      <c r="A50" s="850" t="s">
        <v>316</v>
      </c>
      <c r="B50" s="851"/>
      <c r="C50" s="303" t="s">
        <v>317</v>
      </c>
      <c r="D50" s="289">
        <v>7000</v>
      </c>
      <c r="E50" s="289">
        <v>0</v>
      </c>
      <c r="F50" s="304" t="s">
        <v>309</v>
      </c>
      <c r="G50" s="306" t="s">
        <v>309</v>
      </c>
    </row>
    <row r="51" spans="1:7" s="170" customFormat="1" ht="12" customHeight="1" x14ac:dyDescent="0.2">
      <c r="A51" s="850" t="s">
        <v>318</v>
      </c>
      <c r="B51" s="851"/>
      <c r="C51" s="303" t="s">
        <v>319</v>
      </c>
      <c r="D51" s="289">
        <v>0</v>
      </c>
      <c r="E51" s="289">
        <v>7000</v>
      </c>
      <c r="F51" s="304" t="s">
        <v>309</v>
      </c>
      <c r="G51" s="306" t="s">
        <v>309</v>
      </c>
    </row>
    <row r="52" spans="1:7" s="170" customFormat="1" ht="12" customHeight="1" x14ac:dyDescent="0.2">
      <c r="A52" s="850" t="s">
        <v>320</v>
      </c>
      <c r="B52" s="851"/>
      <c r="C52" s="303" t="s">
        <v>321</v>
      </c>
      <c r="D52" s="289">
        <v>40000</v>
      </c>
      <c r="E52" s="289">
        <v>0</v>
      </c>
      <c r="F52" s="304" t="s">
        <v>309</v>
      </c>
      <c r="G52" s="306" t="s">
        <v>309</v>
      </c>
    </row>
    <row r="53" spans="1:7" s="170" customFormat="1" ht="12" customHeight="1" x14ac:dyDescent="0.2">
      <c r="A53" s="850" t="s">
        <v>322</v>
      </c>
      <c r="B53" s="851"/>
      <c r="C53" s="303" t="s">
        <v>323</v>
      </c>
      <c r="D53" s="289">
        <v>0</v>
      </c>
      <c r="E53" s="289">
        <v>40000</v>
      </c>
      <c r="F53" s="304" t="s">
        <v>309</v>
      </c>
      <c r="G53" s="306" t="s">
        <v>309</v>
      </c>
    </row>
    <row r="54" spans="1:7" s="170" customFormat="1" ht="12" customHeight="1" x14ac:dyDescent="0.2">
      <c r="A54" s="850" t="s">
        <v>324</v>
      </c>
      <c r="B54" s="851"/>
      <c r="C54" s="303" t="s">
        <v>325</v>
      </c>
      <c r="D54" s="289">
        <v>0</v>
      </c>
      <c r="E54" s="289">
        <v>-1500</v>
      </c>
      <c r="F54" s="304" t="s">
        <v>309</v>
      </c>
      <c r="G54" s="306" t="s">
        <v>309</v>
      </c>
    </row>
    <row r="55" spans="1:7" s="170" customFormat="1" ht="12" customHeight="1" x14ac:dyDescent="0.2">
      <c r="A55" s="848" t="s">
        <v>326</v>
      </c>
      <c r="B55" s="849"/>
      <c r="C55" s="303" t="s">
        <v>327</v>
      </c>
      <c r="D55" s="289">
        <v>0</v>
      </c>
      <c r="E55" s="289">
        <v>-500</v>
      </c>
      <c r="F55" s="304" t="s">
        <v>309</v>
      </c>
      <c r="G55" s="306" t="s">
        <v>309</v>
      </c>
    </row>
    <row r="56" spans="1:7" s="170" customFormat="1" ht="12" customHeight="1" x14ac:dyDescent="0.2">
      <c r="A56" s="850" t="s">
        <v>328</v>
      </c>
      <c r="B56" s="851"/>
      <c r="C56" s="303" t="s">
        <v>329</v>
      </c>
      <c r="D56" s="289">
        <v>0</v>
      </c>
      <c r="E56" s="292">
        <v>2000</v>
      </c>
      <c r="F56" s="304" t="s">
        <v>309</v>
      </c>
      <c r="G56" s="307" t="s">
        <v>309</v>
      </c>
    </row>
    <row r="57" spans="1:7" s="170" customFormat="1" ht="12" customHeight="1" x14ac:dyDescent="0.2">
      <c r="A57" s="848" t="s">
        <v>318</v>
      </c>
      <c r="B57" s="849"/>
      <c r="C57" s="308" t="s">
        <v>319</v>
      </c>
      <c r="D57" s="295">
        <v>0</v>
      </c>
      <c r="E57" s="289">
        <v>8500</v>
      </c>
      <c r="F57" s="309" t="s">
        <v>309</v>
      </c>
      <c r="G57" s="305" t="s">
        <v>309</v>
      </c>
    </row>
    <row r="58" spans="1:7" s="170" customFormat="1" ht="12" customHeight="1" x14ac:dyDescent="0.2">
      <c r="A58" s="850" t="s">
        <v>330</v>
      </c>
      <c r="B58" s="851"/>
      <c r="C58" s="308" t="s">
        <v>331</v>
      </c>
      <c r="D58" s="295">
        <v>8500</v>
      </c>
      <c r="E58" s="295">
        <v>0</v>
      </c>
      <c r="F58" s="304" t="s">
        <v>309</v>
      </c>
      <c r="G58" s="306" t="s">
        <v>309</v>
      </c>
    </row>
    <row r="59" spans="1:7" s="170" customFormat="1" ht="12" customHeight="1" x14ac:dyDescent="0.2">
      <c r="A59" s="850" t="s">
        <v>332</v>
      </c>
      <c r="B59" s="851"/>
      <c r="C59" s="308" t="s">
        <v>333</v>
      </c>
      <c r="D59" s="295">
        <v>0</v>
      </c>
      <c r="E59" s="295">
        <v>-300</v>
      </c>
      <c r="F59" s="304" t="s">
        <v>309</v>
      </c>
      <c r="G59" s="306" t="s">
        <v>309</v>
      </c>
    </row>
    <row r="60" spans="1:7" s="170" customFormat="1" ht="12" customHeight="1" x14ac:dyDescent="0.2">
      <c r="A60" s="850" t="s">
        <v>334</v>
      </c>
      <c r="B60" s="851"/>
      <c r="C60" s="308" t="s">
        <v>335</v>
      </c>
      <c r="D60" s="295">
        <v>0</v>
      </c>
      <c r="E60" s="295">
        <v>300</v>
      </c>
      <c r="F60" s="304" t="s">
        <v>309</v>
      </c>
      <c r="G60" s="306" t="s">
        <v>309</v>
      </c>
    </row>
    <row r="61" spans="1:7" s="170" customFormat="1" ht="12" customHeight="1" x14ac:dyDescent="0.2">
      <c r="A61" s="848" t="s">
        <v>203</v>
      </c>
      <c r="B61" s="849"/>
      <c r="C61" s="308" t="s">
        <v>336</v>
      </c>
      <c r="D61" s="295">
        <v>0</v>
      </c>
      <c r="E61" s="295">
        <v>-40000</v>
      </c>
      <c r="F61" s="304" t="s">
        <v>309</v>
      </c>
      <c r="G61" s="306" t="s">
        <v>309</v>
      </c>
    </row>
    <row r="62" spans="1:7" s="170" customFormat="1" ht="12" customHeight="1" x14ac:dyDescent="0.2">
      <c r="A62" s="852" t="s">
        <v>196</v>
      </c>
      <c r="B62" s="853"/>
      <c r="C62" s="310" t="s">
        <v>335</v>
      </c>
      <c r="D62" s="311">
        <v>0</v>
      </c>
      <c r="E62" s="311">
        <v>40000</v>
      </c>
      <c r="F62" s="310" t="s">
        <v>309</v>
      </c>
      <c r="G62" s="312" t="s">
        <v>309</v>
      </c>
    </row>
    <row r="63" spans="1:7" s="170" customFormat="1" ht="12" customHeight="1" x14ac:dyDescent="0.2">
      <c r="A63" s="313"/>
      <c r="B63" s="313"/>
      <c r="C63" s="314"/>
      <c r="D63" s="315"/>
      <c r="E63" s="315"/>
      <c r="F63" s="314"/>
      <c r="G63" s="314"/>
    </row>
    <row r="64" spans="1:7" s="170" customFormat="1" ht="20.45" customHeight="1" x14ac:dyDescent="0.2">
      <c r="A64" s="767" t="s">
        <v>135</v>
      </c>
      <c r="B64" s="768"/>
      <c r="C64" s="215" t="s">
        <v>136</v>
      </c>
      <c r="D64" s="215" t="s">
        <v>137</v>
      </c>
      <c r="E64" s="215" t="s">
        <v>138</v>
      </c>
      <c r="F64" s="215" t="s">
        <v>139</v>
      </c>
      <c r="G64" s="215" t="s">
        <v>140</v>
      </c>
    </row>
    <row r="65" spans="1:9" s="170" customFormat="1" ht="12" customHeight="1" x14ac:dyDescent="0.2">
      <c r="A65" s="848" t="s">
        <v>211</v>
      </c>
      <c r="B65" s="849"/>
      <c r="C65" s="309" t="s">
        <v>337</v>
      </c>
      <c r="D65" s="295">
        <v>0</v>
      </c>
      <c r="E65" s="295">
        <v>300</v>
      </c>
      <c r="F65" s="309" t="s">
        <v>309</v>
      </c>
      <c r="G65" s="316" t="s">
        <v>309</v>
      </c>
    </row>
    <row r="66" spans="1:9" s="170" customFormat="1" ht="12" customHeight="1" x14ac:dyDescent="0.2">
      <c r="A66" s="850" t="s">
        <v>338</v>
      </c>
      <c r="B66" s="851"/>
      <c r="C66" s="309" t="s">
        <v>339</v>
      </c>
      <c r="D66" s="295">
        <v>0</v>
      </c>
      <c r="E66" s="295">
        <v>3400</v>
      </c>
      <c r="F66" s="304" t="s">
        <v>309</v>
      </c>
      <c r="G66" s="306" t="s">
        <v>309</v>
      </c>
    </row>
    <row r="67" spans="1:9" s="170" customFormat="1" ht="12" customHeight="1" x14ac:dyDescent="0.2">
      <c r="A67" s="850" t="s">
        <v>330</v>
      </c>
      <c r="B67" s="851"/>
      <c r="C67" s="308" t="s">
        <v>331</v>
      </c>
      <c r="D67" s="295">
        <v>3700</v>
      </c>
      <c r="E67" s="295">
        <v>0</v>
      </c>
      <c r="F67" s="304" t="s">
        <v>309</v>
      </c>
      <c r="G67" s="306" t="s">
        <v>309</v>
      </c>
    </row>
    <row r="68" spans="1:9" s="170" customFormat="1" ht="12" customHeight="1" x14ac:dyDescent="0.2">
      <c r="A68" s="850" t="s">
        <v>211</v>
      </c>
      <c r="B68" s="851"/>
      <c r="C68" s="309" t="s">
        <v>337</v>
      </c>
      <c r="D68" s="295">
        <v>0</v>
      </c>
      <c r="E68" s="295">
        <v>-6000</v>
      </c>
      <c r="F68" s="304" t="s">
        <v>309</v>
      </c>
      <c r="G68" s="306" t="s">
        <v>309</v>
      </c>
    </row>
    <row r="69" spans="1:9" s="170" customFormat="1" ht="12" customHeight="1" x14ac:dyDescent="0.2">
      <c r="A69" s="850" t="s">
        <v>196</v>
      </c>
      <c r="B69" s="851"/>
      <c r="C69" s="309" t="s">
        <v>335</v>
      </c>
      <c r="D69" s="295">
        <v>0</v>
      </c>
      <c r="E69" s="295">
        <v>2500</v>
      </c>
      <c r="F69" s="304" t="s">
        <v>309</v>
      </c>
      <c r="G69" s="306" t="s">
        <v>309</v>
      </c>
    </row>
    <row r="70" spans="1:9" s="170" customFormat="1" ht="12" customHeight="1" x14ac:dyDescent="0.2">
      <c r="A70" s="850" t="s">
        <v>338</v>
      </c>
      <c r="B70" s="851"/>
      <c r="C70" s="309" t="s">
        <v>339</v>
      </c>
      <c r="D70" s="295">
        <v>0</v>
      </c>
      <c r="E70" s="295">
        <v>3500</v>
      </c>
      <c r="F70" s="304" t="s">
        <v>309</v>
      </c>
      <c r="G70" s="306" t="s">
        <v>309</v>
      </c>
    </row>
    <row r="71" spans="1:9" s="170" customFormat="1" ht="12" customHeight="1" x14ac:dyDescent="0.2">
      <c r="A71" s="836" t="s">
        <v>178</v>
      </c>
      <c r="B71" s="837"/>
      <c r="C71" s="317"/>
      <c r="D71" s="318">
        <f>SUM(D44:D70)</f>
        <v>456950</v>
      </c>
      <c r="E71" s="319">
        <f>SUM(E44:E70)</f>
        <v>456950</v>
      </c>
      <c r="F71" s="838"/>
      <c r="G71" s="839"/>
    </row>
    <row r="72" spans="1:9" s="170" customFormat="1" ht="12" customHeight="1" x14ac:dyDescent="0.25">
      <c r="A72" s="235"/>
      <c r="B72" s="320"/>
      <c r="C72" s="212"/>
    </row>
    <row r="73" spans="1:9" s="170" customFormat="1" ht="11.25" x14ac:dyDescent="0.2">
      <c r="A73" s="766" t="s">
        <v>180</v>
      </c>
      <c r="B73" s="766"/>
      <c r="C73" s="766"/>
      <c r="D73" s="766"/>
      <c r="E73" s="766"/>
      <c r="F73" s="766"/>
      <c r="G73" s="766"/>
      <c r="H73" s="766"/>
      <c r="I73" s="766"/>
    </row>
    <row r="74" spans="1:9" s="170" customFormat="1" ht="11.25" x14ac:dyDescent="0.2">
      <c r="C74" s="212"/>
    </row>
    <row r="75" spans="1:9" s="216" customFormat="1" ht="31.5" x14ac:dyDescent="0.25">
      <c r="A75" s="767" t="s">
        <v>135</v>
      </c>
      <c r="B75" s="768"/>
      <c r="C75" s="215" t="s">
        <v>136</v>
      </c>
      <c r="D75" s="215" t="s">
        <v>137</v>
      </c>
      <c r="E75" s="215" t="s">
        <v>138</v>
      </c>
      <c r="F75" s="215" t="s">
        <v>139</v>
      </c>
      <c r="G75" s="215" t="s">
        <v>140</v>
      </c>
    </row>
    <row r="76" spans="1:9" s="170" customFormat="1" ht="11.25" customHeight="1" x14ac:dyDescent="0.2">
      <c r="A76" s="846" t="s">
        <v>293</v>
      </c>
      <c r="B76" s="847"/>
      <c r="D76" s="321">
        <v>0</v>
      </c>
      <c r="E76" s="321">
        <v>0</v>
      </c>
      <c r="F76" s="322"/>
      <c r="G76" s="323"/>
    </row>
    <row r="77" spans="1:9" s="170" customFormat="1" ht="11.25" customHeight="1" x14ac:dyDescent="0.2">
      <c r="A77" s="836" t="s">
        <v>178</v>
      </c>
      <c r="B77" s="837"/>
      <c r="C77" s="324"/>
      <c r="D77" s="319">
        <f>SUM(D76:D76)</f>
        <v>0</v>
      </c>
      <c r="E77" s="319">
        <f>SUM(E76:E76)</f>
        <v>0</v>
      </c>
      <c r="F77" s="838"/>
      <c r="G77" s="839"/>
    </row>
    <row r="78" spans="1:9" s="170" customFormat="1" ht="11.25" customHeight="1" x14ac:dyDescent="0.2">
      <c r="A78" s="325"/>
      <c r="B78" s="325"/>
      <c r="C78" s="326"/>
      <c r="D78" s="327"/>
      <c r="E78" s="327"/>
      <c r="F78" s="328"/>
      <c r="G78" s="328"/>
    </row>
    <row r="79" spans="1:9" s="170" customFormat="1" ht="11.25" x14ac:dyDescent="0.2">
      <c r="C79" s="212"/>
    </row>
    <row r="80" spans="1:9" s="177" customFormat="1" ht="11.25" x14ac:dyDescent="0.2">
      <c r="A80" s="777" t="s">
        <v>238</v>
      </c>
      <c r="B80" s="777"/>
      <c r="C80" s="777"/>
      <c r="D80" s="777"/>
      <c r="E80" s="777"/>
      <c r="F80" s="777"/>
      <c r="G80" s="777"/>
      <c r="H80" s="777"/>
      <c r="I80" s="777"/>
    </row>
    <row r="81" spans="1:9" s="170" customFormat="1" ht="11.25" x14ac:dyDescent="0.2"/>
    <row r="82" spans="1:9" s="170" customFormat="1" ht="11.25" x14ac:dyDescent="0.2">
      <c r="A82" s="840" t="s">
        <v>340</v>
      </c>
      <c r="B82" s="841"/>
      <c r="C82" s="841"/>
      <c r="D82" s="841"/>
      <c r="E82" s="841"/>
      <c r="F82" s="841"/>
      <c r="G82" s="841"/>
      <c r="H82" s="841"/>
      <c r="I82" s="842"/>
    </row>
    <row r="83" spans="1:9" s="170" customFormat="1" ht="11.25" x14ac:dyDescent="0.2"/>
    <row r="84" spans="1:9" s="169" customFormat="1" ht="10.5" x14ac:dyDescent="0.15">
      <c r="A84" s="781" t="s">
        <v>165</v>
      </c>
      <c r="B84" s="781"/>
      <c r="C84" s="781"/>
      <c r="D84" s="781"/>
      <c r="E84" s="781"/>
      <c r="F84" s="781"/>
      <c r="G84" s="781"/>
      <c r="H84" s="781"/>
      <c r="I84" s="781"/>
    </row>
    <row r="85" spans="1:9" s="170" customFormat="1" ht="11.25" x14ac:dyDescent="0.2"/>
    <row r="86" spans="1:9" s="170" customFormat="1" ht="31.15" customHeight="1" x14ac:dyDescent="0.2">
      <c r="A86" s="843" t="s">
        <v>341</v>
      </c>
      <c r="B86" s="844"/>
      <c r="C86" s="844"/>
      <c r="D86" s="844"/>
      <c r="E86" s="844"/>
      <c r="F86" s="844"/>
      <c r="G86" s="844"/>
      <c r="H86" s="844"/>
      <c r="I86" s="845"/>
    </row>
    <row r="87" spans="1:9" s="170" customFormat="1" ht="18.75" customHeight="1" x14ac:dyDescent="0.2">
      <c r="A87" s="835"/>
      <c r="B87" s="835"/>
      <c r="C87" s="835"/>
      <c r="D87" s="835"/>
      <c r="E87" s="835"/>
      <c r="F87" s="835"/>
      <c r="G87" s="835"/>
      <c r="H87" s="835"/>
      <c r="I87" s="835"/>
    </row>
    <row r="88" spans="1:9" x14ac:dyDescent="0.2">
      <c r="A88" s="170" t="s">
        <v>342</v>
      </c>
    </row>
    <row r="89" spans="1:9" ht="14.25" customHeight="1" x14ac:dyDescent="0.2">
      <c r="A89" s="329" t="s">
        <v>343</v>
      </c>
    </row>
    <row r="90" spans="1:9" ht="13.5" customHeight="1" x14ac:dyDescent="0.2">
      <c r="A90" s="246"/>
    </row>
  </sheetData>
  <mergeCells count="75">
    <mergeCell ref="F13:G13"/>
    <mergeCell ref="H13:I13"/>
    <mergeCell ref="A1:I1"/>
    <mergeCell ref="A3:I3"/>
    <mergeCell ref="A5:B5"/>
    <mergeCell ref="A6:B6"/>
    <mergeCell ref="D6:I6"/>
    <mergeCell ref="A7:B7"/>
    <mergeCell ref="D7:I7"/>
    <mergeCell ref="A8:B8"/>
    <mergeCell ref="D8:I8"/>
    <mergeCell ref="A10:I10"/>
    <mergeCell ref="F12:G12"/>
    <mergeCell ref="H12:I12"/>
    <mergeCell ref="F14:G14"/>
    <mergeCell ref="H14:I14"/>
    <mergeCell ref="F15:G15"/>
    <mergeCell ref="H15:I15"/>
    <mergeCell ref="F16:G16"/>
    <mergeCell ref="H16:I16"/>
    <mergeCell ref="A34:I34"/>
    <mergeCell ref="F17:G17"/>
    <mergeCell ref="H17:I17"/>
    <mergeCell ref="F18:G18"/>
    <mergeCell ref="A20:I20"/>
    <mergeCell ref="D22:I22"/>
    <mergeCell ref="D23:I23"/>
    <mergeCell ref="C24:I24"/>
    <mergeCell ref="A27:I27"/>
    <mergeCell ref="D29:I29"/>
    <mergeCell ref="D30:I30"/>
    <mergeCell ref="C31:I31"/>
    <mergeCell ref="A64:B64"/>
    <mergeCell ref="A50:B50"/>
    <mergeCell ref="C36:I36"/>
    <mergeCell ref="C37:I37"/>
    <mergeCell ref="C38:I38"/>
    <mergeCell ref="A41:I41"/>
    <mergeCell ref="A43:B43"/>
    <mergeCell ref="A44:B44"/>
    <mergeCell ref="A45:B45"/>
    <mergeCell ref="A46:B46"/>
    <mergeCell ref="A47:B47"/>
    <mergeCell ref="A48:B48"/>
    <mergeCell ref="A49:B49"/>
    <mergeCell ref="A62:B62"/>
    <mergeCell ref="A51:B51"/>
    <mergeCell ref="A52:B52"/>
    <mergeCell ref="A53:B53"/>
    <mergeCell ref="A54:B54"/>
    <mergeCell ref="A55:B55"/>
    <mergeCell ref="A56:B56"/>
    <mergeCell ref="A57:B57"/>
    <mergeCell ref="A58:B58"/>
    <mergeCell ref="A59:B59"/>
    <mergeCell ref="A60:B60"/>
    <mergeCell ref="A61:B61"/>
    <mergeCell ref="A65:B65"/>
    <mergeCell ref="A66:B66"/>
    <mergeCell ref="A67:B67"/>
    <mergeCell ref="A68:B68"/>
    <mergeCell ref="F71:G71"/>
    <mergeCell ref="A69:B69"/>
    <mergeCell ref="A70:B70"/>
    <mergeCell ref="A71:B71"/>
    <mergeCell ref="A73:I73"/>
    <mergeCell ref="A75:B75"/>
    <mergeCell ref="A87:I87"/>
    <mergeCell ref="A77:B77"/>
    <mergeCell ref="F77:G77"/>
    <mergeCell ref="A80:I80"/>
    <mergeCell ref="A82:I82"/>
    <mergeCell ref="A84:I84"/>
    <mergeCell ref="A86:I86"/>
    <mergeCell ref="A76:B76"/>
  </mergeCells>
  <pageMargins left="0.70866141732283472" right="0.70866141732283472" top="0.78740157480314965" bottom="0.78740157480314965" header="0.31496062992125984" footer="0.31496062992125984"/>
  <pageSetup paperSize="9" scale="51" firstPageNumber="100" orientation="portrait" useFirstPageNumber="1" r:id="rId1"/>
  <headerFoot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6"/>
  <sheetViews>
    <sheetView workbookViewId="0">
      <selection activeCell="C51" sqref="C51"/>
    </sheetView>
  </sheetViews>
  <sheetFormatPr defaultColWidth="3.7109375" defaultRowHeight="15" x14ac:dyDescent="0.25"/>
  <cols>
    <col min="1" max="1" width="3.140625" style="2" customWidth="1"/>
    <col min="2" max="2" width="3.7109375" style="3" customWidth="1"/>
    <col min="3" max="3" width="21" style="3" customWidth="1"/>
    <col min="4" max="4" width="4.85546875" style="3" customWidth="1"/>
    <col min="5" max="7" width="6.28515625" style="3" customWidth="1"/>
    <col min="8" max="8" width="5" style="3" customWidth="1"/>
    <col min="9" max="12" width="6.28515625" style="3" customWidth="1"/>
    <col min="13" max="13" width="5" style="3" customWidth="1"/>
    <col min="14" max="17" width="6.28515625" style="3" customWidth="1"/>
    <col min="18" max="18" width="5" style="3" customWidth="1"/>
    <col min="19" max="22" width="6.28515625" style="3" customWidth="1"/>
    <col min="23" max="23" width="5" style="3" customWidth="1"/>
    <col min="24" max="24" width="6.28515625" style="3" customWidth="1"/>
    <col min="25" max="16384" width="3.7109375" style="3"/>
  </cols>
  <sheetData>
    <row r="1" spans="1:24" s="6" customFormat="1" ht="15.75" x14ac:dyDescent="0.25">
      <c r="A1" s="759" t="s">
        <v>722</v>
      </c>
      <c r="B1" s="759"/>
      <c r="C1" s="759"/>
      <c r="D1" s="759"/>
      <c r="E1" s="759"/>
      <c r="F1" s="759"/>
      <c r="G1" s="759"/>
      <c r="H1" s="759"/>
      <c r="I1" s="759"/>
      <c r="J1" s="759"/>
      <c r="K1" s="759"/>
      <c r="L1" s="759"/>
      <c r="M1" s="759"/>
      <c r="N1" s="759"/>
      <c r="O1" s="759"/>
      <c r="P1" s="759"/>
      <c r="Q1" s="759"/>
      <c r="R1" s="759"/>
      <c r="S1" s="759"/>
      <c r="T1" s="759"/>
      <c r="U1" s="759"/>
      <c r="V1" s="759"/>
      <c r="W1" s="759"/>
      <c r="X1" s="759"/>
    </row>
    <row r="3" spans="1:24" s="7" customFormat="1" ht="9.75" customHeight="1" x14ac:dyDescent="0.2">
      <c r="A3" s="752" t="s">
        <v>1</v>
      </c>
      <c r="B3" s="761" t="s">
        <v>2</v>
      </c>
      <c r="C3" s="760"/>
      <c r="D3" s="761" t="s">
        <v>3</v>
      </c>
      <c r="E3" s="762" t="s">
        <v>4</v>
      </c>
      <c r="F3" s="762"/>
      <c r="G3" s="762"/>
      <c r="H3" s="762"/>
      <c r="I3" s="762"/>
      <c r="J3" s="762" t="s">
        <v>5</v>
      </c>
      <c r="K3" s="762"/>
      <c r="L3" s="762"/>
      <c r="M3" s="762"/>
      <c r="N3" s="762"/>
      <c r="O3" s="762" t="s">
        <v>6</v>
      </c>
      <c r="P3" s="762"/>
      <c r="Q3" s="762"/>
      <c r="R3" s="762"/>
      <c r="S3" s="762"/>
      <c r="T3" s="762" t="s">
        <v>7</v>
      </c>
      <c r="U3" s="762"/>
      <c r="V3" s="762"/>
      <c r="W3" s="762"/>
      <c r="X3" s="762"/>
    </row>
    <row r="4" spans="1:24" s="8" customFormat="1" ht="9.75" customHeight="1" x14ac:dyDescent="0.2">
      <c r="A4" s="760"/>
      <c r="B4" s="760"/>
      <c r="C4" s="760"/>
      <c r="D4" s="761"/>
      <c r="E4" s="754" t="s">
        <v>8</v>
      </c>
      <c r="F4" s="755" t="s">
        <v>9</v>
      </c>
      <c r="G4" s="755"/>
      <c r="H4" s="755"/>
      <c r="I4" s="752" t="s">
        <v>10</v>
      </c>
      <c r="J4" s="754" t="s">
        <v>8</v>
      </c>
      <c r="K4" s="755" t="s">
        <v>9</v>
      </c>
      <c r="L4" s="755"/>
      <c r="M4" s="755"/>
      <c r="N4" s="752" t="s">
        <v>10</v>
      </c>
      <c r="O4" s="754" t="s">
        <v>8</v>
      </c>
      <c r="P4" s="755" t="s">
        <v>9</v>
      </c>
      <c r="Q4" s="755"/>
      <c r="R4" s="755"/>
      <c r="S4" s="752" t="s">
        <v>10</v>
      </c>
      <c r="T4" s="754" t="s">
        <v>8</v>
      </c>
      <c r="U4" s="755" t="s">
        <v>9</v>
      </c>
      <c r="V4" s="755"/>
      <c r="W4" s="755"/>
      <c r="X4" s="752" t="s">
        <v>10</v>
      </c>
    </row>
    <row r="5" spans="1:24" s="10" customFormat="1" ht="9.75" customHeight="1" x14ac:dyDescent="0.2">
      <c r="A5" s="760"/>
      <c r="B5" s="760"/>
      <c r="C5" s="760"/>
      <c r="D5" s="761"/>
      <c r="E5" s="754"/>
      <c r="F5" s="9" t="s">
        <v>11</v>
      </c>
      <c r="G5" s="9" t="s">
        <v>12</v>
      </c>
      <c r="H5" s="9" t="s">
        <v>13</v>
      </c>
      <c r="I5" s="752"/>
      <c r="J5" s="754"/>
      <c r="K5" s="9" t="s">
        <v>11</v>
      </c>
      <c r="L5" s="9" t="s">
        <v>12</v>
      </c>
      <c r="M5" s="9" t="s">
        <v>13</v>
      </c>
      <c r="N5" s="752"/>
      <c r="O5" s="754"/>
      <c r="P5" s="9" t="s">
        <v>11</v>
      </c>
      <c r="Q5" s="9" t="s">
        <v>12</v>
      </c>
      <c r="R5" s="9" t="s">
        <v>13</v>
      </c>
      <c r="S5" s="752"/>
      <c r="T5" s="754"/>
      <c r="U5" s="9" t="s">
        <v>11</v>
      </c>
      <c r="V5" s="9" t="s">
        <v>12</v>
      </c>
      <c r="W5" s="9" t="s">
        <v>13</v>
      </c>
      <c r="X5" s="752"/>
    </row>
    <row r="6" spans="1:24" s="7" customFormat="1" ht="9.75" customHeight="1" x14ac:dyDescent="0.2">
      <c r="A6" s="11" t="s">
        <v>14</v>
      </c>
      <c r="B6" s="753" t="s">
        <v>15</v>
      </c>
      <c r="C6" s="753"/>
      <c r="D6" s="12" t="s">
        <v>16</v>
      </c>
      <c r="E6" s="13">
        <f>SUM(E7:E9)</f>
        <v>7858233</v>
      </c>
      <c r="F6" s="13">
        <f>SUM(F7:F9)</f>
        <v>8841863</v>
      </c>
      <c r="G6" s="13">
        <f>SUM(G7:G9)</f>
        <v>3910180</v>
      </c>
      <c r="H6" s="14">
        <f t="shared" ref="H6:H36" si="0">G6/F6*100</f>
        <v>44.223485480378969</v>
      </c>
      <c r="I6" s="13">
        <f>SUM(I7:I9)</f>
        <v>3514657.4</v>
      </c>
      <c r="J6" s="13">
        <f>SUM(J7:J9)</f>
        <v>1765600</v>
      </c>
      <c r="K6" s="13">
        <f t="shared" ref="K6:X6" si="1">SUM(K7:K9)</f>
        <v>2582600</v>
      </c>
      <c r="L6" s="13">
        <f t="shared" si="1"/>
        <v>935129</v>
      </c>
      <c r="M6" s="14">
        <f t="shared" ref="M6:M29" si="2">L6/K6*100</f>
        <v>36.208820568419419</v>
      </c>
      <c r="N6" s="13">
        <f t="shared" si="1"/>
        <v>983924.4</v>
      </c>
      <c r="O6" s="13">
        <f t="shared" si="1"/>
        <v>6092633</v>
      </c>
      <c r="P6" s="13">
        <f t="shared" si="1"/>
        <v>6259263</v>
      </c>
      <c r="Q6" s="13">
        <f t="shared" si="1"/>
        <v>2975051</v>
      </c>
      <c r="R6" s="14">
        <f t="shared" ref="R6:R36" si="3">Q6/P6*100</f>
        <v>47.530372185990586</v>
      </c>
      <c r="S6" s="13">
        <f t="shared" si="1"/>
        <v>2530733</v>
      </c>
      <c r="T6" s="13">
        <f t="shared" si="1"/>
        <v>15000</v>
      </c>
      <c r="U6" s="13">
        <f t="shared" si="1"/>
        <v>15000</v>
      </c>
      <c r="V6" s="13">
        <f t="shared" si="1"/>
        <v>0</v>
      </c>
      <c r="W6" s="14">
        <f t="shared" ref="W6:W33" si="4">V6/U6*100</f>
        <v>0</v>
      </c>
      <c r="X6" s="13">
        <f t="shared" si="1"/>
        <v>0</v>
      </c>
    </row>
    <row r="7" spans="1:24" s="7" customFormat="1" ht="9.75" x14ac:dyDescent="0.2">
      <c r="A7" s="15" t="s">
        <v>17</v>
      </c>
      <c r="B7" s="750" t="s">
        <v>18</v>
      </c>
      <c r="C7" s="750"/>
      <c r="D7" s="16" t="s">
        <v>16</v>
      </c>
      <c r="E7" s="17">
        <f t="shared" ref="E7:G10" si="5">SUM(J7,O7)</f>
        <v>392400</v>
      </c>
      <c r="F7" s="17">
        <f t="shared" si="5"/>
        <v>392400</v>
      </c>
      <c r="G7" s="17">
        <f t="shared" si="5"/>
        <v>248412</v>
      </c>
      <c r="H7" s="18">
        <f t="shared" si="0"/>
        <v>63.305810397553522</v>
      </c>
      <c r="I7" s="17">
        <f>SUM(N7,S7)</f>
        <v>344175</v>
      </c>
      <c r="J7" s="42">
        <v>392400</v>
      </c>
      <c r="K7" s="19">
        <v>392400</v>
      </c>
      <c r="L7" s="19">
        <v>248412</v>
      </c>
      <c r="M7" s="18">
        <f t="shared" si="2"/>
        <v>63.305810397553522</v>
      </c>
      <c r="N7" s="19">
        <v>344175</v>
      </c>
      <c r="O7" s="19"/>
      <c r="P7" s="19"/>
      <c r="Q7" s="19"/>
      <c r="R7" s="18"/>
      <c r="S7" s="19"/>
      <c r="T7" s="19">
        <v>15000</v>
      </c>
      <c r="U7" s="19">
        <v>15000</v>
      </c>
      <c r="V7" s="19">
        <v>0</v>
      </c>
      <c r="W7" s="18">
        <f t="shared" si="4"/>
        <v>0</v>
      </c>
      <c r="X7" s="19"/>
    </row>
    <row r="8" spans="1:24" s="7" customFormat="1" ht="9.75" x14ac:dyDescent="0.2">
      <c r="A8" s="20" t="s">
        <v>19</v>
      </c>
      <c r="B8" s="758" t="s">
        <v>20</v>
      </c>
      <c r="C8" s="758"/>
      <c r="D8" s="16" t="s">
        <v>16</v>
      </c>
      <c r="E8" s="17">
        <f t="shared" si="5"/>
        <v>200</v>
      </c>
      <c r="F8" s="17">
        <f t="shared" si="5"/>
        <v>200</v>
      </c>
      <c r="G8" s="17">
        <f t="shared" si="5"/>
        <v>217</v>
      </c>
      <c r="H8" s="18">
        <f t="shared" si="0"/>
        <v>108.5</v>
      </c>
      <c r="I8" s="17">
        <f>SUM(N8,S8)</f>
        <v>104.4</v>
      </c>
      <c r="J8" s="43">
        <v>200</v>
      </c>
      <c r="K8" s="17">
        <v>200</v>
      </c>
      <c r="L8" s="17">
        <v>217</v>
      </c>
      <c r="M8" s="18">
        <f t="shared" si="2"/>
        <v>108.5</v>
      </c>
      <c r="N8" s="17">
        <v>104.4</v>
      </c>
      <c r="O8" s="17"/>
      <c r="P8" s="17"/>
      <c r="Q8" s="17"/>
      <c r="R8" s="18"/>
      <c r="S8" s="17"/>
      <c r="T8" s="17"/>
      <c r="U8" s="17"/>
      <c r="V8" s="17"/>
      <c r="W8" s="18"/>
      <c r="X8" s="17"/>
    </row>
    <row r="9" spans="1:24" s="7" customFormat="1" ht="9.75" x14ac:dyDescent="0.2">
      <c r="A9" s="20" t="s">
        <v>21</v>
      </c>
      <c r="B9" s="21" t="s">
        <v>22</v>
      </c>
      <c r="C9" s="22"/>
      <c r="D9" s="16" t="s">
        <v>16</v>
      </c>
      <c r="E9" s="17">
        <f t="shared" si="5"/>
        <v>7465633</v>
      </c>
      <c r="F9" s="17">
        <f t="shared" si="5"/>
        <v>8449263</v>
      </c>
      <c r="G9" s="17">
        <f t="shared" si="5"/>
        <v>3661551</v>
      </c>
      <c r="H9" s="18">
        <f t="shared" si="0"/>
        <v>43.33574419449365</v>
      </c>
      <c r="I9" s="17">
        <f>SUM(N9,S9)</f>
        <v>3170378</v>
      </c>
      <c r="J9" s="43">
        <v>1373000</v>
      </c>
      <c r="K9" s="17">
        <v>2190000</v>
      </c>
      <c r="L9" s="17">
        <v>686500</v>
      </c>
      <c r="M9" s="18">
        <f t="shared" si="2"/>
        <v>31.347031963470318</v>
      </c>
      <c r="N9" s="17">
        <v>639645</v>
      </c>
      <c r="O9" s="17">
        <v>6092633</v>
      </c>
      <c r="P9" s="17">
        <v>6259263</v>
      </c>
      <c r="Q9" s="17">
        <v>2975051</v>
      </c>
      <c r="R9" s="18">
        <f t="shared" si="3"/>
        <v>47.530372185990586</v>
      </c>
      <c r="S9" s="17">
        <v>2530733</v>
      </c>
      <c r="T9" s="17"/>
      <c r="U9" s="17"/>
      <c r="V9" s="17"/>
      <c r="W9" s="18"/>
      <c r="X9" s="17"/>
    </row>
    <row r="10" spans="1:24" s="7" customFormat="1" ht="9.75" x14ac:dyDescent="0.2">
      <c r="A10" s="11" t="s">
        <v>23</v>
      </c>
      <c r="B10" s="753" t="s">
        <v>24</v>
      </c>
      <c r="C10" s="753"/>
      <c r="D10" s="12" t="s">
        <v>16</v>
      </c>
      <c r="E10" s="23">
        <f t="shared" si="5"/>
        <v>0</v>
      </c>
      <c r="F10" s="23">
        <f t="shared" si="5"/>
        <v>0</v>
      </c>
      <c r="G10" s="23">
        <f t="shared" si="5"/>
        <v>0</v>
      </c>
      <c r="H10" s="14"/>
      <c r="I10" s="23">
        <f>SUM(N10,S10)</f>
        <v>0</v>
      </c>
      <c r="J10" s="24"/>
      <c r="K10" s="23"/>
      <c r="L10" s="23"/>
      <c r="M10" s="14"/>
      <c r="N10" s="23"/>
      <c r="O10" s="23"/>
      <c r="P10" s="23"/>
      <c r="Q10" s="23"/>
      <c r="R10" s="14"/>
      <c r="S10" s="23"/>
      <c r="T10" s="23"/>
      <c r="U10" s="23"/>
      <c r="V10" s="23"/>
      <c r="W10" s="14"/>
      <c r="X10" s="23"/>
    </row>
    <row r="11" spans="1:24" s="7" customFormat="1" ht="9.75" x14ac:dyDescent="0.2">
      <c r="A11" s="11" t="s">
        <v>25</v>
      </c>
      <c r="B11" s="753" t="s">
        <v>26</v>
      </c>
      <c r="C11" s="753"/>
      <c r="D11" s="12" t="s">
        <v>16</v>
      </c>
      <c r="E11" s="13">
        <f>SUM(E12:E31)</f>
        <v>7858233</v>
      </c>
      <c r="F11" s="13">
        <f>SUM(F12:F31)</f>
        <v>8841863</v>
      </c>
      <c r="G11" s="13">
        <f>SUM(G12:G31)</f>
        <v>3857066.83</v>
      </c>
      <c r="H11" s="14">
        <f t="shared" si="0"/>
        <v>43.622784361169138</v>
      </c>
      <c r="I11" s="13">
        <f>SUM(I12:I31)</f>
        <v>3241627.19</v>
      </c>
      <c r="J11" s="13">
        <f>SUM(J12:J31)</f>
        <v>1765600</v>
      </c>
      <c r="K11" s="13">
        <f>SUM(K12:K31)</f>
        <v>2582600</v>
      </c>
      <c r="L11" s="13">
        <f>SUM(L12:L31)</f>
        <v>882015.83</v>
      </c>
      <c r="M11" s="14">
        <f t="shared" si="2"/>
        <v>34.152243088360571</v>
      </c>
      <c r="N11" s="13">
        <f>SUM(N12:N31)</f>
        <v>710894.19</v>
      </c>
      <c r="O11" s="13">
        <f>SUM(O12:O31)</f>
        <v>6092633</v>
      </c>
      <c r="P11" s="13">
        <f>SUM(P12:P31)</f>
        <v>6259263</v>
      </c>
      <c r="Q11" s="13">
        <f>SUM(Q12:Q31)</f>
        <v>2975051</v>
      </c>
      <c r="R11" s="14">
        <f t="shared" si="3"/>
        <v>47.530372185990586</v>
      </c>
      <c r="S11" s="13">
        <f>SUM(S12:S31)</f>
        <v>2530733</v>
      </c>
      <c r="T11" s="13">
        <f>SUM(T12:T31)</f>
        <v>10000</v>
      </c>
      <c r="U11" s="13">
        <f>SUM(U12:U31)</f>
        <v>10000</v>
      </c>
      <c r="V11" s="13">
        <f>SUM(V12:V31)</f>
        <v>0</v>
      </c>
      <c r="W11" s="14">
        <f t="shared" si="4"/>
        <v>0</v>
      </c>
      <c r="X11" s="13">
        <f>SUM(X12:X31)</f>
        <v>0</v>
      </c>
    </row>
    <row r="12" spans="1:24" s="7" customFormat="1" ht="9.75" x14ac:dyDescent="0.2">
      <c r="A12" s="15" t="s">
        <v>27</v>
      </c>
      <c r="B12" s="750" t="s">
        <v>28</v>
      </c>
      <c r="C12" s="750"/>
      <c r="D12" s="16" t="s">
        <v>16</v>
      </c>
      <c r="E12" s="17">
        <f t="shared" ref="E12:I29" si="6">SUM(J12,O12)</f>
        <v>269000</v>
      </c>
      <c r="F12" s="17">
        <f t="shared" si="6"/>
        <v>269000</v>
      </c>
      <c r="G12" s="17">
        <f t="shared" si="6"/>
        <v>121334</v>
      </c>
      <c r="H12" s="18">
        <f t="shared" si="0"/>
        <v>45.105576208178441</v>
      </c>
      <c r="I12" s="17">
        <f t="shared" si="6"/>
        <v>138238.9</v>
      </c>
      <c r="J12" s="44">
        <v>269000</v>
      </c>
      <c r="K12" s="25">
        <v>269000</v>
      </c>
      <c r="L12" s="25">
        <v>121334</v>
      </c>
      <c r="M12" s="18">
        <f t="shared" si="2"/>
        <v>45.105576208178441</v>
      </c>
      <c r="N12" s="26">
        <v>138238.9</v>
      </c>
      <c r="O12" s="25"/>
      <c r="P12" s="25"/>
      <c r="Q12" s="25"/>
      <c r="R12" s="18"/>
      <c r="S12" s="25"/>
      <c r="T12" s="25"/>
      <c r="U12" s="25"/>
      <c r="V12" s="25"/>
      <c r="W12" s="18"/>
      <c r="X12" s="26"/>
    </row>
    <row r="13" spans="1:24" s="7" customFormat="1" ht="9.75" x14ac:dyDescent="0.2">
      <c r="A13" s="15" t="s">
        <v>29</v>
      </c>
      <c r="B13" s="750" t="s">
        <v>30</v>
      </c>
      <c r="C13" s="750"/>
      <c r="D13" s="16" t="s">
        <v>16</v>
      </c>
      <c r="E13" s="17">
        <f t="shared" si="6"/>
        <v>500000</v>
      </c>
      <c r="F13" s="17">
        <f t="shared" si="6"/>
        <v>500000</v>
      </c>
      <c r="G13" s="17">
        <f t="shared" si="6"/>
        <v>124523.43</v>
      </c>
      <c r="H13" s="18">
        <f t="shared" si="0"/>
        <v>24.904685999999998</v>
      </c>
      <c r="I13" s="17">
        <f t="shared" si="6"/>
        <v>130749.59</v>
      </c>
      <c r="J13" s="44">
        <v>500000</v>
      </c>
      <c r="K13" s="17">
        <v>500000</v>
      </c>
      <c r="L13" s="17">
        <v>124523.43</v>
      </c>
      <c r="M13" s="18">
        <f t="shared" si="2"/>
        <v>24.904685999999998</v>
      </c>
      <c r="N13" s="17">
        <v>130749.59</v>
      </c>
      <c r="O13" s="17"/>
      <c r="P13" s="17"/>
      <c r="Q13" s="17"/>
      <c r="R13" s="18"/>
      <c r="S13" s="17"/>
      <c r="T13" s="17"/>
      <c r="U13" s="17"/>
      <c r="V13" s="17"/>
      <c r="W13" s="18"/>
      <c r="X13" s="17"/>
    </row>
    <row r="14" spans="1:24" s="7" customFormat="1" ht="9.75" x14ac:dyDescent="0.2">
      <c r="A14" s="15" t="s">
        <v>31</v>
      </c>
      <c r="B14" s="21" t="s">
        <v>32</v>
      </c>
      <c r="C14" s="21"/>
      <c r="D14" s="16" t="s">
        <v>16</v>
      </c>
      <c r="E14" s="17">
        <f t="shared" si="6"/>
        <v>0</v>
      </c>
      <c r="F14" s="17">
        <f t="shared" si="6"/>
        <v>0</v>
      </c>
      <c r="G14" s="17">
        <f t="shared" si="6"/>
        <v>0</v>
      </c>
      <c r="H14" s="18"/>
      <c r="I14" s="17">
        <f t="shared" si="6"/>
        <v>0</v>
      </c>
      <c r="J14" s="44"/>
      <c r="K14" s="17"/>
      <c r="L14" s="17"/>
      <c r="M14" s="18"/>
      <c r="N14" s="17"/>
      <c r="O14" s="17"/>
      <c r="P14" s="17"/>
      <c r="Q14" s="17"/>
      <c r="R14" s="18"/>
      <c r="S14" s="17"/>
      <c r="T14" s="17"/>
      <c r="U14" s="17"/>
      <c r="V14" s="17"/>
      <c r="W14" s="18"/>
      <c r="X14" s="17"/>
    </row>
    <row r="15" spans="1:24" s="7" customFormat="1" ht="9.75" x14ac:dyDescent="0.2">
      <c r="A15" s="15" t="s">
        <v>33</v>
      </c>
      <c r="B15" s="750" t="s">
        <v>34</v>
      </c>
      <c r="C15" s="750"/>
      <c r="D15" s="16" t="s">
        <v>16</v>
      </c>
      <c r="E15" s="17">
        <f t="shared" si="6"/>
        <v>300000</v>
      </c>
      <c r="F15" s="17">
        <f t="shared" si="6"/>
        <v>1117000</v>
      </c>
      <c r="G15" s="17">
        <f t="shared" si="6"/>
        <v>306162</v>
      </c>
      <c r="H15" s="18">
        <f t="shared" si="0"/>
        <v>27.409310653536256</v>
      </c>
      <c r="I15" s="17">
        <f t="shared" si="6"/>
        <v>111219.95</v>
      </c>
      <c r="J15" s="44">
        <v>300000</v>
      </c>
      <c r="K15" s="17">
        <v>1117000</v>
      </c>
      <c r="L15" s="17">
        <v>306162</v>
      </c>
      <c r="M15" s="18">
        <f t="shared" si="2"/>
        <v>27.409310653536256</v>
      </c>
      <c r="N15" s="17">
        <v>111219.95</v>
      </c>
      <c r="O15" s="17"/>
      <c r="P15" s="17"/>
      <c r="Q15" s="17"/>
      <c r="R15" s="18"/>
      <c r="S15" s="17"/>
      <c r="T15" s="17"/>
      <c r="U15" s="17"/>
      <c r="V15" s="17"/>
      <c r="W15" s="18"/>
      <c r="X15" s="17"/>
    </row>
    <row r="16" spans="1:24" s="7" customFormat="1" ht="9.75" x14ac:dyDescent="0.2">
      <c r="A16" s="15" t="s">
        <v>35</v>
      </c>
      <c r="B16" s="750" t="s">
        <v>36</v>
      </c>
      <c r="C16" s="750"/>
      <c r="D16" s="16" t="s">
        <v>16</v>
      </c>
      <c r="E16" s="17">
        <f t="shared" si="6"/>
        <v>2200</v>
      </c>
      <c r="F16" s="17">
        <f t="shared" si="6"/>
        <v>2200</v>
      </c>
      <c r="G16" s="17">
        <f t="shared" si="6"/>
        <v>36</v>
      </c>
      <c r="H16" s="18">
        <f t="shared" si="0"/>
        <v>1.6363636363636365</v>
      </c>
      <c r="I16" s="17">
        <f t="shared" si="6"/>
        <v>126</v>
      </c>
      <c r="J16" s="44">
        <v>2200</v>
      </c>
      <c r="K16" s="17">
        <v>2200</v>
      </c>
      <c r="L16" s="17">
        <v>36</v>
      </c>
      <c r="M16" s="18">
        <f t="shared" si="2"/>
        <v>1.6363636363636365</v>
      </c>
      <c r="N16" s="17">
        <v>126</v>
      </c>
      <c r="O16" s="17"/>
      <c r="P16" s="17"/>
      <c r="Q16" s="17"/>
      <c r="R16" s="18"/>
      <c r="S16" s="17"/>
      <c r="T16" s="17"/>
      <c r="U16" s="17"/>
      <c r="V16" s="17"/>
      <c r="W16" s="18"/>
      <c r="X16" s="17"/>
    </row>
    <row r="17" spans="1:24" s="7" customFormat="1" ht="9.75" x14ac:dyDescent="0.2">
      <c r="A17" s="15" t="s">
        <v>37</v>
      </c>
      <c r="B17" s="21" t="s">
        <v>38</v>
      </c>
      <c r="C17" s="21"/>
      <c r="D17" s="16" t="s">
        <v>16</v>
      </c>
      <c r="E17" s="17">
        <f t="shared" si="6"/>
        <v>1172</v>
      </c>
      <c r="F17" s="17">
        <f t="shared" si="6"/>
        <v>1172</v>
      </c>
      <c r="G17" s="17">
        <f t="shared" si="6"/>
        <v>615</v>
      </c>
      <c r="H17" s="18">
        <f t="shared" si="0"/>
        <v>52.474402730375424</v>
      </c>
      <c r="I17" s="17">
        <f t="shared" si="6"/>
        <v>411</v>
      </c>
      <c r="J17" s="44">
        <v>1172</v>
      </c>
      <c r="K17" s="17">
        <v>1172</v>
      </c>
      <c r="L17" s="17">
        <v>615</v>
      </c>
      <c r="M17" s="18">
        <f t="shared" si="2"/>
        <v>52.474402730375424</v>
      </c>
      <c r="N17" s="17">
        <v>411</v>
      </c>
      <c r="O17" s="17"/>
      <c r="P17" s="17"/>
      <c r="Q17" s="17"/>
      <c r="R17" s="18"/>
      <c r="S17" s="17"/>
      <c r="T17" s="17"/>
      <c r="U17" s="17"/>
      <c r="V17" s="17"/>
      <c r="W17" s="18"/>
      <c r="X17" s="17"/>
    </row>
    <row r="18" spans="1:24" s="7" customFormat="1" ht="9.75" x14ac:dyDescent="0.2">
      <c r="A18" s="15" t="s">
        <v>39</v>
      </c>
      <c r="B18" s="750" t="s">
        <v>40</v>
      </c>
      <c r="C18" s="750"/>
      <c r="D18" s="16" t="s">
        <v>16</v>
      </c>
      <c r="E18" s="17">
        <f t="shared" si="6"/>
        <v>360500</v>
      </c>
      <c r="F18" s="17">
        <f t="shared" si="6"/>
        <v>360500</v>
      </c>
      <c r="G18" s="17">
        <f t="shared" si="6"/>
        <v>144307.4</v>
      </c>
      <c r="H18" s="18">
        <f t="shared" si="0"/>
        <v>40.029791955617192</v>
      </c>
      <c r="I18" s="17">
        <f t="shared" si="6"/>
        <v>101509</v>
      </c>
      <c r="J18" s="44">
        <v>335500</v>
      </c>
      <c r="K18" s="17">
        <v>335500</v>
      </c>
      <c r="L18" s="17">
        <v>126157.4</v>
      </c>
      <c r="M18" s="18">
        <f t="shared" si="2"/>
        <v>37.602801788375558</v>
      </c>
      <c r="N18" s="17">
        <v>101509</v>
      </c>
      <c r="O18" s="17">
        <v>25000</v>
      </c>
      <c r="P18" s="17">
        <v>25000</v>
      </c>
      <c r="Q18" s="17">
        <v>18150</v>
      </c>
      <c r="R18" s="18">
        <f t="shared" si="3"/>
        <v>72.599999999999994</v>
      </c>
      <c r="S18" s="17"/>
      <c r="T18" s="17"/>
      <c r="U18" s="17"/>
      <c r="V18" s="17"/>
      <c r="W18" s="18"/>
      <c r="X18" s="17"/>
    </row>
    <row r="19" spans="1:24" s="28" customFormat="1" ht="9.75" x14ac:dyDescent="0.2">
      <c r="A19" s="15" t="s">
        <v>41</v>
      </c>
      <c r="B19" s="750" t="s">
        <v>42</v>
      </c>
      <c r="C19" s="750"/>
      <c r="D19" s="16" t="s">
        <v>16</v>
      </c>
      <c r="E19" s="17">
        <f t="shared" si="6"/>
        <v>4446100</v>
      </c>
      <c r="F19" s="17">
        <f t="shared" si="6"/>
        <v>4567600</v>
      </c>
      <c r="G19" s="17">
        <f t="shared" si="6"/>
        <v>2170540</v>
      </c>
      <c r="H19" s="18">
        <f t="shared" si="0"/>
        <v>47.520360802171815</v>
      </c>
      <c r="I19" s="17">
        <f t="shared" si="6"/>
        <v>1861176</v>
      </c>
      <c r="J19" s="45"/>
      <c r="K19" s="17"/>
      <c r="L19" s="17"/>
      <c r="M19" s="18"/>
      <c r="N19" s="17"/>
      <c r="O19" s="17">
        <v>4446100</v>
      </c>
      <c r="P19" s="17">
        <v>4567600</v>
      </c>
      <c r="Q19" s="17">
        <v>2170540</v>
      </c>
      <c r="R19" s="18">
        <f t="shared" si="3"/>
        <v>47.520360802171815</v>
      </c>
      <c r="S19" s="17">
        <v>1861176</v>
      </c>
      <c r="T19" s="27"/>
      <c r="U19" s="27"/>
      <c r="V19" s="27"/>
      <c r="W19" s="18"/>
      <c r="X19" s="27"/>
    </row>
    <row r="20" spans="1:24" s="7" customFormat="1" ht="9.75" x14ac:dyDescent="0.2">
      <c r="A20" s="15" t="s">
        <v>43</v>
      </c>
      <c r="B20" s="750" t="s">
        <v>44</v>
      </c>
      <c r="C20" s="750"/>
      <c r="D20" s="16" t="s">
        <v>16</v>
      </c>
      <c r="E20" s="17">
        <f t="shared" si="6"/>
        <v>1575123</v>
      </c>
      <c r="F20" s="17">
        <f t="shared" si="6"/>
        <v>1618823</v>
      </c>
      <c r="G20" s="17">
        <f t="shared" si="6"/>
        <v>741571</v>
      </c>
      <c r="H20" s="18">
        <f t="shared" si="0"/>
        <v>45.809270068438614</v>
      </c>
      <c r="I20" s="17">
        <f t="shared" si="6"/>
        <v>629390</v>
      </c>
      <c r="J20" s="44"/>
      <c r="K20" s="17"/>
      <c r="L20" s="17"/>
      <c r="M20" s="18"/>
      <c r="N20" s="17"/>
      <c r="O20" s="17">
        <v>1575123</v>
      </c>
      <c r="P20" s="17">
        <v>1618823</v>
      </c>
      <c r="Q20" s="17">
        <v>741571</v>
      </c>
      <c r="R20" s="18">
        <f t="shared" si="3"/>
        <v>45.809270068438614</v>
      </c>
      <c r="S20" s="17">
        <v>629390</v>
      </c>
      <c r="T20" s="17"/>
      <c r="U20" s="17"/>
      <c r="V20" s="17"/>
      <c r="W20" s="18"/>
      <c r="X20" s="17"/>
    </row>
    <row r="21" spans="1:24" s="7" customFormat="1" ht="9.75" x14ac:dyDescent="0.2">
      <c r="A21" s="15" t="s">
        <v>45</v>
      </c>
      <c r="B21" s="750" t="s">
        <v>46</v>
      </c>
      <c r="C21" s="750"/>
      <c r="D21" s="16" t="s">
        <v>16</v>
      </c>
      <c r="E21" s="17">
        <f t="shared" si="6"/>
        <v>71410</v>
      </c>
      <c r="F21" s="17">
        <f t="shared" si="6"/>
        <v>72840</v>
      </c>
      <c r="G21" s="17">
        <f t="shared" si="6"/>
        <v>54584</v>
      </c>
      <c r="H21" s="18">
        <f t="shared" si="0"/>
        <v>74.936847885777041</v>
      </c>
      <c r="I21" s="17">
        <f t="shared" si="6"/>
        <v>50342</v>
      </c>
      <c r="J21" s="44">
        <v>25000</v>
      </c>
      <c r="K21" s="17">
        <v>25000</v>
      </c>
      <c r="L21" s="17">
        <v>9794</v>
      </c>
      <c r="M21" s="18">
        <f t="shared" si="2"/>
        <v>39.176000000000002</v>
      </c>
      <c r="N21" s="17">
        <v>10175</v>
      </c>
      <c r="O21" s="17">
        <v>46410</v>
      </c>
      <c r="P21" s="17">
        <v>47840</v>
      </c>
      <c r="Q21" s="17">
        <v>44790</v>
      </c>
      <c r="R21" s="18">
        <f t="shared" si="3"/>
        <v>93.624581939799327</v>
      </c>
      <c r="S21" s="17">
        <v>40167</v>
      </c>
      <c r="T21" s="17"/>
      <c r="U21" s="17"/>
      <c r="V21" s="17"/>
      <c r="W21" s="18"/>
      <c r="X21" s="17"/>
    </row>
    <row r="22" spans="1:24" s="7" customFormat="1" ht="9.75" x14ac:dyDescent="0.2">
      <c r="A22" s="15" t="s">
        <v>47</v>
      </c>
      <c r="B22" s="750" t="s">
        <v>48</v>
      </c>
      <c r="C22" s="750"/>
      <c r="D22" s="16" t="s">
        <v>16</v>
      </c>
      <c r="E22" s="17">
        <f t="shared" si="6"/>
        <v>0</v>
      </c>
      <c r="F22" s="17">
        <f t="shared" si="6"/>
        <v>0</v>
      </c>
      <c r="G22" s="17">
        <f t="shared" si="6"/>
        <v>0</v>
      </c>
      <c r="H22" s="18"/>
      <c r="I22" s="17">
        <f t="shared" si="6"/>
        <v>0</v>
      </c>
      <c r="J22" s="44"/>
      <c r="K22" s="17"/>
      <c r="L22" s="17"/>
      <c r="M22" s="18"/>
      <c r="N22" s="17"/>
      <c r="O22" s="17"/>
      <c r="P22" s="17"/>
      <c r="Q22" s="17"/>
      <c r="R22" s="18"/>
      <c r="S22" s="17"/>
      <c r="T22" s="17"/>
      <c r="U22" s="17"/>
      <c r="V22" s="17"/>
      <c r="W22" s="18"/>
      <c r="X22" s="17"/>
    </row>
    <row r="23" spans="1:24" s="7" customFormat="1" ht="9.75" x14ac:dyDescent="0.2">
      <c r="A23" s="15" t="s">
        <v>49</v>
      </c>
      <c r="B23" s="21" t="s">
        <v>50</v>
      </c>
      <c r="C23" s="21"/>
      <c r="D23" s="16" t="s">
        <v>16</v>
      </c>
      <c r="E23" s="17">
        <f t="shared" si="6"/>
        <v>0</v>
      </c>
      <c r="F23" s="17">
        <f t="shared" si="6"/>
        <v>0</v>
      </c>
      <c r="G23" s="17">
        <f t="shared" si="6"/>
        <v>0</v>
      </c>
      <c r="H23" s="18"/>
      <c r="I23" s="17">
        <f t="shared" si="6"/>
        <v>0</v>
      </c>
      <c r="J23" s="44"/>
      <c r="K23" s="17"/>
      <c r="L23" s="17"/>
      <c r="M23" s="18"/>
      <c r="N23" s="17"/>
      <c r="O23" s="17"/>
      <c r="P23" s="17"/>
      <c r="Q23" s="17"/>
      <c r="R23" s="18"/>
      <c r="S23" s="17"/>
      <c r="T23" s="17"/>
      <c r="U23" s="17"/>
      <c r="V23" s="17"/>
      <c r="W23" s="18"/>
      <c r="X23" s="17"/>
    </row>
    <row r="24" spans="1:24" s="7" customFormat="1" ht="9.75" x14ac:dyDescent="0.2">
      <c r="A24" s="15" t="s">
        <v>51</v>
      </c>
      <c r="B24" s="21" t="s">
        <v>52</v>
      </c>
      <c r="C24" s="21"/>
      <c r="D24" s="16" t="s">
        <v>16</v>
      </c>
      <c r="E24" s="17">
        <f t="shared" si="6"/>
        <v>0</v>
      </c>
      <c r="F24" s="17">
        <f t="shared" si="6"/>
        <v>0</v>
      </c>
      <c r="G24" s="17">
        <f t="shared" si="6"/>
        <v>0</v>
      </c>
      <c r="H24" s="18"/>
      <c r="I24" s="17">
        <f t="shared" si="6"/>
        <v>0</v>
      </c>
      <c r="J24" s="44"/>
      <c r="K24" s="17"/>
      <c r="L24" s="17"/>
      <c r="M24" s="18"/>
      <c r="N24" s="17"/>
      <c r="O24" s="17"/>
      <c r="P24" s="17"/>
      <c r="Q24" s="17"/>
      <c r="R24" s="18"/>
      <c r="S24" s="17"/>
      <c r="T24" s="17"/>
      <c r="U24" s="17"/>
      <c r="V24" s="17"/>
      <c r="W24" s="18"/>
      <c r="X24" s="17"/>
    </row>
    <row r="25" spans="1:24" s="7" customFormat="1" ht="9.75" x14ac:dyDescent="0.2">
      <c r="A25" s="15" t="s">
        <v>53</v>
      </c>
      <c r="B25" s="21" t="s">
        <v>54</v>
      </c>
      <c r="C25" s="21"/>
      <c r="D25" s="16" t="s">
        <v>16</v>
      </c>
      <c r="E25" s="17">
        <f t="shared" si="6"/>
        <v>0</v>
      </c>
      <c r="F25" s="17">
        <f t="shared" si="6"/>
        <v>0</v>
      </c>
      <c r="G25" s="17">
        <f t="shared" si="6"/>
        <v>0</v>
      </c>
      <c r="H25" s="18"/>
      <c r="I25" s="17">
        <f t="shared" si="6"/>
        <v>0</v>
      </c>
      <c r="J25" s="44"/>
      <c r="K25" s="25"/>
      <c r="L25" s="25"/>
      <c r="M25" s="18"/>
      <c r="N25" s="26"/>
      <c r="O25" s="25"/>
      <c r="P25" s="25"/>
      <c r="Q25" s="25"/>
      <c r="R25" s="18"/>
      <c r="S25" s="25"/>
      <c r="T25" s="25"/>
      <c r="U25" s="25"/>
      <c r="V25" s="25"/>
      <c r="W25" s="18"/>
      <c r="X25" s="25"/>
    </row>
    <row r="26" spans="1:24" s="30" customFormat="1" ht="9.75" x14ac:dyDescent="0.2">
      <c r="A26" s="15" t="s">
        <v>55</v>
      </c>
      <c r="B26" s="750" t="s">
        <v>56</v>
      </c>
      <c r="C26" s="750"/>
      <c r="D26" s="16" t="s">
        <v>16</v>
      </c>
      <c r="E26" s="17">
        <f t="shared" si="6"/>
        <v>130728</v>
      </c>
      <c r="F26" s="17">
        <f t="shared" si="6"/>
        <v>130728</v>
      </c>
      <c r="G26" s="17">
        <f t="shared" si="6"/>
        <v>65364</v>
      </c>
      <c r="H26" s="29">
        <f>G26/F26*100</f>
        <v>50</v>
      </c>
      <c r="I26" s="17">
        <f>SUM(N26,S26)</f>
        <v>65364</v>
      </c>
      <c r="J26" s="44">
        <v>130728</v>
      </c>
      <c r="K26" s="26">
        <v>130728</v>
      </c>
      <c r="L26" s="26">
        <v>65364</v>
      </c>
      <c r="M26" s="18">
        <f>L26/K26*100</f>
        <v>50</v>
      </c>
      <c r="N26" s="26">
        <v>65364</v>
      </c>
      <c r="O26" s="26"/>
      <c r="P26" s="26"/>
      <c r="Q26" s="26"/>
      <c r="R26" s="18"/>
      <c r="S26" s="26"/>
      <c r="T26" s="46"/>
      <c r="U26" s="46"/>
      <c r="V26" s="46"/>
      <c r="W26" s="18"/>
      <c r="X26" s="46"/>
    </row>
    <row r="27" spans="1:24" s="30" customFormat="1" ht="9.75" x14ac:dyDescent="0.2">
      <c r="A27" s="15" t="s">
        <v>57</v>
      </c>
      <c r="B27" s="21" t="s">
        <v>58</v>
      </c>
      <c r="C27" s="21"/>
      <c r="D27" s="16" t="s">
        <v>16</v>
      </c>
      <c r="E27" s="17">
        <f t="shared" si="6"/>
        <v>0</v>
      </c>
      <c r="F27" s="17">
        <f t="shared" si="6"/>
        <v>0</v>
      </c>
      <c r="G27" s="17">
        <f t="shared" si="6"/>
        <v>0</v>
      </c>
      <c r="H27" s="29"/>
      <c r="I27" s="17">
        <f t="shared" si="6"/>
        <v>0</v>
      </c>
      <c r="J27" s="44"/>
      <c r="K27" s="26"/>
      <c r="L27" s="26"/>
      <c r="M27" s="18"/>
      <c r="N27" s="17"/>
      <c r="O27" s="26"/>
      <c r="P27" s="26"/>
      <c r="Q27" s="26"/>
      <c r="R27" s="18"/>
      <c r="S27" s="26"/>
      <c r="T27" s="46"/>
      <c r="U27" s="46"/>
      <c r="V27" s="46"/>
      <c r="W27" s="18"/>
      <c r="X27" s="46"/>
    </row>
    <row r="28" spans="1:24" s="30" customFormat="1" ht="9.75" x14ac:dyDescent="0.2">
      <c r="A28" s="15" t="s">
        <v>59</v>
      </c>
      <c r="B28" s="21" t="s">
        <v>60</v>
      </c>
      <c r="C28" s="21"/>
      <c r="D28" s="16" t="s">
        <v>16</v>
      </c>
      <c r="E28" s="17">
        <f>SUM(J28,O28)</f>
        <v>199000</v>
      </c>
      <c r="F28" s="17">
        <f>SUM(K28,P28)</f>
        <v>199000</v>
      </c>
      <c r="G28" s="17">
        <f>SUM(L28,Q28)</f>
        <v>125160</v>
      </c>
      <c r="H28" s="29">
        <f>G28/F28*100</f>
        <v>62.894472361809051</v>
      </c>
      <c r="I28" s="17">
        <f>SUM(N28,S28)</f>
        <v>146276</v>
      </c>
      <c r="J28" s="44">
        <v>199000</v>
      </c>
      <c r="K28" s="26">
        <v>199000</v>
      </c>
      <c r="L28" s="26">
        <v>125160</v>
      </c>
      <c r="M28" s="18">
        <f>L28/K28*100</f>
        <v>62.894472361809051</v>
      </c>
      <c r="N28" s="17">
        <v>146276</v>
      </c>
      <c r="O28" s="26"/>
      <c r="P28" s="26"/>
      <c r="Q28" s="26"/>
      <c r="R28" s="18"/>
      <c r="S28" s="26"/>
      <c r="T28" s="46">
        <v>10000</v>
      </c>
      <c r="U28" s="46">
        <v>10000</v>
      </c>
      <c r="V28" s="46">
        <v>0</v>
      </c>
      <c r="W28" s="18">
        <f>V28/U28*100</f>
        <v>0</v>
      </c>
      <c r="X28" s="46"/>
    </row>
    <row r="29" spans="1:24" s="31" customFormat="1" ht="9.75" x14ac:dyDescent="0.2">
      <c r="A29" s="15" t="s">
        <v>61</v>
      </c>
      <c r="B29" s="21" t="s">
        <v>62</v>
      </c>
      <c r="C29" s="21"/>
      <c r="D29" s="16" t="s">
        <v>16</v>
      </c>
      <c r="E29" s="17">
        <f t="shared" si="6"/>
        <v>3000</v>
      </c>
      <c r="F29" s="17">
        <f t="shared" si="6"/>
        <v>3000</v>
      </c>
      <c r="G29" s="17">
        <f t="shared" si="6"/>
        <v>2870</v>
      </c>
      <c r="H29" s="29">
        <f t="shared" si="0"/>
        <v>95.666666666666671</v>
      </c>
      <c r="I29" s="17">
        <f t="shared" si="6"/>
        <v>6824.75</v>
      </c>
      <c r="J29" s="44">
        <v>3000</v>
      </c>
      <c r="K29" s="26">
        <v>3000</v>
      </c>
      <c r="L29" s="26">
        <v>2870</v>
      </c>
      <c r="M29" s="18">
        <f t="shared" si="2"/>
        <v>95.666666666666671</v>
      </c>
      <c r="N29" s="26">
        <v>6824.75</v>
      </c>
      <c r="O29" s="26"/>
      <c r="P29" s="26"/>
      <c r="Q29" s="26"/>
      <c r="R29" s="18"/>
      <c r="S29" s="26"/>
      <c r="T29" s="46"/>
      <c r="U29" s="46"/>
      <c r="V29" s="46"/>
      <c r="W29" s="18"/>
      <c r="X29" s="46"/>
    </row>
    <row r="30" spans="1:24" s="7" customFormat="1" ht="9.75" x14ac:dyDescent="0.2">
      <c r="A30" s="15" t="s">
        <v>63</v>
      </c>
      <c r="B30" s="21" t="s">
        <v>64</v>
      </c>
      <c r="C30" s="21"/>
      <c r="D30" s="16" t="s">
        <v>16</v>
      </c>
      <c r="E30" s="17">
        <f t="shared" ref="E30:G31" si="7">SUM(J30,O30)</f>
        <v>0</v>
      </c>
      <c r="F30" s="17">
        <f t="shared" si="7"/>
        <v>0</v>
      </c>
      <c r="G30" s="17">
        <f t="shared" si="7"/>
        <v>0</v>
      </c>
      <c r="H30" s="29"/>
      <c r="I30" s="17">
        <f>SUM(N30,S30)</f>
        <v>0</v>
      </c>
      <c r="J30" s="44"/>
      <c r="K30" s="26"/>
      <c r="L30" s="26"/>
      <c r="M30" s="18"/>
      <c r="N30" s="26"/>
      <c r="O30" s="26"/>
      <c r="P30" s="26"/>
      <c r="Q30" s="26"/>
      <c r="R30" s="18"/>
      <c r="S30" s="26"/>
      <c r="T30" s="46"/>
      <c r="U30" s="46"/>
      <c r="V30" s="46"/>
      <c r="W30" s="18"/>
      <c r="X30" s="46"/>
    </row>
    <row r="31" spans="1:24" s="34" customFormat="1" ht="9.75" x14ac:dyDescent="0.2">
      <c r="A31" s="15" t="s">
        <v>65</v>
      </c>
      <c r="B31" s="21" t="s">
        <v>66</v>
      </c>
      <c r="C31" s="21"/>
      <c r="D31" s="16" t="s">
        <v>16</v>
      </c>
      <c r="E31" s="17">
        <f t="shared" si="7"/>
        <v>0</v>
      </c>
      <c r="F31" s="17">
        <f t="shared" si="7"/>
        <v>0</v>
      </c>
      <c r="G31" s="17">
        <f t="shared" si="7"/>
        <v>0</v>
      </c>
      <c r="H31" s="29"/>
      <c r="I31" s="17">
        <f>SUM(N31,S31)</f>
        <v>0</v>
      </c>
      <c r="J31" s="44"/>
      <c r="K31" s="32"/>
      <c r="L31" s="32"/>
      <c r="M31" s="18"/>
      <c r="N31" s="32"/>
      <c r="O31" s="32"/>
      <c r="P31" s="32"/>
      <c r="Q31" s="32"/>
      <c r="R31" s="18"/>
      <c r="S31" s="32"/>
      <c r="T31" s="33"/>
      <c r="U31" s="33"/>
      <c r="V31" s="33"/>
      <c r="W31" s="18"/>
      <c r="X31" s="33"/>
    </row>
    <row r="32" spans="1:24" s="34" customFormat="1" ht="9.75" x14ac:dyDescent="0.2">
      <c r="A32" s="15" t="s">
        <v>67</v>
      </c>
      <c r="B32" s="21" t="s">
        <v>68</v>
      </c>
      <c r="C32" s="21"/>
      <c r="D32" s="16" t="s">
        <v>16</v>
      </c>
      <c r="E32" s="17">
        <f>SUM(J32,O32)</f>
        <v>0</v>
      </c>
      <c r="F32" s="17">
        <f>SUM(K32,P32)</f>
        <v>0</v>
      </c>
      <c r="G32" s="17">
        <f>SUM(L32,Q32)</f>
        <v>0</v>
      </c>
      <c r="H32" s="29"/>
      <c r="I32" s="17">
        <f>SUM(N32,S32)</f>
        <v>0</v>
      </c>
      <c r="J32" s="47"/>
      <c r="K32" s="33"/>
      <c r="L32" s="33"/>
      <c r="M32" s="18"/>
      <c r="N32" s="33"/>
      <c r="O32" s="33"/>
      <c r="P32" s="33"/>
      <c r="Q32" s="33"/>
      <c r="R32" s="18"/>
      <c r="S32" s="33"/>
      <c r="T32" s="33"/>
      <c r="U32" s="33"/>
      <c r="V32" s="33"/>
      <c r="W32" s="18"/>
      <c r="X32" s="33"/>
    </row>
    <row r="33" spans="1:24" s="34" customFormat="1" ht="9.75" x14ac:dyDescent="0.2">
      <c r="A33" s="11" t="s">
        <v>69</v>
      </c>
      <c r="B33" s="35" t="s">
        <v>70</v>
      </c>
      <c r="C33" s="35"/>
      <c r="D33" s="12" t="s">
        <v>16</v>
      </c>
      <c r="E33" s="13">
        <f>E6-E11</f>
        <v>0</v>
      </c>
      <c r="F33" s="13">
        <f>F6-F11</f>
        <v>0</v>
      </c>
      <c r="G33" s="13">
        <f>G6-G11</f>
        <v>53113.169999999925</v>
      </c>
      <c r="H33" s="36"/>
      <c r="I33" s="13">
        <f>I6-I11</f>
        <v>273030.20999999996</v>
      </c>
      <c r="J33" s="13">
        <f>J6-J11</f>
        <v>0</v>
      </c>
      <c r="K33" s="13">
        <f>K6-K11</f>
        <v>0</v>
      </c>
      <c r="L33" s="13">
        <f>L6-L11</f>
        <v>53113.170000000042</v>
      </c>
      <c r="M33" s="14"/>
      <c r="N33" s="13">
        <f>N6-N11</f>
        <v>273030.21000000008</v>
      </c>
      <c r="O33" s="13">
        <f>O6-O11</f>
        <v>0</v>
      </c>
      <c r="P33" s="13">
        <f>P6-P11</f>
        <v>0</v>
      </c>
      <c r="Q33" s="13">
        <f>Q6-Q11</f>
        <v>0</v>
      </c>
      <c r="R33" s="14">
        <v>0</v>
      </c>
      <c r="S33" s="13">
        <f>S6-S11</f>
        <v>0</v>
      </c>
      <c r="T33" s="13">
        <f>T6-T11</f>
        <v>5000</v>
      </c>
      <c r="U33" s="13">
        <f>U6-U11</f>
        <v>5000</v>
      </c>
      <c r="V33" s="13">
        <f>V6-V11</f>
        <v>0</v>
      </c>
      <c r="W33" s="14">
        <f t="shared" si="4"/>
        <v>0</v>
      </c>
      <c r="X33" s="13">
        <f>X6-X11</f>
        <v>0</v>
      </c>
    </row>
    <row r="34" spans="1:24" s="1" customFormat="1" ht="9.75" x14ac:dyDescent="0.2">
      <c r="A34" s="37" t="s">
        <v>71</v>
      </c>
      <c r="B34" s="749" t="s">
        <v>72</v>
      </c>
      <c r="C34" s="749"/>
      <c r="D34" s="38" t="s">
        <v>16</v>
      </c>
      <c r="E34" s="48">
        <v>25712</v>
      </c>
      <c r="F34" s="48">
        <v>25701</v>
      </c>
      <c r="G34" s="48">
        <v>26007</v>
      </c>
      <c r="H34" s="29">
        <f t="shared" si="0"/>
        <v>101.19061515116144</v>
      </c>
      <c r="I34" s="48">
        <v>22910</v>
      </c>
      <c r="J34" s="39"/>
      <c r="K34" s="39"/>
      <c r="L34" s="39"/>
      <c r="M34" s="14"/>
      <c r="N34" s="39"/>
      <c r="O34" s="39">
        <v>25712</v>
      </c>
      <c r="P34" s="39">
        <v>25701</v>
      </c>
      <c r="Q34" s="39">
        <v>26007</v>
      </c>
      <c r="R34" s="14">
        <f t="shared" si="3"/>
        <v>101.19061515116144</v>
      </c>
      <c r="S34" s="39">
        <v>22910</v>
      </c>
      <c r="T34" s="39"/>
      <c r="U34" s="39"/>
      <c r="V34" s="39"/>
      <c r="W34" s="14"/>
      <c r="X34" s="39"/>
    </row>
    <row r="35" spans="1:24" s="1" customFormat="1" ht="9.75" x14ac:dyDescent="0.2">
      <c r="A35" s="40" t="s">
        <v>73</v>
      </c>
      <c r="B35" s="751" t="s">
        <v>74</v>
      </c>
      <c r="C35" s="751"/>
      <c r="D35" s="40" t="s">
        <v>75</v>
      </c>
      <c r="E35" s="144">
        <v>14.41</v>
      </c>
      <c r="F35" s="144">
        <v>14.81</v>
      </c>
      <c r="G35" s="144">
        <v>13.91</v>
      </c>
      <c r="H35" s="29">
        <f t="shared" si="0"/>
        <v>93.923024983119504</v>
      </c>
      <c r="I35" s="144">
        <v>13.54</v>
      </c>
      <c r="J35" s="39"/>
      <c r="K35" s="51"/>
      <c r="L35" s="39"/>
      <c r="M35" s="14"/>
      <c r="N35" s="145"/>
      <c r="O35" s="145">
        <v>14.41</v>
      </c>
      <c r="P35" s="145">
        <v>14.81</v>
      </c>
      <c r="Q35" s="145">
        <v>13.91</v>
      </c>
      <c r="R35" s="14">
        <f t="shared" si="3"/>
        <v>93.923024983119504</v>
      </c>
      <c r="S35" s="145">
        <v>13.54</v>
      </c>
      <c r="T35" s="39"/>
      <c r="U35" s="39"/>
      <c r="V35" s="39"/>
      <c r="W35" s="14"/>
      <c r="X35" s="39"/>
    </row>
    <row r="36" spans="1:24" s="1" customFormat="1" ht="9.75" x14ac:dyDescent="0.2">
      <c r="A36" s="37" t="s">
        <v>76</v>
      </c>
      <c r="B36" s="749" t="s">
        <v>77</v>
      </c>
      <c r="C36" s="749"/>
      <c r="D36" s="38" t="s">
        <v>75</v>
      </c>
      <c r="E36" s="48">
        <v>16</v>
      </c>
      <c r="F36" s="48">
        <v>16</v>
      </c>
      <c r="G36" s="48">
        <v>16</v>
      </c>
      <c r="H36" s="29">
        <f t="shared" si="0"/>
        <v>100</v>
      </c>
      <c r="I36" s="48">
        <v>16</v>
      </c>
      <c r="J36" s="39"/>
      <c r="K36" s="39"/>
      <c r="L36" s="39"/>
      <c r="M36" s="14"/>
      <c r="N36" s="39"/>
      <c r="O36" s="39">
        <v>16</v>
      </c>
      <c r="P36" s="39">
        <v>16</v>
      </c>
      <c r="Q36" s="39">
        <v>16</v>
      </c>
      <c r="R36" s="14">
        <f t="shared" si="3"/>
        <v>100</v>
      </c>
      <c r="S36" s="39">
        <v>16</v>
      </c>
      <c r="T36" s="39"/>
      <c r="U36" s="39"/>
      <c r="V36" s="39"/>
      <c r="W36" s="14"/>
      <c r="X36" s="39"/>
    </row>
  </sheetData>
  <mergeCells count="38">
    <mergeCell ref="A1:X1"/>
    <mergeCell ref="A3:A5"/>
    <mergeCell ref="B3:C5"/>
    <mergeCell ref="D3:D5"/>
    <mergeCell ref="E3:I3"/>
    <mergeCell ref="J3:N3"/>
    <mergeCell ref="O3:S3"/>
    <mergeCell ref="T3:X3"/>
    <mergeCell ref="E4:E5"/>
    <mergeCell ref="F4:H4"/>
    <mergeCell ref="I4:I5"/>
    <mergeCell ref="J4:J5"/>
    <mergeCell ref="X4:X5"/>
    <mergeCell ref="B6:C6"/>
    <mergeCell ref="O4:O5"/>
    <mergeCell ref="P4:R4"/>
    <mergeCell ref="B12:C12"/>
    <mergeCell ref="K4:M4"/>
    <mergeCell ref="N4:N5"/>
    <mergeCell ref="S4:S5"/>
    <mergeCell ref="T4:T5"/>
    <mergeCell ref="U4:W4"/>
    <mergeCell ref="B8:C8"/>
    <mergeCell ref="B10:C10"/>
    <mergeCell ref="B11:C11"/>
    <mergeCell ref="B7:C7"/>
    <mergeCell ref="B13:C13"/>
    <mergeCell ref="B26:C26"/>
    <mergeCell ref="B34:C34"/>
    <mergeCell ref="B35:C35"/>
    <mergeCell ref="B15:C15"/>
    <mergeCell ref="B36:C36"/>
    <mergeCell ref="B16:C16"/>
    <mergeCell ref="B18:C18"/>
    <mergeCell ref="B19:C19"/>
    <mergeCell ref="B20:C20"/>
    <mergeCell ref="B21:C21"/>
    <mergeCell ref="B22:C22"/>
  </mergeCells>
  <pageMargins left="0.70866141732283472" right="0.70866141732283472" top="0.78740157480314965" bottom="0.78740157480314965" header="0.31496062992125984" footer="0.31496062992125984"/>
  <pageSetup paperSize="9" scale="85" firstPageNumber="101" orientation="landscape" useFirstPageNumber="1" r:id="rId1"/>
  <headerFoot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topLeftCell="A46" workbookViewId="0">
      <selection activeCell="C51" sqref="C51"/>
    </sheetView>
  </sheetViews>
  <sheetFormatPr defaultRowHeight="12.75" x14ac:dyDescent="0.2"/>
  <cols>
    <col min="1" max="1" width="33.140625" style="4" customWidth="1"/>
    <col min="2" max="2" width="19.140625" style="4" customWidth="1"/>
    <col min="3" max="5" width="14.7109375" style="4" customWidth="1"/>
    <col min="6" max="7" width="13" style="4" customWidth="1"/>
    <col min="8" max="8" width="18.42578125" style="4" customWidth="1"/>
    <col min="9" max="16384" width="9.140625" style="4"/>
  </cols>
  <sheetData>
    <row r="1" spans="1:9" s="168" customFormat="1" ht="18.75" x14ac:dyDescent="0.3">
      <c r="A1" s="818" t="s">
        <v>264</v>
      </c>
      <c r="B1" s="818"/>
      <c r="C1" s="818"/>
      <c r="D1" s="818"/>
      <c r="E1" s="818"/>
      <c r="F1" s="818"/>
      <c r="G1" s="818"/>
      <c r="H1" s="818"/>
      <c r="I1" s="818"/>
    </row>
    <row r="3" spans="1:9" s="169" customFormat="1" ht="10.5" x14ac:dyDescent="0.15">
      <c r="A3" s="781" t="s">
        <v>99</v>
      </c>
      <c r="B3" s="781"/>
      <c r="C3" s="781"/>
      <c r="D3" s="781"/>
      <c r="E3" s="781"/>
      <c r="F3" s="781"/>
      <c r="G3" s="781"/>
      <c r="H3" s="781"/>
      <c r="I3" s="781"/>
    </row>
    <row r="4" spans="1:9" s="170" customFormat="1" ht="11.25" x14ac:dyDescent="0.2"/>
    <row r="5" spans="1:9" s="172" customFormat="1" ht="9.75" x14ac:dyDescent="0.2">
      <c r="A5" s="819" t="s">
        <v>100</v>
      </c>
      <c r="B5" s="820"/>
      <c r="C5" s="171" t="s">
        <v>16</v>
      </c>
      <c r="D5" s="805" t="s">
        <v>101</v>
      </c>
      <c r="E5" s="805"/>
      <c r="F5" s="805"/>
      <c r="G5" s="805"/>
      <c r="H5" s="805"/>
      <c r="I5" s="805"/>
    </row>
    <row r="6" spans="1:9" s="170" customFormat="1" ht="45" customHeight="1" x14ac:dyDescent="0.2">
      <c r="A6" s="821" t="s">
        <v>102</v>
      </c>
      <c r="B6" s="822"/>
      <c r="C6" s="173">
        <v>53113.34</v>
      </c>
      <c r="D6" s="893" t="s">
        <v>247</v>
      </c>
      <c r="E6" s="894"/>
      <c r="F6" s="894"/>
      <c r="G6" s="894"/>
      <c r="H6" s="894"/>
      <c r="I6" s="895"/>
    </row>
    <row r="7" spans="1:9" s="174" customFormat="1" ht="19.5" customHeight="1" x14ac:dyDescent="0.15">
      <c r="A7" s="821" t="s">
        <v>103</v>
      </c>
      <c r="B7" s="822"/>
      <c r="C7" s="173">
        <v>0</v>
      </c>
      <c r="D7" s="826" t="s">
        <v>248</v>
      </c>
      <c r="E7" s="827"/>
      <c r="F7" s="827"/>
      <c r="G7" s="827"/>
      <c r="H7" s="827"/>
      <c r="I7" s="828"/>
    </row>
    <row r="8" spans="1:9" s="174" customFormat="1" ht="15" customHeight="1" x14ac:dyDescent="0.15">
      <c r="A8" s="829" t="s">
        <v>105</v>
      </c>
      <c r="B8" s="830"/>
      <c r="C8" s="175">
        <v>0</v>
      </c>
      <c r="D8" s="831"/>
      <c r="E8" s="832"/>
      <c r="F8" s="832"/>
      <c r="G8" s="832"/>
      <c r="H8" s="832"/>
      <c r="I8" s="833"/>
    </row>
    <row r="9" spans="1:9" s="170" customFormat="1" ht="11.25" x14ac:dyDescent="0.2">
      <c r="C9" s="176"/>
    </row>
    <row r="10" spans="1:9" s="177" customFormat="1" ht="11.25" x14ac:dyDescent="0.2">
      <c r="A10" s="781" t="s">
        <v>106</v>
      </c>
      <c r="B10" s="781"/>
      <c r="C10" s="781"/>
      <c r="D10" s="781"/>
      <c r="E10" s="781"/>
      <c r="F10" s="781"/>
      <c r="G10" s="781"/>
      <c r="H10" s="781"/>
      <c r="I10" s="781"/>
    </row>
    <row r="11" spans="1:9" s="170" customFormat="1" ht="12" thickBot="1" x14ac:dyDescent="0.25">
      <c r="C11" s="176"/>
    </row>
    <row r="12" spans="1:9" s="181" customFormat="1" ht="21" x14ac:dyDescent="0.15">
      <c r="A12" s="178" t="s">
        <v>107</v>
      </c>
      <c r="B12" s="178" t="s">
        <v>108</v>
      </c>
      <c r="C12" s="179" t="s">
        <v>109</v>
      </c>
      <c r="D12" s="180" t="s">
        <v>110</v>
      </c>
      <c r="E12" s="179" t="s">
        <v>111</v>
      </c>
      <c r="F12" s="814" t="s">
        <v>112</v>
      </c>
      <c r="G12" s="815"/>
      <c r="H12" s="816" t="s">
        <v>113</v>
      </c>
      <c r="I12" s="817"/>
    </row>
    <row r="13" spans="1:9" s="181" customFormat="1" ht="34.5" customHeight="1" x14ac:dyDescent="0.15">
      <c r="A13" s="182" t="s">
        <v>114</v>
      </c>
      <c r="B13" s="183">
        <v>38141.839999999997</v>
      </c>
      <c r="C13" s="184">
        <v>23168.43</v>
      </c>
      <c r="D13" s="185">
        <v>162</v>
      </c>
      <c r="E13" s="184">
        <f>B13+C13-D13</f>
        <v>61148.27</v>
      </c>
      <c r="F13" s="809">
        <v>61148.27</v>
      </c>
      <c r="G13" s="809"/>
      <c r="H13" s="890" t="s">
        <v>249</v>
      </c>
      <c r="I13" s="891"/>
    </row>
    <row r="14" spans="1:9" s="181" customFormat="1" ht="43.5" customHeight="1" x14ac:dyDescent="0.15">
      <c r="A14" s="182" t="s">
        <v>115</v>
      </c>
      <c r="B14" s="183">
        <v>267539.23</v>
      </c>
      <c r="C14" s="184">
        <v>5000</v>
      </c>
      <c r="D14" s="185">
        <v>89938.78</v>
      </c>
      <c r="E14" s="184">
        <f t="shared" ref="E14:E17" si="0">B14+C14-D14</f>
        <v>182600.44999999998</v>
      </c>
      <c r="F14" s="810">
        <v>182600.45</v>
      </c>
      <c r="G14" s="811"/>
      <c r="H14" s="890" t="s">
        <v>250</v>
      </c>
      <c r="I14" s="892"/>
    </row>
    <row r="15" spans="1:9" s="181" customFormat="1" ht="36" customHeight="1" x14ac:dyDescent="0.15">
      <c r="A15" s="186" t="s">
        <v>116</v>
      </c>
      <c r="B15" s="187">
        <v>9511</v>
      </c>
      <c r="C15" s="188">
        <v>65526</v>
      </c>
      <c r="D15" s="189">
        <v>61794</v>
      </c>
      <c r="E15" s="184">
        <f t="shared" si="0"/>
        <v>13243</v>
      </c>
      <c r="F15" s="813">
        <v>13243</v>
      </c>
      <c r="G15" s="813"/>
      <c r="H15" s="890" t="s">
        <v>251</v>
      </c>
      <c r="I15" s="891"/>
    </row>
    <row r="16" spans="1:9" s="181" customFormat="1" ht="35.25" customHeight="1" x14ac:dyDescent="0.15">
      <c r="A16" s="190" t="s">
        <v>117</v>
      </c>
      <c r="B16" s="191">
        <v>50640</v>
      </c>
      <c r="C16" s="192">
        <v>2360</v>
      </c>
      <c r="D16" s="193">
        <v>0</v>
      </c>
      <c r="E16" s="184">
        <f t="shared" si="0"/>
        <v>53000</v>
      </c>
      <c r="F16" s="800">
        <v>53000</v>
      </c>
      <c r="G16" s="800"/>
      <c r="H16" s="890" t="s">
        <v>252</v>
      </c>
      <c r="I16" s="891"/>
    </row>
    <row r="17" spans="1:9" s="181" customFormat="1" ht="28.5" customHeight="1" x14ac:dyDescent="0.15">
      <c r="A17" s="194" t="s">
        <v>118</v>
      </c>
      <c r="B17" s="195">
        <v>46880.02</v>
      </c>
      <c r="C17" s="196">
        <v>43412</v>
      </c>
      <c r="D17" s="197">
        <v>14108</v>
      </c>
      <c r="E17" s="184">
        <f t="shared" si="0"/>
        <v>76184.01999999999</v>
      </c>
      <c r="F17" s="803">
        <v>69520.34</v>
      </c>
      <c r="G17" s="803"/>
      <c r="H17" s="890" t="s">
        <v>253</v>
      </c>
      <c r="I17" s="891"/>
    </row>
    <row r="18" spans="1:9" s="181" customFormat="1" thickBot="1" x14ac:dyDescent="0.2">
      <c r="A18" s="198" t="s">
        <v>120</v>
      </c>
      <c r="B18" s="199">
        <f>SUM(B13:B17)</f>
        <v>412712.08999999997</v>
      </c>
      <c r="C18" s="200">
        <f>SUM(C13:C17)</f>
        <v>139466.43</v>
      </c>
      <c r="D18" s="201">
        <f>SUM(D13:D17)</f>
        <v>166002.78</v>
      </c>
      <c r="E18" s="200">
        <f>SUM(E13:E17)</f>
        <v>386175.74</v>
      </c>
      <c r="F18" s="804">
        <f>SUM(F13:G17)</f>
        <v>379512.05999999994</v>
      </c>
      <c r="G18" s="804"/>
      <c r="H18" s="202"/>
      <c r="I18" s="203"/>
    </row>
    <row r="19" spans="1:9" s="204" customFormat="1" ht="11.25" x14ac:dyDescent="0.2">
      <c r="C19" s="205"/>
    </row>
    <row r="20" spans="1:9" s="177" customFormat="1" ht="11.25" x14ac:dyDescent="0.2">
      <c r="A20" s="781" t="s">
        <v>121</v>
      </c>
      <c r="B20" s="781"/>
      <c r="C20" s="781"/>
      <c r="D20" s="781"/>
      <c r="E20" s="781"/>
      <c r="F20" s="781"/>
      <c r="G20" s="781"/>
      <c r="H20" s="781"/>
      <c r="I20" s="781"/>
    </row>
    <row r="21" spans="1:9" s="170" customFormat="1" ht="24" customHeight="1" x14ac:dyDescent="0.2">
      <c r="A21" s="174" t="s">
        <v>254</v>
      </c>
      <c r="C21" s="176"/>
    </row>
    <row r="22" spans="1:9" s="170" customFormat="1" ht="11.25" x14ac:dyDescent="0.2">
      <c r="A22" s="171"/>
      <c r="B22" s="171"/>
      <c r="C22" s="206"/>
      <c r="D22" s="805"/>
      <c r="E22" s="805"/>
      <c r="F22" s="805"/>
      <c r="G22" s="805"/>
      <c r="H22" s="805"/>
      <c r="I22" s="805"/>
    </row>
    <row r="23" spans="1:9" s="174" customFormat="1" ht="11.25" x14ac:dyDescent="0.2">
      <c r="A23" s="210"/>
      <c r="B23" s="211"/>
      <c r="C23" s="806"/>
      <c r="D23" s="806"/>
      <c r="E23" s="806"/>
      <c r="F23" s="806"/>
      <c r="G23" s="806"/>
      <c r="H23" s="806"/>
      <c r="I23" s="807"/>
    </row>
    <row r="24" spans="1:9" s="204" customFormat="1" ht="11.25" x14ac:dyDescent="0.2">
      <c r="C24" s="205"/>
    </row>
    <row r="25" spans="1:9" s="204" customFormat="1" ht="11.25" x14ac:dyDescent="0.2">
      <c r="C25" s="205"/>
    </row>
    <row r="26" spans="1:9" s="177" customFormat="1" ht="18.75" customHeight="1" x14ac:dyDescent="0.2">
      <c r="A26" s="781" t="s">
        <v>126</v>
      </c>
      <c r="B26" s="781"/>
      <c r="C26" s="781"/>
      <c r="D26" s="781"/>
      <c r="E26" s="781"/>
      <c r="F26" s="781"/>
      <c r="G26" s="781"/>
      <c r="H26" s="781"/>
      <c r="I26" s="781"/>
    </row>
    <row r="27" spans="1:9" s="170" customFormat="1" ht="27" customHeight="1" x14ac:dyDescent="0.2">
      <c r="A27" s="174" t="s">
        <v>255</v>
      </c>
      <c r="C27" s="176"/>
    </row>
    <row r="28" spans="1:9" s="170" customFormat="1" ht="11.25" x14ac:dyDescent="0.2">
      <c r="A28" s="171"/>
      <c r="B28" s="171"/>
      <c r="C28" s="206"/>
      <c r="D28" s="805"/>
      <c r="E28" s="805"/>
      <c r="F28" s="805"/>
      <c r="G28" s="805"/>
      <c r="H28" s="805"/>
      <c r="I28" s="808"/>
    </row>
    <row r="29" spans="1:9" s="174" customFormat="1" ht="10.5" x14ac:dyDescent="0.15">
      <c r="A29" s="210"/>
      <c r="B29" s="211"/>
      <c r="C29" s="784"/>
      <c r="D29" s="784"/>
      <c r="E29" s="784"/>
      <c r="F29" s="784"/>
      <c r="G29" s="784"/>
      <c r="H29" s="784"/>
      <c r="I29" s="784"/>
    </row>
    <row r="30" spans="1:9" s="170" customFormat="1" ht="11.25" x14ac:dyDescent="0.2">
      <c r="C30" s="176"/>
    </row>
    <row r="31" spans="1:9" s="170" customFormat="1" ht="11.25" x14ac:dyDescent="0.2">
      <c r="C31" s="176"/>
    </row>
    <row r="32" spans="1:9" s="177" customFormat="1" ht="11.25" x14ac:dyDescent="0.2">
      <c r="A32" s="781" t="s">
        <v>129</v>
      </c>
      <c r="B32" s="781"/>
      <c r="C32" s="781"/>
      <c r="D32" s="781"/>
      <c r="E32" s="781"/>
      <c r="F32" s="781"/>
      <c r="G32" s="781"/>
      <c r="H32" s="781"/>
      <c r="I32" s="781"/>
    </row>
    <row r="33" spans="1:9" s="170" customFormat="1" ht="11.25" x14ac:dyDescent="0.2">
      <c r="C33" s="212"/>
    </row>
    <row r="34" spans="1:9" s="170" customFormat="1" ht="11.25" x14ac:dyDescent="0.2">
      <c r="A34" s="255" t="s">
        <v>130</v>
      </c>
      <c r="B34" s="256" t="s">
        <v>131</v>
      </c>
      <c r="C34" s="785" t="s">
        <v>132</v>
      </c>
      <c r="D34" s="785"/>
      <c r="E34" s="785"/>
      <c r="F34" s="785"/>
      <c r="G34" s="785"/>
      <c r="H34" s="785"/>
      <c r="I34" s="786"/>
    </row>
    <row r="35" spans="1:9" s="170" customFormat="1" ht="11.25" x14ac:dyDescent="0.2">
      <c r="A35" s="213">
        <v>5000</v>
      </c>
      <c r="B35" s="213">
        <v>0</v>
      </c>
      <c r="C35" s="787" t="s">
        <v>256</v>
      </c>
      <c r="D35" s="787"/>
      <c r="E35" s="787"/>
      <c r="F35" s="787"/>
      <c r="G35" s="787"/>
      <c r="H35" s="787"/>
      <c r="I35" s="787"/>
    </row>
    <row r="36" spans="1:9" s="174" customFormat="1" ht="10.5" x14ac:dyDescent="0.15">
      <c r="A36" s="214">
        <f>SUM(A35:A35)</f>
        <v>5000</v>
      </c>
      <c r="B36" s="214">
        <f>SUM(B35:B35)</f>
        <v>0</v>
      </c>
      <c r="C36" s="788" t="s">
        <v>120</v>
      </c>
      <c r="D36" s="789"/>
      <c r="E36" s="789"/>
      <c r="F36" s="789"/>
      <c r="G36" s="789"/>
      <c r="H36" s="789"/>
      <c r="I36" s="790"/>
    </row>
    <row r="37" spans="1:9" s="170" customFormat="1" ht="11.25" x14ac:dyDescent="0.2">
      <c r="C37" s="212"/>
    </row>
    <row r="38" spans="1:9" s="170" customFormat="1" ht="11.25" x14ac:dyDescent="0.2">
      <c r="C38" s="212"/>
    </row>
    <row r="39" spans="1:9" s="170" customFormat="1" ht="11.25" x14ac:dyDescent="0.2">
      <c r="A39" s="781" t="s">
        <v>177</v>
      </c>
      <c r="B39" s="766"/>
      <c r="C39" s="766"/>
      <c r="D39" s="766"/>
      <c r="E39" s="766"/>
      <c r="F39" s="766"/>
      <c r="G39" s="766"/>
      <c r="H39" s="766"/>
      <c r="I39" s="766"/>
    </row>
    <row r="40" spans="1:9" s="170" customFormat="1" ht="11.25" x14ac:dyDescent="0.2">
      <c r="C40" s="212"/>
    </row>
    <row r="41" spans="1:9" s="216" customFormat="1" ht="31.5" x14ac:dyDescent="0.25">
      <c r="A41" s="767" t="s">
        <v>135</v>
      </c>
      <c r="B41" s="768"/>
      <c r="C41" s="215" t="s">
        <v>136</v>
      </c>
      <c r="D41" s="215" t="s">
        <v>137</v>
      </c>
      <c r="E41" s="215" t="s">
        <v>138</v>
      </c>
      <c r="F41" s="215" t="s">
        <v>139</v>
      </c>
      <c r="G41" s="215" t="s">
        <v>140</v>
      </c>
    </row>
    <row r="42" spans="1:9" s="170" customFormat="1" ht="42" customHeight="1" x14ac:dyDescent="0.2">
      <c r="A42" s="888" t="s">
        <v>257</v>
      </c>
      <c r="B42" s="792"/>
      <c r="C42" s="257" t="s">
        <v>258</v>
      </c>
      <c r="D42" s="258">
        <v>817000</v>
      </c>
      <c r="E42" s="259"/>
      <c r="F42" s="260">
        <v>43137</v>
      </c>
      <c r="G42" s="261">
        <v>43137</v>
      </c>
    </row>
    <row r="43" spans="1:9" s="170" customFormat="1" ht="16.5" customHeight="1" x14ac:dyDescent="0.2">
      <c r="A43" s="889" t="s">
        <v>259</v>
      </c>
      <c r="B43" s="794"/>
      <c r="C43" s="262" t="s">
        <v>260</v>
      </c>
      <c r="D43" s="263"/>
      <c r="E43" s="264">
        <v>817000</v>
      </c>
      <c r="F43" s="265">
        <v>43137</v>
      </c>
      <c r="G43" s="266">
        <v>43159</v>
      </c>
    </row>
    <row r="44" spans="1:9" s="170" customFormat="1" ht="11.25" x14ac:dyDescent="0.2">
      <c r="A44" s="773" t="s">
        <v>178</v>
      </c>
      <c r="B44" s="774"/>
      <c r="C44" s="233"/>
      <c r="D44" s="234">
        <f>SUM(D42:D43)</f>
        <v>817000</v>
      </c>
      <c r="E44" s="234">
        <f>SUM(E42:E43)</f>
        <v>817000</v>
      </c>
      <c r="F44" s="795"/>
      <c r="G44" s="796"/>
    </row>
    <row r="45" spans="1:9" s="170" customFormat="1" ht="15" x14ac:dyDescent="0.25">
      <c r="A45" s="782"/>
      <c r="B45" s="783"/>
      <c r="C45" s="212"/>
      <c r="D45" s="174"/>
      <c r="E45" s="174"/>
    </row>
    <row r="46" spans="1:9" s="170" customFormat="1" ht="11.25" x14ac:dyDescent="0.2">
      <c r="A46" s="235"/>
      <c r="C46" s="212"/>
    </row>
    <row r="47" spans="1:9" s="170" customFormat="1" ht="11.25" x14ac:dyDescent="0.2">
      <c r="A47" s="766" t="s">
        <v>180</v>
      </c>
      <c r="B47" s="766"/>
      <c r="C47" s="766"/>
      <c r="D47" s="766"/>
      <c r="E47" s="766"/>
      <c r="F47" s="766"/>
      <c r="G47" s="766"/>
      <c r="H47" s="766"/>
      <c r="I47" s="766"/>
    </row>
    <row r="48" spans="1:9" s="170" customFormat="1" ht="11.25" x14ac:dyDescent="0.2">
      <c r="C48" s="212"/>
    </row>
    <row r="49" spans="1:9" s="216" customFormat="1" ht="31.5" x14ac:dyDescent="0.25">
      <c r="A49" s="767" t="s">
        <v>135</v>
      </c>
      <c r="B49" s="768"/>
      <c r="C49" s="215" t="s">
        <v>136</v>
      </c>
      <c r="D49" s="215" t="s">
        <v>137</v>
      </c>
      <c r="E49" s="215" t="s">
        <v>138</v>
      </c>
      <c r="F49" s="215" t="s">
        <v>139</v>
      </c>
      <c r="G49" s="215" t="s">
        <v>140</v>
      </c>
    </row>
    <row r="50" spans="1:9" s="170" customFormat="1" ht="33" customHeight="1" x14ac:dyDescent="0.2">
      <c r="A50" s="885" t="s">
        <v>261</v>
      </c>
      <c r="B50" s="886"/>
      <c r="C50" s="267"/>
      <c r="D50" s="268"/>
      <c r="E50" s="237"/>
      <c r="F50" s="269"/>
      <c r="G50" s="269"/>
    </row>
    <row r="51" spans="1:9" s="170" customFormat="1" ht="11.25" x14ac:dyDescent="0.2">
      <c r="A51" s="773" t="s">
        <v>178</v>
      </c>
      <c r="B51" s="774"/>
      <c r="C51" s="233"/>
      <c r="D51" s="234"/>
      <c r="E51" s="234"/>
      <c r="F51" s="775"/>
      <c r="G51" s="776"/>
    </row>
    <row r="52" spans="1:9" s="170" customFormat="1" ht="22.5" customHeight="1" x14ac:dyDescent="0.2">
      <c r="C52" s="212"/>
    </row>
    <row r="53" spans="1:9" s="177" customFormat="1" ht="11.25" x14ac:dyDescent="0.2">
      <c r="A53" s="777" t="s">
        <v>238</v>
      </c>
      <c r="B53" s="777"/>
      <c r="C53" s="777"/>
      <c r="D53" s="777"/>
      <c r="E53" s="777"/>
      <c r="F53" s="777"/>
      <c r="G53" s="777"/>
      <c r="H53" s="777"/>
      <c r="I53" s="777"/>
    </row>
    <row r="54" spans="1:9" s="170" customFormat="1" ht="107.25" customHeight="1" x14ac:dyDescent="0.2">
      <c r="A54" s="887" t="s">
        <v>262</v>
      </c>
      <c r="B54" s="779"/>
      <c r="C54" s="779"/>
      <c r="D54" s="779"/>
      <c r="E54" s="779"/>
      <c r="F54" s="779"/>
      <c r="G54" s="779"/>
      <c r="H54" s="779"/>
      <c r="I54" s="780"/>
    </row>
    <row r="55" spans="1:9" s="170" customFormat="1" ht="11.25" x14ac:dyDescent="0.2"/>
    <row r="56" spans="1:9" s="169" customFormat="1" ht="10.5" x14ac:dyDescent="0.15">
      <c r="A56" s="781" t="s">
        <v>165</v>
      </c>
      <c r="B56" s="781"/>
      <c r="C56" s="781"/>
      <c r="D56" s="781"/>
      <c r="E56" s="781"/>
      <c r="F56" s="781"/>
      <c r="G56" s="781"/>
      <c r="H56" s="781"/>
      <c r="I56" s="781"/>
    </row>
    <row r="57" spans="1:9" s="170" customFormat="1" ht="222" customHeight="1" x14ac:dyDescent="0.2">
      <c r="A57" s="884" t="s">
        <v>263</v>
      </c>
      <c r="B57" s="764"/>
      <c r="C57" s="764"/>
      <c r="D57" s="764"/>
      <c r="E57" s="764"/>
      <c r="F57" s="764"/>
      <c r="G57" s="764"/>
      <c r="H57" s="764"/>
      <c r="I57" s="765"/>
    </row>
    <row r="58" spans="1:9" ht="67.5" customHeight="1" x14ac:dyDescent="0.2"/>
    <row r="59" spans="1:9" ht="50.25" customHeight="1" x14ac:dyDescent="0.2">
      <c r="A59" s="246"/>
    </row>
    <row r="60" spans="1:9" ht="13.5" customHeight="1" x14ac:dyDescent="0.2">
      <c r="A60" s="246"/>
    </row>
  </sheetData>
  <mergeCells count="50">
    <mergeCell ref="F12:G12"/>
    <mergeCell ref="H12:I12"/>
    <mergeCell ref="A1:I1"/>
    <mergeCell ref="A3:I3"/>
    <mergeCell ref="A5:B5"/>
    <mergeCell ref="D5:I5"/>
    <mergeCell ref="A6:B6"/>
    <mergeCell ref="D6:I6"/>
    <mergeCell ref="A7:B7"/>
    <mergeCell ref="D7:I7"/>
    <mergeCell ref="A8:B8"/>
    <mergeCell ref="D8:I8"/>
    <mergeCell ref="A10:I10"/>
    <mergeCell ref="F13:G13"/>
    <mergeCell ref="H13:I13"/>
    <mergeCell ref="F14:G14"/>
    <mergeCell ref="H14:I14"/>
    <mergeCell ref="F15:G15"/>
    <mergeCell ref="H15:I15"/>
    <mergeCell ref="A32:I32"/>
    <mergeCell ref="F16:G16"/>
    <mergeCell ref="H16:I16"/>
    <mergeCell ref="F17:G17"/>
    <mergeCell ref="H17:I17"/>
    <mergeCell ref="F18:G18"/>
    <mergeCell ref="A20:I20"/>
    <mergeCell ref="D22:I22"/>
    <mergeCell ref="C23:I23"/>
    <mergeCell ref="A26:I26"/>
    <mergeCell ref="D28:I28"/>
    <mergeCell ref="C29:I29"/>
    <mergeCell ref="A49:B49"/>
    <mergeCell ref="C34:I34"/>
    <mergeCell ref="C35:I35"/>
    <mergeCell ref="C36:I36"/>
    <mergeCell ref="A39:I39"/>
    <mergeCell ref="A41:B41"/>
    <mergeCell ref="A42:B42"/>
    <mergeCell ref="A43:B43"/>
    <mergeCell ref="A44:B44"/>
    <mergeCell ref="F44:G44"/>
    <mergeCell ref="A45:B45"/>
    <mergeCell ref="A47:I47"/>
    <mergeCell ref="A57:I57"/>
    <mergeCell ref="A50:B50"/>
    <mergeCell ref="A51:B51"/>
    <mergeCell ref="F51:G51"/>
    <mergeCell ref="A53:I53"/>
    <mergeCell ref="A54:I54"/>
    <mergeCell ref="A56:I56"/>
  </mergeCells>
  <pageMargins left="0.70866141732283472" right="0.70866141732283472" top="0.78740157480314965" bottom="0.78740157480314965" header="0.31496062992125984" footer="0.31496062992125984"/>
  <pageSetup paperSize="9" scale="58" firstPageNumber="102" orientation="portrait" useFirstPageNumber="1" r:id="rId1"/>
  <headerFoot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6"/>
  <sheetViews>
    <sheetView workbookViewId="0">
      <selection activeCell="C51" sqref="C51"/>
    </sheetView>
  </sheetViews>
  <sheetFormatPr defaultColWidth="3.7109375" defaultRowHeight="15" x14ac:dyDescent="0.25"/>
  <cols>
    <col min="1" max="1" width="3.140625" style="2" customWidth="1"/>
    <col min="2" max="2" width="3.7109375" style="3" customWidth="1"/>
    <col min="3" max="3" width="21" style="3" customWidth="1"/>
    <col min="4" max="4" width="4.85546875" style="3" customWidth="1"/>
    <col min="5" max="7" width="6.28515625" style="3" customWidth="1"/>
    <col min="8" max="8" width="5" style="3" customWidth="1"/>
    <col min="9" max="12" width="6.28515625" style="3" customWidth="1"/>
    <col min="13" max="13" width="5" style="3" customWidth="1"/>
    <col min="14" max="17" width="6.28515625" style="3" customWidth="1"/>
    <col min="18" max="18" width="5" style="3" customWidth="1"/>
    <col min="19" max="19" width="6.28515625" style="3" customWidth="1"/>
    <col min="20" max="20" width="6.140625" style="3" hidden="1" customWidth="1"/>
    <col min="21" max="21" width="6.28515625" style="3" hidden="1" customWidth="1"/>
    <col min="22" max="22" width="6" style="3" hidden="1" customWidth="1"/>
    <col min="23" max="23" width="5" style="3" hidden="1" customWidth="1"/>
    <col min="24" max="24" width="0.28515625" style="3" hidden="1" customWidth="1"/>
    <col min="25" max="16384" width="3.7109375" style="3"/>
  </cols>
  <sheetData>
    <row r="1" spans="1:24" s="6" customFormat="1" ht="15.75" x14ac:dyDescent="0.25">
      <c r="A1" s="759" t="s">
        <v>82</v>
      </c>
      <c r="B1" s="759"/>
      <c r="C1" s="759"/>
      <c r="D1" s="759"/>
      <c r="E1" s="759"/>
      <c r="F1" s="759"/>
      <c r="G1" s="759"/>
      <c r="H1" s="759"/>
      <c r="I1" s="759"/>
      <c r="J1" s="759"/>
      <c r="K1" s="759"/>
      <c r="L1" s="759"/>
      <c r="M1" s="759"/>
      <c r="N1" s="759"/>
      <c r="O1" s="759"/>
      <c r="P1" s="759"/>
      <c r="Q1" s="759"/>
      <c r="R1" s="759"/>
      <c r="S1" s="759"/>
      <c r="T1" s="759"/>
      <c r="U1" s="759"/>
      <c r="V1" s="759"/>
      <c r="W1" s="759"/>
      <c r="X1" s="759"/>
    </row>
    <row r="3" spans="1:24" s="7" customFormat="1" ht="9.75" customHeight="1" x14ac:dyDescent="0.2">
      <c r="A3" s="752" t="s">
        <v>1</v>
      </c>
      <c r="B3" s="761" t="s">
        <v>2</v>
      </c>
      <c r="C3" s="760"/>
      <c r="D3" s="761" t="s">
        <v>3</v>
      </c>
      <c r="E3" s="762" t="s">
        <v>4</v>
      </c>
      <c r="F3" s="762"/>
      <c r="G3" s="762"/>
      <c r="H3" s="762"/>
      <c r="I3" s="762"/>
      <c r="J3" s="762" t="s">
        <v>5</v>
      </c>
      <c r="K3" s="762"/>
      <c r="L3" s="762"/>
      <c r="M3" s="762"/>
      <c r="N3" s="762"/>
      <c r="O3" s="762" t="s">
        <v>6</v>
      </c>
      <c r="P3" s="762"/>
      <c r="Q3" s="762"/>
      <c r="R3" s="762"/>
      <c r="S3" s="762"/>
      <c r="T3" s="762" t="s">
        <v>7</v>
      </c>
      <c r="U3" s="762"/>
      <c r="V3" s="762"/>
      <c r="W3" s="762"/>
      <c r="X3" s="762"/>
    </row>
    <row r="4" spans="1:24" s="8" customFormat="1" ht="9.75" customHeight="1" x14ac:dyDescent="0.2">
      <c r="A4" s="760"/>
      <c r="B4" s="760"/>
      <c r="C4" s="760"/>
      <c r="D4" s="761"/>
      <c r="E4" s="754" t="s">
        <v>8</v>
      </c>
      <c r="F4" s="755" t="s">
        <v>9</v>
      </c>
      <c r="G4" s="755"/>
      <c r="H4" s="755"/>
      <c r="I4" s="752" t="s">
        <v>10</v>
      </c>
      <c r="J4" s="754" t="s">
        <v>8</v>
      </c>
      <c r="K4" s="755" t="s">
        <v>9</v>
      </c>
      <c r="L4" s="755"/>
      <c r="M4" s="755"/>
      <c r="N4" s="752" t="s">
        <v>10</v>
      </c>
      <c r="O4" s="754" t="s">
        <v>8</v>
      </c>
      <c r="P4" s="755" t="s">
        <v>9</v>
      </c>
      <c r="Q4" s="755"/>
      <c r="R4" s="755"/>
      <c r="S4" s="752" t="s">
        <v>10</v>
      </c>
      <c r="T4" s="754" t="s">
        <v>8</v>
      </c>
      <c r="U4" s="755" t="s">
        <v>9</v>
      </c>
      <c r="V4" s="755"/>
      <c r="W4" s="755"/>
      <c r="X4" s="752" t="s">
        <v>10</v>
      </c>
    </row>
    <row r="5" spans="1:24" s="10" customFormat="1" ht="9.75" customHeight="1" x14ac:dyDescent="0.2">
      <c r="A5" s="760"/>
      <c r="B5" s="760"/>
      <c r="C5" s="760"/>
      <c r="D5" s="761"/>
      <c r="E5" s="754"/>
      <c r="F5" s="9" t="s">
        <v>11</v>
      </c>
      <c r="G5" s="9" t="s">
        <v>12</v>
      </c>
      <c r="H5" s="9" t="s">
        <v>13</v>
      </c>
      <c r="I5" s="752"/>
      <c r="J5" s="754"/>
      <c r="K5" s="9" t="s">
        <v>11</v>
      </c>
      <c r="L5" s="9" t="s">
        <v>12</v>
      </c>
      <c r="M5" s="9" t="s">
        <v>13</v>
      </c>
      <c r="N5" s="752"/>
      <c r="O5" s="754"/>
      <c r="P5" s="9" t="s">
        <v>11</v>
      </c>
      <c r="Q5" s="9" t="s">
        <v>12</v>
      </c>
      <c r="R5" s="9" t="s">
        <v>13</v>
      </c>
      <c r="S5" s="752"/>
      <c r="T5" s="754"/>
      <c r="U5" s="9" t="s">
        <v>11</v>
      </c>
      <c r="V5" s="9" t="s">
        <v>12</v>
      </c>
      <c r="W5" s="9" t="s">
        <v>13</v>
      </c>
      <c r="X5" s="752"/>
    </row>
    <row r="6" spans="1:24" s="7" customFormat="1" ht="9.75" customHeight="1" x14ac:dyDescent="0.2">
      <c r="A6" s="11" t="s">
        <v>14</v>
      </c>
      <c r="B6" s="753" t="s">
        <v>15</v>
      </c>
      <c r="C6" s="753"/>
      <c r="D6" s="12" t="s">
        <v>16</v>
      </c>
      <c r="E6" s="13">
        <f>SUM(E7:E9)</f>
        <v>21638202</v>
      </c>
      <c r="F6" s="13">
        <f>SUM(F7:F9)</f>
        <v>22332202</v>
      </c>
      <c r="G6" s="13">
        <f>SUM(G7:G9)</f>
        <v>12165326</v>
      </c>
      <c r="H6" s="14">
        <f t="shared" ref="H6:H36" si="0">G6/F6*100</f>
        <v>54.474368447858389</v>
      </c>
      <c r="I6" s="13">
        <v>10215257</v>
      </c>
      <c r="J6" s="13">
        <f>SUM(J7:J9)</f>
        <v>5362442</v>
      </c>
      <c r="K6" s="13">
        <f t="shared" ref="K6:X6" si="1">SUM(K7:K9)</f>
        <v>6056442</v>
      </c>
      <c r="L6" s="13">
        <f t="shared" si="1"/>
        <v>3552776</v>
      </c>
      <c r="M6" s="14">
        <f t="shared" ref="M6:M36" si="2">L6/K6*100</f>
        <v>58.661108287671212</v>
      </c>
      <c r="N6" s="13">
        <v>3004277</v>
      </c>
      <c r="O6" s="13">
        <f t="shared" si="1"/>
        <v>16275760</v>
      </c>
      <c r="P6" s="13">
        <f t="shared" si="1"/>
        <v>16275760</v>
      </c>
      <c r="Q6" s="13">
        <f t="shared" si="1"/>
        <v>8612550</v>
      </c>
      <c r="R6" s="14">
        <f t="shared" ref="R6:R36" si="3">Q6/P6*100</f>
        <v>52.916422950449018</v>
      </c>
      <c r="S6" s="13">
        <v>7210980</v>
      </c>
      <c r="T6" s="13">
        <f t="shared" si="1"/>
        <v>0</v>
      </c>
      <c r="U6" s="13">
        <f t="shared" si="1"/>
        <v>0</v>
      </c>
      <c r="V6" s="13">
        <f t="shared" si="1"/>
        <v>0</v>
      </c>
      <c r="W6" s="14" t="e">
        <f t="shared" ref="W6:W36" si="4">V6/U6*100</f>
        <v>#DIV/0!</v>
      </c>
      <c r="X6" s="13">
        <f t="shared" si="1"/>
        <v>0</v>
      </c>
    </row>
    <row r="7" spans="1:24" s="7" customFormat="1" ht="9.75" x14ac:dyDescent="0.2">
      <c r="A7" s="15" t="s">
        <v>17</v>
      </c>
      <c r="B7" s="750" t="s">
        <v>18</v>
      </c>
      <c r="C7" s="750"/>
      <c r="D7" s="16" t="s">
        <v>16</v>
      </c>
      <c r="E7" s="17">
        <f t="shared" ref="E7:G10" si="5">SUM(J7,O7)</f>
        <v>1950000</v>
      </c>
      <c r="F7" s="17">
        <f t="shared" si="5"/>
        <v>1950000</v>
      </c>
      <c r="G7" s="17">
        <f t="shared" si="5"/>
        <v>1153055</v>
      </c>
      <c r="H7" s="18">
        <f t="shared" si="0"/>
        <v>59.131025641025637</v>
      </c>
      <c r="I7" s="17">
        <v>1174595</v>
      </c>
      <c r="J7" s="42">
        <v>1950000</v>
      </c>
      <c r="K7" s="19">
        <v>1950000</v>
      </c>
      <c r="L7" s="19">
        <v>1153055</v>
      </c>
      <c r="M7" s="18">
        <f t="shared" si="2"/>
        <v>59.131025641025637</v>
      </c>
      <c r="N7" s="19">
        <v>1174595</v>
      </c>
      <c r="O7" s="19">
        <v>0</v>
      </c>
      <c r="P7" s="19">
        <v>0</v>
      </c>
      <c r="Q7" s="19">
        <v>0</v>
      </c>
      <c r="R7" s="18" t="e">
        <f t="shared" si="3"/>
        <v>#DIV/0!</v>
      </c>
      <c r="S7" s="19"/>
      <c r="T7" s="19"/>
      <c r="U7" s="19"/>
      <c r="V7" s="19"/>
      <c r="W7" s="18" t="e">
        <f t="shared" si="4"/>
        <v>#DIV/0!</v>
      </c>
      <c r="X7" s="19"/>
    </row>
    <row r="8" spans="1:24" s="7" customFormat="1" ht="9.75" x14ac:dyDescent="0.2">
      <c r="A8" s="20" t="s">
        <v>19</v>
      </c>
      <c r="B8" s="758" t="s">
        <v>20</v>
      </c>
      <c r="C8" s="758"/>
      <c r="D8" s="16" t="s">
        <v>16</v>
      </c>
      <c r="E8" s="17">
        <f t="shared" si="5"/>
        <v>1000</v>
      </c>
      <c r="F8" s="17">
        <f t="shared" si="5"/>
        <v>1000</v>
      </c>
      <c r="G8" s="17">
        <f t="shared" si="5"/>
        <v>0</v>
      </c>
      <c r="H8" s="18">
        <f t="shared" si="0"/>
        <v>0</v>
      </c>
      <c r="I8" s="17">
        <v>0</v>
      </c>
      <c r="J8" s="43">
        <v>1000</v>
      </c>
      <c r="K8" s="17">
        <v>1000</v>
      </c>
      <c r="L8" s="17">
        <v>0</v>
      </c>
      <c r="M8" s="18">
        <f t="shared" si="2"/>
        <v>0</v>
      </c>
      <c r="N8" s="17">
        <v>0</v>
      </c>
      <c r="O8" s="17">
        <v>0</v>
      </c>
      <c r="P8" s="17">
        <v>0</v>
      </c>
      <c r="Q8" s="17">
        <v>0</v>
      </c>
      <c r="R8" s="18" t="e">
        <f t="shared" si="3"/>
        <v>#DIV/0!</v>
      </c>
      <c r="S8" s="17"/>
      <c r="T8" s="17"/>
      <c r="U8" s="17"/>
      <c r="V8" s="17"/>
      <c r="W8" s="18" t="e">
        <f t="shared" si="4"/>
        <v>#DIV/0!</v>
      </c>
      <c r="X8" s="17"/>
    </row>
    <row r="9" spans="1:24" s="7" customFormat="1" ht="9.75" x14ac:dyDescent="0.2">
      <c r="A9" s="20" t="s">
        <v>21</v>
      </c>
      <c r="B9" s="21" t="s">
        <v>22</v>
      </c>
      <c r="C9" s="22"/>
      <c r="D9" s="16" t="s">
        <v>16</v>
      </c>
      <c r="E9" s="17">
        <f t="shared" si="5"/>
        <v>19687202</v>
      </c>
      <c r="F9" s="17">
        <f t="shared" si="5"/>
        <v>20381202</v>
      </c>
      <c r="G9" s="17">
        <f t="shared" si="5"/>
        <v>11012271</v>
      </c>
      <c r="H9" s="18">
        <f t="shared" si="0"/>
        <v>54.031509034648693</v>
      </c>
      <c r="I9" s="17">
        <v>9040662</v>
      </c>
      <c r="J9" s="43">
        <v>3411442</v>
      </c>
      <c r="K9" s="17">
        <v>4105442</v>
      </c>
      <c r="L9" s="17">
        <v>2399721</v>
      </c>
      <c r="M9" s="18">
        <f t="shared" si="2"/>
        <v>58.452195890235444</v>
      </c>
      <c r="N9" s="17">
        <v>1829682</v>
      </c>
      <c r="O9" s="17">
        <v>16275760</v>
      </c>
      <c r="P9" s="17">
        <v>16275760</v>
      </c>
      <c r="Q9" s="17">
        <v>8612550</v>
      </c>
      <c r="R9" s="18">
        <f t="shared" si="3"/>
        <v>52.916422950449018</v>
      </c>
      <c r="S9" s="17">
        <v>7210980</v>
      </c>
      <c r="T9" s="17"/>
      <c r="U9" s="17"/>
      <c r="V9" s="17"/>
      <c r="W9" s="18" t="e">
        <f t="shared" si="4"/>
        <v>#DIV/0!</v>
      </c>
      <c r="X9" s="17"/>
    </row>
    <row r="10" spans="1:24" s="7" customFormat="1" ht="9.75" x14ac:dyDescent="0.2">
      <c r="A10" s="11" t="s">
        <v>23</v>
      </c>
      <c r="B10" s="753" t="s">
        <v>24</v>
      </c>
      <c r="C10" s="753"/>
      <c r="D10" s="12" t="s">
        <v>16</v>
      </c>
      <c r="E10" s="23">
        <f t="shared" si="5"/>
        <v>0</v>
      </c>
      <c r="F10" s="23">
        <f t="shared" si="5"/>
        <v>0</v>
      </c>
      <c r="G10" s="23">
        <f t="shared" si="5"/>
        <v>0</v>
      </c>
      <c r="H10" s="14" t="e">
        <f t="shared" si="0"/>
        <v>#DIV/0!</v>
      </c>
      <c r="I10" s="23">
        <f>SUM(N10,S10)</f>
        <v>0</v>
      </c>
      <c r="J10" s="24"/>
      <c r="K10" s="23"/>
      <c r="L10" s="23"/>
      <c r="M10" s="14" t="e">
        <f t="shared" si="2"/>
        <v>#DIV/0!</v>
      </c>
      <c r="N10" s="23"/>
      <c r="O10" s="23"/>
      <c r="P10" s="23"/>
      <c r="Q10" s="23"/>
      <c r="R10" s="14" t="e">
        <f t="shared" si="3"/>
        <v>#DIV/0!</v>
      </c>
      <c r="S10" s="23"/>
      <c r="T10" s="23"/>
      <c r="U10" s="23"/>
      <c r="V10" s="23"/>
      <c r="W10" s="14" t="e">
        <f t="shared" si="4"/>
        <v>#DIV/0!</v>
      </c>
      <c r="X10" s="23"/>
    </row>
    <row r="11" spans="1:24" s="7" customFormat="1" ht="9.75" x14ac:dyDescent="0.2">
      <c r="A11" s="11" t="s">
        <v>25</v>
      </c>
      <c r="B11" s="753" t="s">
        <v>26</v>
      </c>
      <c r="C11" s="753"/>
      <c r="D11" s="12" t="s">
        <v>16</v>
      </c>
      <c r="E11" s="13">
        <f>SUM(E12:E31)</f>
        <v>21638202</v>
      </c>
      <c r="F11" s="13">
        <f>SUM(F12:F31)</f>
        <v>22332202</v>
      </c>
      <c r="G11" s="13">
        <f>SUM(G12:G31)</f>
        <v>10692001</v>
      </c>
      <c r="H11" s="14">
        <f t="shared" si="0"/>
        <v>47.877056637764603</v>
      </c>
      <c r="I11" s="13">
        <v>9651945</v>
      </c>
      <c r="J11" s="13">
        <f>SUM(J12:J31)</f>
        <v>5362442</v>
      </c>
      <c r="K11" s="13">
        <f>SUM(K12:K31)</f>
        <v>6056442</v>
      </c>
      <c r="L11" s="13">
        <f>SUM(L12:L31)</f>
        <v>2256920</v>
      </c>
      <c r="M11" s="14">
        <f t="shared" si="2"/>
        <v>37.264783514809515</v>
      </c>
      <c r="N11" s="13">
        <v>2562759</v>
      </c>
      <c r="O11" s="13">
        <f>SUM(O12:O31)</f>
        <v>16275760</v>
      </c>
      <c r="P11" s="13">
        <f>SUM(P12:P31)</f>
        <v>16275760</v>
      </c>
      <c r="Q11" s="13">
        <f>SUM(Q12:Q31)</f>
        <v>8435081</v>
      </c>
      <c r="R11" s="14">
        <f t="shared" si="3"/>
        <v>51.826034544623411</v>
      </c>
      <c r="S11" s="13">
        <v>7089186</v>
      </c>
      <c r="T11" s="13">
        <f>SUM(T12:T31)</f>
        <v>0</v>
      </c>
      <c r="U11" s="13">
        <f>SUM(U12:U31)</f>
        <v>0</v>
      </c>
      <c r="V11" s="13">
        <f>SUM(V12:V31)</f>
        <v>0</v>
      </c>
      <c r="W11" s="14" t="e">
        <f t="shared" si="4"/>
        <v>#DIV/0!</v>
      </c>
      <c r="X11" s="13">
        <f>SUM(X12:X31)</f>
        <v>0</v>
      </c>
    </row>
    <row r="12" spans="1:24" s="7" customFormat="1" ht="9.75" x14ac:dyDescent="0.2">
      <c r="A12" s="15" t="s">
        <v>27</v>
      </c>
      <c r="B12" s="750" t="s">
        <v>28</v>
      </c>
      <c r="C12" s="750"/>
      <c r="D12" s="16" t="s">
        <v>16</v>
      </c>
      <c r="E12" s="17">
        <f t="shared" ref="E12:I29" si="6">SUM(J12,O12)</f>
        <v>1720283</v>
      </c>
      <c r="F12" s="17">
        <f t="shared" si="6"/>
        <v>1720283</v>
      </c>
      <c r="G12" s="17">
        <f t="shared" si="6"/>
        <v>867813</v>
      </c>
      <c r="H12" s="18">
        <f t="shared" si="0"/>
        <v>50.445944068505014</v>
      </c>
      <c r="I12" s="17">
        <v>979606</v>
      </c>
      <c r="J12" s="44">
        <v>1685283</v>
      </c>
      <c r="K12" s="25">
        <v>1685283</v>
      </c>
      <c r="L12" s="25">
        <v>792713</v>
      </c>
      <c r="M12" s="18">
        <f t="shared" si="2"/>
        <v>47.037381852187437</v>
      </c>
      <c r="N12" s="26">
        <v>979606</v>
      </c>
      <c r="O12" s="25">
        <v>35000</v>
      </c>
      <c r="P12" s="25">
        <v>35000</v>
      </c>
      <c r="Q12" s="25">
        <v>75100</v>
      </c>
      <c r="R12" s="18">
        <f t="shared" si="3"/>
        <v>214.57142857142858</v>
      </c>
      <c r="S12" s="25"/>
      <c r="T12" s="25"/>
      <c r="U12" s="25"/>
      <c r="V12" s="25"/>
      <c r="W12" s="18" t="e">
        <f t="shared" si="4"/>
        <v>#DIV/0!</v>
      </c>
      <c r="X12" s="26"/>
    </row>
    <row r="13" spans="1:24" s="7" customFormat="1" ht="9.75" x14ac:dyDescent="0.2">
      <c r="A13" s="15" t="s">
        <v>29</v>
      </c>
      <c r="B13" s="750" t="s">
        <v>30</v>
      </c>
      <c r="C13" s="750"/>
      <c r="D13" s="16" t="s">
        <v>16</v>
      </c>
      <c r="E13" s="17">
        <f t="shared" si="6"/>
        <v>1380000</v>
      </c>
      <c r="F13" s="17">
        <f t="shared" si="6"/>
        <v>1380000</v>
      </c>
      <c r="G13" s="17">
        <f t="shared" si="6"/>
        <v>566237</v>
      </c>
      <c r="H13" s="18">
        <f t="shared" si="0"/>
        <v>41.031666666666666</v>
      </c>
      <c r="I13" s="17">
        <v>594069</v>
      </c>
      <c r="J13" s="44">
        <v>1380000</v>
      </c>
      <c r="K13" s="17">
        <v>1380000</v>
      </c>
      <c r="L13" s="17">
        <v>566237</v>
      </c>
      <c r="M13" s="18">
        <f t="shared" si="2"/>
        <v>41.031666666666666</v>
      </c>
      <c r="N13" s="17">
        <v>594069</v>
      </c>
      <c r="O13" s="17">
        <v>0</v>
      </c>
      <c r="P13" s="17">
        <v>0</v>
      </c>
      <c r="Q13" s="17">
        <v>0</v>
      </c>
      <c r="R13" s="18" t="e">
        <f t="shared" si="3"/>
        <v>#DIV/0!</v>
      </c>
      <c r="S13" s="17">
        <v>0</v>
      </c>
      <c r="T13" s="17"/>
      <c r="U13" s="17"/>
      <c r="V13" s="17"/>
      <c r="W13" s="18" t="e">
        <f t="shared" si="4"/>
        <v>#DIV/0!</v>
      </c>
      <c r="X13" s="17"/>
    </row>
    <row r="14" spans="1:24" s="7" customFormat="1" ht="9.75" x14ac:dyDescent="0.2">
      <c r="A14" s="15" t="s">
        <v>31</v>
      </c>
      <c r="B14" s="21" t="s">
        <v>32</v>
      </c>
      <c r="C14" s="21"/>
      <c r="D14" s="16" t="s">
        <v>16</v>
      </c>
      <c r="E14" s="17">
        <f t="shared" si="6"/>
        <v>0</v>
      </c>
      <c r="F14" s="17">
        <f t="shared" si="6"/>
        <v>0</v>
      </c>
      <c r="G14" s="17">
        <f t="shared" si="6"/>
        <v>0</v>
      </c>
      <c r="H14" s="18" t="e">
        <f t="shared" si="0"/>
        <v>#DIV/0!</v>
      </c>
      <c r="I14" s="17">
        <v>0</v>
      </c>
      <c r="J14" s="44">
        <v>0</v>
      </c>
      <c r="K14" s="17">
        <v>0</v>
      </c>
      <c r="L14" s="17">
        <v>0</v>
      </c>
      <c r="M14" s="18" t="e">
        <f t="shared" si="2"/>
        <v>#DIV/0!</v>
      </c>
      <c r="N14" s="17">
        <v>0</v>
      </c>
      <c r="O14" s="17">
        <v>0</v>
      </c>
      <c r="P14" s="17">
        <v>0</v>
      </c>
      <c r="Q14" s="17">
        <v>0</v>
      </c>
      <c r="R14" s="18" t="e">
        <f t="shared" si="3"/>
        <v>#DIV/0!</v>
      </c>
      <c r="S14" s="17">
        <v>0</v>
      </c>
      <c r="T14" s="17"/>
      <c r="U14" s="17"/>
      <c r="V14" s="17"/>
      <c r="W14" s="18" t="e">
        <f t="shared" si="4"/>
        <v>#DIV/0!</v>
      </c>
      <c r="X14" s="17"/>
    </row>
    <row r="15" spans="1:24" s="7" customFormat="1" ht="9.75" x14ac:dyDescent="0.2">
      <c r="A15" s="15" t="s">
        <v>33</v>
      </c>
      <c r="B15" s="750" t="s">
        <v>34</v>
      </c>
      <c r="C15" s="750"/>
      <c r="D15" s="16" t="s">
        <v>16</v>
      </c>
      <c r="E15" s="17">
        <f t="shared" si="6"/>
        <v>710000</v>
      </c>
      <c r="F15" s="17">
        <f t="shared" si="6"/>
        <v>1240000</v>
      </c>
      <c r="G15" s="17">
        <f t="shared" si="6"/>
        <v>116464</v>
      </c>
      <c r="H15" s="18">
        <f t="shared" si="0"/>
        <v>9.3922580645161293</v>
      </c>
      <c r="I15" s="17">
        <v>99629</v>
      </c>
      <c r="J15" s="44">
        <v>710000</v>
      </c>
      <c r="K15" s="17">
        <v>1240000</v>
      </c>
      <c r="L15" s="17">
        <v>116464</v>
      </c>
      <c r="M15" s="18">
        <f t="shared" si="2"/>
        <v>9.3922580645161293</v>
      </c>
      <c r="N15" s="17">
        <v>99629</v>
      </c>
      <c r="O15" s="17">
        <v>0</v>
      </c>
      <c r="P15" s="17">
        <v>0</v>
      </c>
      <c r="Q15" s="17">
        <v>0</v>
      </c>
      <c r="R15" s="18" t="e">
        <f t="shared" si="3"/>
        <v>#DIV/0!</v>
      </c>
      <c r="S15" s="17">
        <v>0</v>
      </c>
      <c r="T15" s="17"/>
      <c r="U15" s="17"/>
      <c r="V15" s="17"/>
      <c r="W15" s="18" t="e">
        <f t="shared" si="4"/>
        <v>#DIV/0!</v>
      </c>
      <c r="X15" s="17"/>
    </row>
    <row r="16" spans="1:24" s="7" customFormat="1" ht="9.75" x14ac:dyDescent="0.2">
      <c r="A16" s="15" t="s">
        <v>35</v>
      </c>
      <c r="B16" s="750" t="s">
        <v>36</v>
      </c>
      <c r="C16" s="750"/>
      <c r="D16" s="16" t="s">
        <v>16</v>
      </c>
      <c r="E16" s="17">
        <f t="shared" si="6"/>
        <v>2000</v>
      </c>
      <c r="F16" s="17">
        <f t="shared" si="6"/>
        <v>2000</v>
      </c>
      <c r="G16" s="17">
        <f t="shared" si="6"/>
        <v>0</v>
      </c>
      <c r="H16" s="18">
        <f t="shared" si="0"/>
        <v>0</v>
      </c>
      <c r="I16" s="17">
        <v>0</v>
      </c>
      <c r="J16" s="44">
        <v>2000</v>
      </c>
      <c r="K16" s="17">
        <v>2000</v>
      </c>
      <c r="L16" s="17">
        <v>0</v>
      </c>
      <c r="M16" s="18">
        <f t="shared" si="2"/>
        <v>0</v>
      </c>
      <c r="N16" s="17">
        <v>0</v>
      </c>
      <c r="O16" s="17">
        <v>0</v>
      </c>
      <c r="P16" s="17">
        <v>0</v>
      </c>
      <c r="Q16" s="17">
        <v>0</v>
      </c>
      <c r="R16" s="18" t="e">
        <f t="shared" si="3"/>
        <v>#DIV/0!</v>
      </c>
      <c r="S16" s="17">
        <v>0</v>
      </c>
      <c r="T16" s="17"/>
      <c r="U16" s="17"/>
      <c r="V16" s="17"/>
      <c r="W16" s="18" t="e">
        <f t="shared" si="4"/>
        <v>#DIV/0!</v>
      </c>
      <c r="X16" s="17"/>
    </row>
    <row r="17" spans="1:24" s="7" customFormat="1" ht="9.75" x14ac:dyDescent="0.2">
      <c r="A17" s="15" t="s">
        <v>37</v>
      </c>
      <c r="B17" s="21" t="s">
        <v>38</v>
      </c>
      <c r="C17" s="21"/>
      <c r="D17" s="16" t="s">
        <v>16</v>
      </c>
      <c r="E17" s="17">
        <f t="shared" si="6"/>
        <v>1000</v>
      </c>
      <c r="F17" s="17">
        <f t="shared" si="6"/>
        <v>1000</v>
      </c>
      <c r="G17" s="17">
        <f t="shared" si="6"/>
        <v>0</v>
      </c>
      <c r="H17" s="18">
        <f t="shared" si="0"/>
        <v>0</v>
      </c>
      <c r="I17" s="17">
        <f t="shared" si="6"/>
        <v>0</v>
      </c>
      <c r="J17" s="44">
        <v>1000</v>
      </c>
      <c r="K17" s="17">
        <v>1000</v>
      </c>
      <c r="L17" s="17">
        <v>0</v>
      </c>
      <c r="M17" s="18">
        <f t="shared" si="2"/>
        <v>0</v>
      </c>
      <c r="N17" s="17">
        <v>0</v>
      </c>
      <c r="O17" s="17">
        <v>0</v>
      </c>
      <c r="P17" s="17">
        <v>0</v>
      </c>
      <c r="Q17" s="17">
        <v>0</v>
      </c>
      <c r="R17" s="18" t="e">
        <f t="shared" si="3"/>
        <v>#DIV/0!</v>
      </c>
      <c r="S17" s="17">
        <v>0</v>
      </c>
      <c r="T17" s="17"/>
      <c r="U17" s="17"/>
      <c r="V17" s="17"/>
      <c r="W17" s="18" t="e">
        <f t="shared" si="4"/>
        <v>#DIV/0!</v>
      </c>
      <c r="X17" s="17"/>
    </row>
    <row r="18" spans="1:24" s="7" customFormat="1" ht="9.75" x14ac:dyDescent="0.2">
      <c r="A18" s="15" t="s">
        <v>39</v>
      </c>
      <c r="B18" s="750" t="s">
        <v>40</v>
      </c>
      <c r="C18" s="750"/>
      <c r="D18" s="16" t="s">
        <v>16</v>
      </c>
      <c r="E18" s="17">
        <f t="shared" si="6"/>
        <v>743000</v>
      </c>
      <c r="F18" s="17">
        <f t="shared" si="6"/>
        <v>743000</v>
      </c>
      <c r="G18" s="17">
        <f t="shared" si="6"/>
        <v>358902</v>
      </c>
      <c r="H18" s="18">
        <f t="shared" si="0"/>
        <v>48.304441453566618</v>
      </c>
      <c r="I18" s="17">
        <v>283950</v>
      </c>
      <c r="J18" s="44">
        <v>713000</v>
      </c>
      <c r="K18" s="17">
        <v>713000</v>
      </c>
      <c r="L18" s="17">
        <v>304652</v>
      </c>
      <c r="M18" s="18">
        <f t="shared" si="2"/>
        <v>42.728190743338004</v>
      </c>
      <c r="N18" s="17">
        <v>280060</v>
      </c>
      <c r="O18" s="17">
        <v>30000</v>
      </c>
      <c r="P18" s="17">
        <v>30000</v>
      </c>
      <c r="Q18" s="17">
        <v>54250</v>
      </c>
      <c r="R18" s="18">
        <f t="shared" si="3"/>
        <v>180.83333333333334</v>
      </c>
      <c r="S18" s="17">
        <v>3890</v>
      </c>
      <c r="T18" s="17"/>
      <c r="U18" s="17"/>
      <c r="V18" s="17"/>
      <c r="W18" s="18" t="e">
        <f t="shared" si="4"/>
        <v>#DIV/0!</v>
      </c>
      <c r="X18" s="17"/>
    </row>
    <row r="19" spans="1:24" s="28" customFormat="1" ht="9.75" x14ac:dyDescent="0.2">
      <c r="A19" s="15" t="s">
        <v>41</v>
      </c>
      <c r="B19" s="750" t="s">
        <v>42</v>
      </c>
      <c r="C19" s="750"/>
      <c r="D19" s="16" t="s">
        <v>16</v>
      </c>
      <c r="E19" s="17">
        <f t="shared" si="6"/>
        <v>11864700</v>
      </c>
      <c r="F19" s="17">
        <f t="shared" si="6"/>
        <v>11864700</v>
      </c>
      <c r="G19" s="17">
        <f t="shared" si="6"/>
        <v>6115863</v>
      </c>
      <c r="H19" s="18">
        <f t="shared" si="0"/>
        <v>51.546714202634703</v>
      </c>
      <c r="I19" s="17">
        <v>5238739</v>
      </c>
      <c r="J19" s="45">
        <v>0</v>
      </c>
      <c r="K19" s="17">
        <v>0</v>
      </c>
      <c r="L19" s="17">
        <v>0</v>
      </c>
      <c r="M19" s="18" t="e">
        <f t="shared" si="2"/>
        <v>#DIV/0!</v>
      </c>
      <c r="N19" s="17">
        <v>30497</v>
      </c>
      <c r="O19" s="17">
        <v>11864700</v>
      </c>
      <c r="P19" s="17">
        <v>11864700</v>
      </c>
      <c r="Q19" s="17">
        <v>6115863</v>
      </c>
      <c r="R19" s="18">
        <f t="shared" si="3"/>
        <v>51.546714202634703</v>
      </c>
      <c r="S19" s="17">
        <v>5208242</v>
      </c>
      <c r="T19" s="27"/>
      <c r="U19" s="27"/>
      <c r="V19" s="27"/>
      <c r="W19" s="18" t="e">
        <f t="shared" si="4"/>
        <v>#DIV/0!</v>
      </c>
      <c r="X19" s="27"/>
    </row>
    <row r="20" spans="1:24" s="7" customFormat="1" ht="9.75" x14ac:dyDescent="0.2">
      <c r="A20" s="15" t="s">
        <v>43</v>
      </c>
      <c r="B20" s="750" t="s">
        <v>44</v>
      </c>
      <c r="C20" s="750"/>
      <c r="D20" s="16" t="s">
        <v>16</v>
      </c>
      <c r="E20" s="17">
        <f t="shared" si="6"/>
        <v>4034000</v>
      </c>
      <c r="F20" s="17">
        <f t="shared" si="6"/>
        <v>4034000</v>
      </c>
      <c r="G20" s="17">
        <f t="shared" si="6"/>
        <v>2071650</v>
      </c>
      <c r="H20" s="18">
        <f t="shared" si="0"/>
        <v>51.354734754586019</v>
      </c>
      <c r="I20" s="17">
        <v>1780596</v>
      </c>
      <c r="J20" s="44">
        <v>0</v>
      </c>
      <c r="K20" s="17">
        <v>0</v>
      </c>
      <c r="L20" s="17">
        <v>0</v>
      </c>
      <c r="M20" s="18" t="e">
        <f t="shared" si="2"/>
        <v>#DIV/0!</v>
      </c>
      <c r="N20" s="17">
        <v>7707</v>
      </c>
      <c r="O20" s="17">
        <v>4034000</v>
      </c>
      <c r="P20" s="17">
        <v>4034000</v>
      </c>
      <c r="Q20" s="17">
        <v>2071650</v>
      </c>
      <c r="R20" s="18">
        <f t="shared" si="3"/>
        <v>51.354734754586019</v>
      </c>
      <c r="S20" s="17">
        <v>1772889</v>
      </c>
      <c r="T20" s="17"/>
      <c r="U20" s="17"/>
      <c r="V20" s="17"/>
      <c r="W20" s="18" t="e">
        <f t="shared" si="4"/>
        <v>#DIV/0!</v>
      </c>
      <c r="X20" s="17"/>
    </row>
    <row r="21" spans="1:24" s="7" customFormat="1" ht="9.75" x14ac:dyDescent="0.2">
      <c r="A21" s="15" t="s">
        <v>45</v>
      </c>
      <c r="B21" s="750" t="s">
        <v>46</v>
      </c>
      <c r="C21" s="750"/>
      <c r="D21" s="16" t="s">
        <v>16</v>
      </c>
      <c r="E21" s="17">
        <f t="shared" si="6"/>
        <v>237300</v>
      </c>
      <c r="F21" s="17">
        <f t="shared" si="6"/>
        <v>237300</v>
      </c>
      <c r="G21" s="17">
        <f t="shared" si="6"/>
        <v>118218</v>
      </c>
      <c r="H21" s="18">
        <f t="shared" si="0"/>
        <v>49.817951959544885</v>
      </c>
      <c r="I21" s="17">
        <v>110673</v>
      </c>
      <c r="J21" s="44">
        <v>0</v>
      </c>
      <c r="K21" s="17">
        <v>0</v>
      </c>
      <c r="L21" s="17">
        <v>0</v>
      </c>
      <c r="M21" s="18" t="e">
        <f t="shared" si="2"/>
        <v>#DIV/0!</v>
      </c>
      <c r="N21" s="17">
        <v>6508</v>
      </c>
      <c r="O21" s="17">
        <v>237300</v>
      </c>
      <c r="P21" s="17">
        <v>237300</v>
      </c>
      <c r="Q21" s="17">
        <v>118218</v>
      </c>
      <c r="R21" s="18">
        <f t="shared" si="3"/>
        <v>49.817951959544885</v>
      </c>
      <c r="S21" s="17">
        <v>104165</v>
      </c>
      <c r="T21" s="17"/>
      <c r="U21" s="17"/>
      <c r="V21" s="17"/>
      <c r="W21" s="18" t="e">
        <f t="shared" si="4"/>
        <v>#DIV/0!</v>
      </c>
      <c r="X21" s="17"/>
    </row>
    <row r="22" spans="1:24" s="7" customFormat="1" ht="9.75" x14ac:dyDescent="0.2">
      <c r="A22" s="15" t="s">
        <v>47</v>
      </c>
      <c r="B22" s="750" t="s">
        <v>48</v>
      </c>
      <c r="C22" s="750"/>
      <c r="D22" s="16" t="s">
        <v>16</v>
      </c>
      <c r="E22" s="17">
        <f t="shared" si="6"/>
        <v>0</v>
      </c>
      <c r="F22" s="17">
        <f t="shared" si="6"/>
        <v>0</v>
      </c>
      <c r="G22" s="17">
        <f t="shared" si="6"/>
        <v>0</v>
      </c>
      <c r="H22" s="18" t="e">
        <f t="shared" si="0"/>
        <v>#DIV/0!</v>
      </c>
      <c r="I22" s="17">
        <f t="shared" si="6"/>
        <v>0</v>
      </c>
      <c r="J22" s="44">
        <v>0</v>
      </c>
      <c r="K22" s="17">
        <v>0</v>
      </c>
      <c r="L22" s="17">
        <v>0</v>
      </c>
      <c r="M22" s="18" t="e">
        <f t="shared" si="2"/>
        <v>#DIV/0!</v>
      </c>
      <c r="N22" s="17">
        <v>0</v>
      </c>
      <c r="O22" s="17">
        <v>0</v>
      </c>
      <c r="P22" s="17">
        <v>0</v>
      </c>
      <c r="Q22" s="17">
        <v>0</v>
      </c>
      <c r="R22" s="18" t="e">
        <f t="shared" si="3"/>
        <v>#DIV/0!</v>
      </c>
      <c r="S22" s="17">
        <v>0</v>
      </c>
      <c r="T22" s="17"/>
      <c r="U22" s="17"/>
      <c r="V22" s="17"/>
      <c r="W22" s="18" t="e">
        <f t="shared" si="4"/>
        <v>#DIV/0!</v>
      </c>
      <c r="X22" s="17"/>
    </row>
    <row r="23" spans="1:24" s="7" customFormat="1" ht="9.75" x14ac:dyDescent="0.2">
      <c r="A23" s="15" t="s">
        <v>49</v>
      </c>
      <c r="B23" s="21" t="s">
        <v>50</v>
      </c>
      <c r="C23" s="21"/>
      <c r="D23" s="16" t="s">
        <v>16</v>
      </c>
      <c r="E23" s="17">
        <f t="shared" si="6"/>
        <v>0</v>
      </c>
      <c r="F23" s="17">
        <f t="shared" si="6"/>
        <v>0</v>
      </c>
      <c r="G23" s="17">
        <f t="shared" si="6"/>
        <v>0</v>
      </c>
      <c r="H23" s="18" t="e">
        <f t="shared" si="0"/>
        <v>#DIV/0!</v>
      </c>
      <c r="I23" s="17">
        <f t="shared" si="6"/>
        <v>0</v>
      </c>
      <c r="J23" s="44">
        <v>0</v>
      </c>
      <c r="K23" s="17">
        <v>0</v>
      </c>
      <c r="L23" s="17">
        <v>0</v>
      </c>
      <c r="M23" s="18" t="e">
        <f t="shared" si="2"/>
        <v>#DIV/0!</v>
      </c>
      <c r="N23" s="17">
        <v>0</v>
      </c>
      <c r="O23" s="17">
        <v>0</v>
      </c>
      <c r="P23" s="17">
        <v>0</v>
      </c>
      <c r="Q23" s="17">
        <v>0</v>
      </c>
      <c r="R23" s="18" t="e">
        <f t="shared" si="3"/>
        <v>#DIV/0!</v>
      </c>
      <c r="S23" s="17">
        <v>0</v>
      </c>
      <c r="T23" s="17"/>
      <c r="U23" s="17"/>
      <c r="V23" s="17"/>
      <c r="W23" s="18" t="e">
        <f t="shared" si="4"/>
        <v>#DIV/0!</v>
      </c>
      <c r="X23" s="17"/>
    </row>
    <row r="24" spans="1:24" s="7" customFormat="1" ht="9.75" x14ac:dyDescent="0.2">
      <c r="A24" s="15" t="s">
        <v>51</v>
      </c>
      <c r="B24" s="21" t="s">
        <v>52</v>
      </c>
      <c r="C24" s="21"/>
      <c r="D24" s="16" t="s">
        <v>16</v>
      </c>
      <c r="E24" s="17">
        <f t="shared" si="6"/>
        <v>0</v>
      </c>
      <c r="F24" s="17">
        <f t="shared" si="6"/>
        <v>0</v>
      </c>
      <c r="G24" s="17">
        <f t="shared" si="6"/>
        <v>0</v>
      </c>
      <c r="H24" s="18" t="e">
        <f t="shared" si="0"/>
        <v>#DIV/0!</v>
      </c>
      <c r="I24" s="17">
        <f t="shared" si="6"/>
        <v>0</v>
      </c>
      <c r="J24" s="44">
        <v>0</v>
      </c>
      <c r="K24" s="17">
        <v>0</v>
      </c>
      <c r="L24" s="17">
        <v>0</v>
      </c>
      <c r="M24" s="18" t="e">
        <f t="shared" si="2"/>
        <v>#DIV/0!</v>
      </c>
      <c r="N24" s="17">
        <v>0</v>
      </c>
      <c r="O24" s="17">
        <v>0</v>
      </c>
      <c r="P24" s="17">
        <v>0</v>
      </c>
      <c r="Q24" s="17">
        <v>0</v>
      </c>
      <c r="R24" s="18" t="e">
        <f t="shared" si="3"/>
        <v>#DIV/0!</v>
      </c>
      <c r="S24" s="17">
        <v>0</v>
      </c>
      <c r="T24" s="17"/>
      <c r="U24" s="17"/>
      <c r="V24" s="17"/>
      <c r="W24" s="18" t="e">
        <f t="shared" si="4"/>
        <v>#DIV/0!</v>
      </c>
      <c r="X24" s="17"/>
    </row>
    <row r="25" spans="1:24" s="7" customFormat="1" ht="9.75" x14ac:dyDescent="0.2">
      <c r="A25" s="15" t="s">
        <v>53</v>
      </c>
      <c r="B25" s="21" t="s">
        <v>54</v>
      </c>
      <c r="C25" s="21"/>
      <c r="D25" s="16" t="s">
        <v>16</v>
      </c>
      <c r="E25" s="17">
        <f t="shared" si="6"/>
        <v>0</v>
      </c>
      <c r="F25" s="17">
        <f t="shared" si="6"/>
        <v>0</v>
      </c>
      <c r="G25" s="17">
        <f t="shared" si="6"/>
        <v>0</v>
      </c>
      <c r="H25" s="18" t="e">
        <f t="shared" si="0"/>
        <v>#DIV/0!</v>
      </c>
      <c r="I25" s="17">
        <f t="shared" si="6"/>
        <v>0</v>
      </c>
      <c r="J25" s="44">
        <v>0</v>
      </c>
      <c r="K25" s="25">
        <v>0</v>
      </c>
      <c r="L25" s="25">
        <v>0</v>
      </c>
      <c r="M25" s="18" t="e">
        <f t="shared" si="2"/>
        <v>#DIV/0!</v>
      </c>
      <c r="N25" s="26">
        <v>0</v>
      </c>
      <c r="O25" s="25">
        <v>0</v>
      </c>
      <c r="P25" s="25">
        <v>0</v>
      </c>
      <c r="Q25" s="25">
        <v>0</v>
      </c>
      <c r="R25" s="18" t="e">
        <f t="shared" si="3"/>
        <v>#DIV/0!</v>
      </c>
      <c r="S25" s="25">
        <v>0</v>
      </c>
      <c r="T25" s="25"/>
      <c r="U25" s="25"/>
      <c r="V25" s="25"/>
      <c r="W25" s="18" t="e">
        <f t="shared" si="4"/>
        <v>#DIV/0!</v>
      </c>
      <c r="X25" s="25"/>
    </row>
    <row r="26" spans="1:24" s="30" customFormat="1" ht="9.75" x14ac:dyDescent="0.2">
      <c r="A26" s="15" t="s">
        <v>55</v>
      </c>
      <c r="B26" s="750" t="s">
        <v>56</v>
      </c>
      <c r="C26" s="750"/>
      <c r="D26" s="16" t="s">
        <v>16</v>
      </c>
      <c r="E26" s="17">
        <f t="shared" si="6"/>
        <v>601659</v>
      </c>
      <c r="F26" s="17">
        <f t="shared" si="6"/>
        <v>765659</v>
      </c>
      <c r="G26" s="17">
        <f t="shared" si="6"/>
        <v>382616</v>
      </c>
      <c r="H26" s="29">
        <f>G26/F26*100</f>
        <v>49.972115524012651</v>
      </c>
      <c r="I26" s="17">
        <v>304219</v>
      </c>
      <c r="J26" s="44">
        <v>601659</v>
      </c>
      <c r="K26" s="26">
        <v>765659</v>
      </c>
      <c r="L26" s="26">
        <v>382616</v>
      </c>
      <c r="M26" s="18">
        <f>L26/K26*100</f>
        <v>49.972115524012651</v>
      </c>
      <c r="N26" s="26">
        <v>304219</v>
      </c>
      <c r="O26" s="26">
        <v>0</v>
      </c>
      <c r="P26" s="26">
        <v>0</v>
      </c>
      <c r="Q26" s="26">
        <v>0</v>
      </c>
      <c r="R26" s="18" t="e">
        <f>Q26/P26*100</f>
        <v>#DIV/0!</v>
      </c>
      <c r="S26" s="26">
        <v>0</v>
      </c>
      <c r="T26" s="46"/>
      <c r="U26" s="46"/>
      <c r="V26" s="46"/>
      <c r="W26" s="18" t="e">
        <f>V26/U26*100</f>
        <v>#DIV/0!</v>
      </c>
      <c r="X26" s="46"/>
    </row>
    <row r="27" spans="1:24" s="30" customFormat="1" ht="9.75" x14ac:dyDescent="0.2">
      <c r="A27" s="15" t="s">
        <v>57</v>
      </c>
      <c r="B27" s="21" t="s">
        <v>58</v>
      </c>
      <c r="C27" s="21"/>
      <c r="D27" s="16" t="s">
        <v>16</v>
      </c>
      <c r="E27" s="17">
        <f t="shared" si="6"/>
        <v>0</v>
      </c>
      <c r="F27" s="17">
        <f t="shared" si="6"/>
        <v>0</v>
      </c>
      <c r="G27" s="17">
        <f t="shared" si="6"/>
        <v>0</v>
      </c>
      <c r="H27" s="29" t="e">
        <f t="shared" si="0"/>
        <v>#DIV/0!</v>
      </c>
      <c r="I27" s="17">
        <f t="shared" si="6"/>
        <v>0</v>
      </c>
      <c r="J27" s="44">
        <v>0</v>
      </c>
      <c r="K27" s="26">
        <v>0</v>
      </c>
      <c r="L27" s="26">
        <v>0</v>
      </c>
      <c r="M27" s="18" t="e">
        <f t="shared" si="2"/>
        <v>#DIV/0!</v>
      </c>
      <c r="N27" s="17">
        <v>0</v>
      </c>
      <c r="O27" s="26">
        <v>0</v>
      </c>
      <c r="P27" s="26">
        <v>0</v>
      </c>
      <c r="Q27" s="26">
        <v>0</v>
      </c>
      <c r="R27" s="18" t="e">
        <f t="shared" si="3"/>
        <v>#DIV/0!</v>
      </c>
      <c r="S27" s="26">
        <v>0</v>
      </c>
      <c r="T27" s="46"/>
      <c r="U27" s="46"/>
      <c r="V27" s="46"/>
      <c r="W27" s="18" t="e">
        <f t="shared" si="4"/>
        <v>#DIV/0!</v>
      </c>
      <c r="X27" s="46"/>
    </row>
    <row r="28" spans="1:24" s="30" customFormat="1" ht="9.75" x14ac:dyDescent="0.2">
      <c r="A28" s="15" t="s">
        <v>59</v>
      </c>
      <c r="B28" s="21" t="s">
        <v>60</v>
      </c>
      <c r="C28" s="21"/>
      <c r="D28" s="16" t="s">
        <v>16</v>
      </c>
      <c r="E28" s="17">
        <f>SUM(J28,O28)</f>
        <v>334760</v>
      </c>
      <c r="F28" s="17">
        <f>SUM(K28,P28)</f>
        <v>334760</v>
      </c>
      <c r="G28" s="17">
        <f>SUM(L28,Q28)</f>
        <v>93847</v>
      </c>
      <c r="H28" s="29">
        <f>G28/F28*100</f>
        <v>28.034113992113753</v>
      </c>
      <c r="I28" s="17">
        <v>260073</v>
      </c>
      <c r="J28" s="44">
        <v>260000</v>
      </c>
      <c r="K28" s="26">
        <v>260000</v>
      </c>
      <c r="L28" s="26">
        <v>93847</v>
      </c>
      <c r="M28" s="18">
        <f>L28/K28*100</f>
        <v>36.094999999999999</v>
      </c>
      <c r="N28" s="17">
        <v>260073</v>
      </c>
      <c r="O28" s="26">
        <v>74760</v>
      </c>
      <c r="P28" s="26">
        <v>74760</v>
      </c>
      <c r="Q28" s="26">
        <v>0</v>
      </c>
      <c r="R28" s="18">
        <f>Q28/P28*100</f>
        <v>0</v>
      </c>
      <c r="S28" s="26">
        <v>0</v>
      </c>
      <c r="T28" s="46"/>
      <c r="U28" s="46"/>
      <c r="V28" s="46"/>
      <c r="W28" s="18" t="e">
        <f>V28/U28*100</f>
        <v>#DIV/0!</v>
      </c>
      <c r="X28" s="46"/>
    </row>
    <row r="29" spans="1:24" s="31" customFormat="1" ht="9.75" x14ac:dyDescent="0.2">
      <c r="A29" s="15" t="s">
        <v>61</v>
      </c>
      <c r="B29" s="21" t="s">
        <v>62</v>
      </c>
      <c r="C29" s="21"/>
      <c r="D29" s="16" t="s">
        <v>16</v>
      </c>
      <c r="E29" s="17">
        <f t="shared" si="6"/>
        <v>9500</v>
      </c>
      <c r="F29" s="17">
        <f t="shared" si="6"/>
        <v>9500</v>
      </c>
      <c r="G29" s="17">
        <f t="shared" si="6"/>
        <v>391</v>
      </c>
      <c r="H29" s="29">
        <f t="shared" si="0"/>
        <v>4.1157894736842104</v>
      </c>
      <c r="I29" s="17">
        <v>391</v>
      </c>
      <c r="J29" s="44">
        <v>9500</v>
      </c>
      <c r="K29" s="26">
        <v>9500</v>
      </c>
      <c r="L29" s="26">
        <v>391</v>
      </c>
      <c r="M29" s="18">
        <f t="shared" si="2"/>
        <v>4.1157894736842104</v>
      </c>
      <c r="N29" s="26">
        <v>391</v>
      </c>
      <c r="O29" s="26">
        <v>0</v>
      </c>
      <c r="P29" s="26">
        <v>0</v>
      </c>
      <c r="Q29" s="26">
        <v>0</v>
      </c>
      <c r="R29" s="18" t="e">
        <f t="shared" si="3"/>
        <v>#DIV/0!</v>
      </c>
      <c r="S29" s="26">
        <v>0</v>
      </c>
      <c r="T29" s="46"/>
      <c r="U29" s="46"/>
      <c r="V29" s="46"/>
      <c r="W29" s="18" t="e">
        <f t="shared" si="4"/>
        <v>#DIV/0!</v>
      </c>
      <c r="X29" s="46"/>
    </row>
    <row r="30" spans="1:24" s="7" customFormat="1" ht="9.75" x14ac:dyDescent="0.2">
      <c r="A30" s="15" t="s">
        <v>63</v>
      </c>
      <c r="B30" s="21" t="s">
        <v>64</v>
      </c>
      <c r="C30" s="21"/>
      <c r="D30" s="16" t="s">
        <v>16</v>
      </c>
      <c r="E30" s="17">
        <f t="shared" ref="E30:G31" si="7">SUM(J30,O30)</f>
        <v>0</v>
      </c>
      <c r="F30" s="17">
        <f t="shared" si="7"/>
        <v>0</v>
      </c>
      <c r="G30" s="17">
        <f t="shared" si="7"/>
        <v>0</v>
      </c>
      <c r="H30" s="29" t="e">
        <f t="shared" si="0"/>
        <v>#DIV/0!</v>
      </c>
      <c r="I30" s="17">
        <f>SUM(N30,S30)</f>
        <v>0</v>
      </c>
      <c r="J30" s="44">
        <v>0</v>
      </c>
      <c r="K30" s="26">
        <v>0</v>
      </c>
      <c r="L30" s="26">
        <v>0</v>
      </c>
      <c r="M30" s="18" t="e">
        <f t="shared" si="2"/>
        <v>#DIV/0!</v>
      </c>
      <c r="N30" s="26">
        <v>0</v>
      </c>
      <c r="O30" s="26">
        <v>0</v>
      </c>
      <c r="P30" s="26">
        <v>0</v>
      </c>
      <c r="Q30" s="26">
        <v>0</v>
      </c>
      <c r="R30" s="18" t="e">
        <f t="shared" si="3"/>
        <v>#DIV/0!</v>
      </c>
      <c r="S30" s="26">
        <v>0</v>
      </c>
      <c r="T30" s="46"/>
      <c r="U30" s="46"/>
      <c r="V30" s="46"/>
      <c r="W30" s="18" t="e">
        <f t="shared" si="4"/>
        <v>#DIV/0!</v>
      </c>
      <c r="X30" s="46"/>
    </row>
    <row r="31" spans="1:24" s="34" customFormat="1" ht="9.75" x14ac:dyDescent="0.2">
      <c r="A31" s="15" t="s">
        <v>65</v>
      </c>
      <c r="B31" s="21" t="s">
        <v>66</v>
      </c>
      <c r="C31" s="21"/>
      <c r="D31" s="16" t="s">
        <v>16</v>
      </c>
      <c r="E31" s="17">
        <f t="shared" si="7"/>
        <v>0</v>
      </c>
      <c r="F31" s="17">
        <f t="shared" si="7"/>
        <v>0</v>
      </c>
      <c r="G31" s="17">
        <f t="shared" si="7"/>
        <v>0</v>
      </c>
      <c r="H31" s="29" t="e">
        <f t="shared" si="0"/>
        <v>#DIV/0!</v>
      </c>
      <c r="I31" s="17">
        <f>SUM(N31,S31)</f>
        <v>0</v>
      </c>
      <c r="J31" s="44">
        <v>0</v>
      </c>
      <c r="K31" s="32">
        <v>0</v>
      </c>
      <c r="L31" s="32">
        <v>0</v>
      </c>
      <c r="M31" s="18" t="e">
        <f t="shared" si="2"/>
        <v>#DIV/0!</v>
      </c>
      <c r="N31" s="32">
        <v>0</v>
      </c>
      <c r="O31" s="32">
        <v>0</v>
      </c>
      <c r="P31" s="32">
        <v>0</v>
      </c>
      <c r="Q31" s="32">
        <v>0</v>
      </c>
      <c r="R31" s="18" t="e">
        <f t="shared" si="3"/>
        <v>#DIV/0!</v>
      </c>
      <c r="S31" s="32">
        <v>0</v>
      </c>
      <c r="T31" s="33"/>
      <c r="U31" s="33"/>
      <c r="V31" s="33"/>
      <c r="W31" s="18" t="e">
        <f t="shared" si="4"/>
        <v>#DIV/0!</v>
      </c>
      <c r="X31" s="33"/>
    </row>
    <row r="32" spans="1:24" s="34" customFormat="1" ht="9.75" x14ac:dyDescent="0.2">
      <c r="A32" s="15" t="s">
        <v>67</v>
      </c>
      <c r="B32" s="21" t="s">
        <v>68</v>
      </c>
      <c r="C32" s="21"/>
      <c r="D32" s="16" t="s">
        <v>16</v>
      </c>
      <c r="E32" s="17">
        <f>SUM(J32,O32)</f>
        <v>0</v>
      </c>
      <c r="F32" s="17">
        <f>SUM(K32,P32)</f>
        <v>0</v>
      </c>
      <c r="G32" s="17">
        <f>SUM(L32,Q32)</f>
        <v>0</v>
      </c>
      <c r="H32" s="29" t="e">
        <f t="shared" si="0"/>
        <v>#DIV/0!</v>
      </c>
      <c r="I32" s="17">
        <f>SUM(N32,S32)</f>
        <v>0</v>
      </c>
      <c r="J32" s="47">
        <v>0</v>
      </c>
      <c r="K32" s="33">
        <v>0</v>
      </c>
      <c r="L32" s="33">
        <v>0</v>
      </c>
      <c r="M32" s="18" t="e">
        <f t="shared" si="2"/>
        <v>#DIV/0!</v>
      </c>
      <c r="N32" s="33">
        <v>0</v>
      </c>
      <c r="O32" s="33">
        <v>0</v>
      </c>
      <c r="P32" s="33">
        <v>0</v>
      </c>
      <c r="Q32" s="33">
        <v>0</v>
      </c>
      <c r="R32" s="18" t="e">
        <f t="shared" si="3"/>
        <v>#DIV/0!</v>
      </c>
      <c r="S32" s="33">
        <v>0</v>
      </c>
      <c r="T32" s="33"/>
      <c r="U32" s="33"/>
      <c r="V32" s="33"/>
      <c r="W32" s="18" t="e">
        <f t="shared" si="4"/>
        <v>#DIV/0!</v>
      </c>
      <c r="X32" s="33"/>
    </row>
    <row r="33" spans="1:24" s="34" customFormat="1" ht="9.75" x14ac:dyDescent="0.2">
      <c r="A33" s="11" t="s">
        <v>69</v>
      </c>
      <c r="B33" s="35" t="s">
        <v>70</v>
      </c>
      <c r="C33" s="35"/>
      <c r="D33" s="12" t="s">
        <v>16</v>
      </c>
      <c r="E33" s="13">
        <f>E6-E11</f>
        <v>0</v>
      </c>
      <c r="F33" s="13">
        <f>F6-F11</f>
        <v>0</v>
      </c>
      <c r="G33" s="13">
        <f>G6-G11</f>
        <v>1473325</v>
      </c>
      <c r="H33" s="36" t="e">
        <f t="shared" si="0"/>
        <v>#DIV/0!</v>
      </c>
      <c r="I33" s="13">
        <f>I6-I11</f>
        <v>563312</v>
      </c>
      <c r="J33" s="13">
        <f>J6-J11</f>
        <v>0</v>
      </c>
      <c r="K33" s="13">
        <f>K6-K11</f>
        <v>0</v>
      </c>
      <c r="L33" s="13">
        <f>L6-L11</f>
        <v>1295856</v>
      </c>
      <c r="M33" s="14" t="e">
        <f t="shared" si="2"/>
        <v>#DIV/0!</v>
      </c>
      <c r="N33" s="13">
        <f>N6-N11</f>
        <v>441518</v>
      </c>
      <c r="O33" s="13">
        <f>O6-O11</f>
        <v>0</v>
      </c>
      <c r="P33" s="13">
        <f>P6-P11</f>
        <v>0</v>
      </c>
      <c r="Q33" s="13">
        <f>Q6-Q11</f>
        <v>177469</v>
      </c>
      <c r="R33" s="14" t="e">
        <f t="shared" si="3"/>
        <v>#DIV/0!</v>
      </c>
      <c r="S33" s="13">
        <f>S6-S11</f>
        <v>121794</v>
      </c>
      <c r="T33" s="13">
        <f>T6-T11</f>
        <v>0</v>
      </c>
      <c r="U33" s="13">
        <f>U6-U11</f>
        <v>0</v>
      </c>
      <c r="V33" s="13">
        <f>V6-V11</f>
        <v>0</v>
      </c>
      <c r="W33" s="14" t="e">
        <f t="shared" si="4"/>
        <v>#DIV/0!</v>
      </c>
      <c r="X33" s="13">
        <f>X6-X11</f>
        <v>0</v>
      </c>
    </row>
    <row r="34" spans="1:24" s="1" customFormat="1" ht="9.75" x14ac:dyDescent="0.2">
      <c r="A34" s="37" t="s">
        <v>71</v>
      </c>
      <c r="B34" s="749" t="s">
        <v>72</v>
      </c>
      <c r="C34" s="749"/>
      <c r="D34" s="38" t="s">
        <v>16</v>
      </c>
      <c r="E34" s="48">
        <v>19775</v>
      </c>
      <c r="F34" s="48">
        <v>19775</v>
      </c>
      <c r="G34" s="48">
        <v>19986</v>
      </c>
      <c r="H34" s="29">
        <f t="shared" si="0"/>
        <v>101.06700379266751</v>
      </c>
      <c r="I34" s="48">
        <v>20305</v>
      </c>
      <c r="J34" s="39"/>
      <c r="K34" s="39"/>
      <c r="L34" s="39"/>
      <c r="M34" s="14" t="e">
        <f t="shared" si="2"/>
        <v>#DIV/0!</v>
      </c>
      <c r="N34" s="39">
        <v>1270</v>
      </c>
      <c r="O34" s="39">
        <v>19775</v>
      </c>
      <c r="P34" s="39">
        <v>19986</v>
      </c>
      <c r="Q34" s="39">
        <v>19775</v>
      </c>
      <c r="R34" s="14">
        <f t="shared" si="3"/>
        <v>98.944260982687879</v>
      </c>
      <c r="S34" s="39">
        <v>20186</v>
      </c>
      <c r="T34" s="39"/>
      <c r="U34" s="39"/>
      <c r="V34" s="39"/>
      <c r="W34" s="14" t="e">
        <f t="shared" si="4"/>
        <v>#DIV/0!</v>
      </c>
      <c r="X34" s="39"/>
    </row>
    <row r="35" spans="1:24" s="1" customFormat="1" ht="9.75" x14ac:dyDescent="0.2">
      <c r="A35" s="40" t="s">
        <v>73</v>
      </c>
      <c r="B35" s="751" t="s">
        <v>74</v>
      </c>
      <c r="C35" s="751"/>
      <c r="D35" s="40" t="s">
        <v>75</v>
      </c>
      <c r="E35" s="48">
        <v>42</v>
      </c>
      <c r="F35" s="48">
        <v>42</v>
      </c>
      <c r="G35" s="48">
        <v>42</v>
      </c>
      <c r="H35" s="29">
        <f t="shared" si="0"/>
        <v>100</v>
      </c>
      <c r="I35" s="48">
        <v>43</v>
      </c>
      <c r="J35" s="39"/>
      <c r="K35" s="51"/>
      <c r="L35" s="39"/>
      <c r="M35" s="14" t="e">
        <f t="shared" si="2"/>
        <v>#DIV/0!</v>
      </c>
      <c r="N35" s="39">
        <v>0</v>
      </c>
      <c r="O35" s="39">
        <v>42</v>
      </c>
      <c r="P35" s="39">
        <v>42</v>
      </c>
      <c r="Q35" s="39">
        <v>42</v>
      </c>
      <c r="R35" s="14">
        <f t="shared" si="3"/>
        <v>100</v>
      </c>
      <c r="S35" s="39">
        <v>43</v>
      </c>
      <c r="T35" s="39"/>
      <c r="U35" s="39"/>
      <c r="V35" s="39"/>
      <c r="W35" s="14" t="e">
        <f t="shared" si="4"/>
        <v>#DIV/0!</v>
      </c>
      <c r="X35" s="39"/>
    </row>
    <row r="36" spans="1:24" s="1" customFormat="1" ht="9.75" x14ac:dyDescent="0.2">
      <c r="A36" s="37" t="s">
        <v>76</v>
      </c>
      <c r="B36" s="749" t="s">
        <v>77</v>
      </c>
      <c r="C36" s="749"/>
      <c r="D36" s="38" t="s">
        <v>75</v>
      </c>
      <c r="E36" s="48">
        <v>51</v>
      </c>
      <c r="F36" s="48">
        <v>51</v>
      </c>
      <c r="G36" s="48">
        <v>51</v>
      </c>
      <c r="H36" s="29">
        <f t="shared" si="0"/>
        <v>100</v>
      </c>
      <c r="I36" s="48">
        <v>48</v>
      </c>
      <c r="J36" s="39"/>
      <c r="K36" s="39"/>
      <c r="L36" s="39"/>
      <c r="M36" s="14" t="e">
        <f t="shared" si="2"/>
        <v>#DIV/0!</v>
      </c>
      <c r="N36" s="39">
        <v>2</v>
      </c>
      <c r="O36" s="39">
        <v>51</v>
      </c>
      <c r="P36" s="39">
        <v>51</v>
      </c>
      <c r="Q36" s="39">
        <v>51</v>
      </c>
      <c r="R36" s="14">
        <f t="shared" si="3"/>
        <v>100</v>
      </c>
      <c r="S36" s="39">
        <v>47</v>
      </c>
      <c r="T36" s="39"/>
      <c r="U36" s="39"/>
      <c r="V36" s="39"/>
      <c r="W36" s="14" t="e">
        <f t="shared" si="4"/>
        <v>#DIV/0!</v>
      </c>
      <c r="X36" s="39"/>
    </row>
  </sheetData>
  <mergeCells count="38">
    <mergeCell ref="A1:X1"/>
    <mergeCell ref="A3:A5"/>
    <mergeCell ref="B3:C5"/>
    <mergeCell ref="D3:D5"/>
    <mergeCell ref="E3:I3"/>
    <mergeCell ref="J3:N3"/>
    <mergeCell ref="O3:S3"/>
    <mergeCell ref="T3:X3"/>
    <mergeCell ref="E4:E5"/>
    <mergeCell ref="F4:H4"/>
    <mergeCell ref="I4:I5"/>
    <mergeCell ref="J4:J5"/>
    <mergeCell ref="X4:X5"/>
    <mergeCell ref="B6:C6"/>
    <mergeCell ref="O4:O5"/>
    <mergeCell ref="P4:R4"/>
    <mergeCell ref="B12:C12"/>
    <mergeCell ref="K4:M4"/>
    <mergeCell ref="N4:N5"/>
    <mergeCell ref="S4:S5"/>
    <mergeCell ref="T4:T5"/>
    <mergeCell ref="U4:W4"/>
    <mergeCell ref="B8:C8"/>
    <mergeCell ref="B10:C10"/>
    <mergeCell ref="B11:C11"/>
    <mergeCell ref="B7:C7"/>
    <mergeCell ref="B13:C13"/>
    <mergeCell ref="B26:C26"/>
    <mergeCell ref="B34:C34"/>
    <mergeCell ref="B35:C35"/>
    <mergeCell ref="B15:C15"/>
    <mergeCell ref="B36:C36"/>
    <mergeCell ref="B16:C16"/>
    <mergeCell ref="B18:C18"/>
    <mergeCell ref="B19:C19"/>
    <mergeCell ref="B20:C20"/>
    <mergeCell ref="B21:C21"/>
    <mergeCell ref="B22:C22"/>
  </mergeCells>
  <pageMargins left="0.70866141732283472" right="0.70866141732283472" top="0.78740157480314965" bottom="0.78740157480314965" header="0.31496062992125984" footer="0.31496062992125984"/>
  <pageSetup paperSize="9" firstPageNumber="103" orientation="landscape" useFirstPageNumber="1"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38</vt:i4>
      </vt:variant>
    </vt:vector>
  </HeadingPairs>
  <TitlesOfParts>
    <vt:vector size="38" baseType="lpstr">
      <vt:lpstr>MŠ Smet1</vt:lpstr>
      <vt:lpstr>MŠ Smet</vt:lpstr>
      <vt:lpstr>MŠ Šárka1</vt:lpstr>
      <vt:lpstr>MŠ Šárka</vt:lpstr>
      <vt:lpstr>MŠ Rum1</vt:lpstr>
      <vt:lpstr>MŠ Rum</vt:lpstr>
      <vt:lpstr>MŠ Mor1</vt:lpstr>
      <vt:lpstr>MŠ Mor</vt:lpstr>
      <vt:lpstr>MŠ Part1</vt:lpstr>
      <vt:lpstr>MŠ Part</vt:lpstr>
      <vt:lpstr>ZŠ Mel1</vt:lpstr>
      <vt:lpstr>ZŠ Mel</vt:lpstr>
      <vt:lpstr>ZŠ Val1</vt:lpstr>
      <vt:lpstr>ZŠ Val</vt:lpstr>
      <vt:lpstr>ZŠ Pal1</vt:lpstr>
      <vt:lpstr>ZŠ Pal</vt:lpstr>
      <vt:lpstr>ZŠ Kol1</vt:lpstr>
      <vt:lpstr>ZŠ Kol</vt:lpstr>
      <vt:lpstr>ZŠ JŽ1</vt:lpstr>
      <vt:lpstr>ZŠ JŽ</vt:lpstr>
      <vt:lpstr>ZŠ Maj1</vt:lpstr>
      <vt:lpstr>ZŠ Maj</vt:lpstr>
      <vt:lpstr>ZŠ Hor1</vt:lpstr>
      <vt:lpstr>ZŠ Hor</vt:lpstr>
      <vt:lpstr>RG1</vt:lpstr>
      <vt:lpstr>RG</vt:lpstr>
      <vt:lpstr>ZUŠ1</vt:lpstr>
      <vt:lpstr>ZUŠ</vt:lpstr>
      <vt:lpstr>DDM1</vt:lpstr>
      <vt:lpstr>DDM</vt:lpstr>
      <vt:lpstr>knihovna1</vt:lpstr>
      <vt:lpstr>knihovna</vt:lpstr>
      <vt:lpstr>divadlo1</vt:lpstr>
      <vt:lpstr>divadlo</vt:lpstr>
      <vt:lpstr>kino1</vt:lpstr>
      <vt:lpstr>kino</vt:lpstr>
      <vt:lpstr>jesle1</vt:lpstr>
      <vt:lpstr>jesle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Ptáčková Eva</dc:creator>
  <cp:lastModifiedBy>Ptáčková Eva</cp:lastModifiedBy>
  <cp:lastPrinted>2018-08-10T06:00:37Z</cp:lastPrinted>
  <dcterms:created xsi:type="dcterms:W3CDTF">2017-08-21T09:23:30Z</dcterms:created>
  <dcterms:modified xsi:type="dcterms:W3CDTF">2018-08-10T06:05:55Z</dcterms:modified>
</cp:coreProperties>
</file>