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ata_odbory\FO\Public\Zápisy z porad\Materiály do RMP\2020\RMP_19_05_2020_Závěrečný účet 2019\"/>
    </mc:Choice>
  </mc:AlternateContent>
  <bookViews>
    <workbookView xWindow="-108" yWindow="-108" windowWidth="19428" windowHeight="10428"/>
  </bookViews>
  <sheets>
    <sheet name="MŠ Smet1" sheetId="81" r:id="rId1"/>
    <sheet name="MŠ Smet" sheetId="63" r:id="rId2"/>
    <sheet name="MŠ Šárka1" sheetId="82" r:id="rId3"/>
    <sheet name="MŠ Šárka" sheetId="64" r:id="rId4"/>
    <sheet name="MŠ Rumun1" sheetId="83" r:id="rId5"/>
    <sheet name="MŠ Rumun" sheetId="65" r:id="rId6"/>
    <sheet name="MŠ Mor1" sheetId="84" r:id="rId7"/>
    <sheet name="MŠ Mor" sheetId="66" r:id="rId8"/>
    <sheet name="MŠ Part1" sheetId="85" r:id="rId9"/>
    <sheet name="MŠ Part" sheetId="67" r:id="rId10"/>
    <sheet name="ZŠ Melan1" sheetId="89" r:id="rId11"/>
    <sheet name="ZŠ Melan" sheetId="68" r:id="rId12"/>
    <sheet name="ZŠ Val1" sheetId="69" r:id="rId13"/>
    <sheet name="ZŠ Val" sheetId="86" r:id="rId14"/>
    <sheet name="ZŠ Pal1" sheetId="70" r:id="rId15"/>
    <sheet name="ZŠ Pal" sheetId="87" r:id="rId16"/>
    <sheet name="ZŠ Koll1" sheetId="90" r:id="rId17"/>
    <sheet name="ZŠ Koll" sheetId="71" r:id="rId18"/>
    <sheet name="ZŠ JŽ1" sheetId="91" r:id="rId19"/>
    <sheet name="ZŠ JŽ" sheetId="72" r:id="rId20"/>
    <sheet name="ZŠ Maj1" sheetId="92" r:id="rId21"/>
    <sheet name="ZŠ Maj" sheetId="73" r:id="rId22"/>
    <sheet name="ZŠ Dr.Hor1" sheetId="93" r:id="rId23"/>
    <sheet name="ZŠ Dr.Hor" sheetId="74" r:id="rId24"/>
    <sheet name="RG a ZŠ1" sheetId="94" r:id="rId25"/>
    <sheet name="RG a ZŠ" sheetId="75" r:id="rId26"/>
    <sheet name="ZUŠ1" sheetId="96" r:id="rId27"/>
    <sheet name="ZUŠ" sheetId="76" r:id="rId28"/>
    <sheet name="Sportcentrum1" sheetId="97" r:id="rId29"/>
    <sheet name="Sportcentrum" sheetId="77" r:id="rId30"/>
    <sheet name="Knihovna1" sheetId="98" r:id="rId31"/>
    <sheet name="Knihovna" sheetId="78" r:id="rId32"/>
    <sheet name="Divadlo1" sheetId="99" r:id="rId33"/>
    <sheet name="Divadlo" sheetId="103" r:id="rId34"/>
    <sheet name="Jesle1" sheetId="100" r:id="rId35"/>
    <sheet name="Jesle" sheetId="79" r:id="rId36"/>
    <sheet name="Kino1" sheetId="102" r:id="rId37"/>
    <sheet name="Kino" sheetId="101" r:id="rId38"/>
  </sheets>
  <externalReferences>
    <externalReference r:id="rId39"/>
  </externalReferences>
  <definedNames>
    <definedName name="_xlnm.Print_Area" localSheetId="17">'ZŠ Koll'!$A$1:$I$197</definedName>
    <definedName name="_xlnm.Print_Area" localSheetId="13">'ZŠ Val'!$A$1:$I$137</definedName>
  </definedNames>
  <calcPr calcId="152511"/>
</workbook>
</file>

<file path=xl/calcChain.xml><?xml version="1.0" encoding="utf-8"?>
<calcChain xmlns="http://schemas.openxmlformats.org/spreadsheetml/2006/main">
  <c r="R36" i="70" l="1"/>
  <c r="H36" i="70"/>
  <c r="R35" i="70"/>
  <c r="H35" i="70"/>
  <c r="Q34" i="70"/>
  <c r="O34" i="70"/>
  <c r="I32" i="70"/>
  <c r="G32" i="70"/>
  <c r="F32" i="70"/>
  <c r="E32" i="70"/>
  <c r="I31" i="70"/>
  <c r="G31" i="70"/>
  <c r="F31" i="70"/>
  <c r="E31" i="70"/>
  <c r="I30" i="70"/>
  <c r="G30" i="70"/>
  <c r="F30" i="70"/>
  <c r="E30" i="70"/>
  <c r="M29" i="70"/>
  <c r="I29" i="70"/>
  <c r="G29" i="70"/>
  <c r="H29" i="70" s="1"/>
  <c r="F29" i="70"/>
  <c r="E29" i="70"/>
  <c r="S28" i="70"/>
  <c r="I28" i="70" s="1"/>
  <c r="Q28" i="70"/>
  <c r="R28" i="70" s="1"/>
  <c r="P28" i="70"/>
  <c r="F28" i="70" s="1"/>
  <c r="M28" i="70"/>
  <c r="E28" i="70"/>
  <c r="I27" i="70"/>
  <c r="G27" i="70"/>
  <c r="F27" i="70"/>
  <c r="E27" i="70"/>
  <c r="W26" i="70"/>
  <c r="M26" i="70"/>
  <c r="I26" i="70"/>
  <c r="H26" i="70"/>
  <c r="G26" i="70"/>
  <c r="F26" i="70"/>
  <c r="E26" i="70"/>
  <c r="I25" i="70"/>
  <c r="G25" i="70"/>
  <c r="F25" i="70"/>
  <c r="E25" i="70"/>
  <c r="I24" i="70"/>
  <c r="G24" i="70"/>
  <c r="F24" i="70"/>
  <c r="E24" i="70"/>
  <c r="I23" i="70"/>
  <c r="G23" i="70"/>
  <c r="F23" i="70"/>
  <c r="H23" i="70" s="1"/>
  <c r="E23" i="70"/>
  <c r="I22" i="70"/>
  <c r="G22" i="70"/>
  <c r="F22" i="70"/>
  <c r="E22" i="70"/>
  <c r="W21" i="70"/>
  <c r="S21" i="70"/>
  <c r="Q21" i="70"/>
  <c r="G21" i="70" s="1"/>
  <c r="H21" i="70" s="1"/>
  <c r="P21" i="70"/>
  <c r="M21" i="70"/>
  <c r="I21" i="70"/>
  <c r="F21" i="70"/>
  <c r="E21" i="70"/>
  <c r="W20" i="70"/>
  <c r="S20" i="70"/>
  <c r="Q20" i="70"/>
  <c r="R20" i="70" s="1"/>
  <c r="P20" i="70"/>
  <c r="O20" i="70"/>
  <c r="N20" i="70"/>
  <c r="L20" i="70"/>
  <c r="K20" i="70"/>
  <c r="F20" i="70" s="1"/>
  <c r="I20" i="70"/>
  <c r="G20" i="70"/>
  <c r="E20" i="70"/>
  <c r="W19" i="70"/>
  <c r="S19" i="70"/>
  <c r="S34" i="70" s="1"/>
  <c r="R19" i="70"/>
  <c r="Q19" i="70"/>
  <c r="G19" i="70" s="1"/>
  <c r="P19" i="70"/>
  <c r="P34" i="70" s="1"/>
  <c r="M19" i="70"/>
  <c r="F19" i="70"/>
  <c r="F34" i="70" s="1"/>
  <c r="E19" i="70"/>
  <c r="E34" i="70" s="1"/>
  <c r="W18" i="70"/>
  <c r="S18" i="70"/>
  <c r="R18" i="70"/>
  <c r="Q18" i="70"/>
  <c r="P18" i="70"/>
  <c r="F18" i="70" s="1"/>
  <c r="H18" i="70" s="1"/>
  <c r="M18" i="70"/>
  <c r="I18" i="70"/>
  <c r="G18" i="70"/>
  <c r="E18" i="70"/>
  <c r="M17" i="70"/>
  <c r="I17" i="70"/>
  <c r="G17" i="70"/>
  <c r="H17" i="70" s="1"/>
  <c r="F17" i="70"/>
  <c r="E17" i="70"/>
  <c r="S16" i="70"/>
  <c r="R16" i="70"/>
  <c r="M16" i="70"/>
  <c r="I16" i="70"/>
  <c r="G16" i="70"/>
  <c r="H16" i="70" s="1"/>
  <c r="F16" i="70"/>
  <c r="E16" i="70"/>
  <c r="W15" i="70"/>
  <c r="M15" i="70"/>
  <c r="I15" i="70"/>
  <c r="G15" i="70"/>
  <c r="F15" i="70"/>
  <c r="H15" i="70" s="1"/>
  <c r="E15" i="70"/>
  <c r="I14" i="70"/>
  <c r="G14" i="70"/>
  <c r="F14" i="70"/>
  <c r="E14" i="70"/>
  <c r="W13" i="70"/>
  <c r="M13" i="70"/>
  <c r="I13" i="70"/>
  <c r="H13" i="70"/>
  <c r="G13" i="70"/>
  <c r="F13" i="70"/>
  <c r="E13" i="70"/>
  <c r="E11" i="70" s="1"/>
  <c r="W12" i="70"/>
  <c r="S12" i="70"/>
  <c r="I12" i="70" s="1"/>
  <c r="Q12" i="70"/>
  <c r="G12" i="70" s="1"/>
  <c r="P12" i="70"/>
  <c r="F12" i="70" s="1"/>
  <c r="M12" i="70"/>
  <c r="E12" i="70"/>
  <c r="X11" i="70"/>
  <c r="W11" i="70"/>
  <c r="V11" i="70"/>
  <c r="U11" i="70"/>
  <c r="T11" i="70"/>
  <c r="O11" i="70"/>
  <c r="O33" i="70" s="1"/>
  <c r="N11" i="70"/>
  <c r="L11" i="70"/>
  <c r="J11" i="70"/>
  <c r="I10" i="70"/>
  <c r="G10" i="70"/>
  <c r="F10" i="70"/>
  <c r="E10" i="70"/>
  <c r="S9" i="70"/>
  <c r="S6" i="70" s="1"/>
  <c r="R9" i="70"/>
  <c r="Q9" i="70"/>
  <c r="G9" i="70" s="1"/>
  <c r="H9" i="70" s="1"/>
  <c r="P9" i="70"/>
  <c r="M9" i="70"/>
  <c r="F9" i="70"/>
  <c r="E9" i="70"/>
  <c r="I8" i="70"/>
  <c r="G8" i="70"/>
  <c r="H8" i="70" s="1"/>
  <c r="F8" i="70"/>
  <c r="E8" i="70"/>
  <c r="W7" i="70"/>
  <c r="M7" i="70"/>
  <c r="I7" i="70"/>
  <c r="G7" i="70"/>
  <c r="F7" i="70"/>
  <c r="H7" i="70" s="1"/>
  <c r="E7" i="70"/>
  <c r="X6" i="70"/>
  <c r="X33" i="70" s="1"/>
  <c r="V6" i="70"/>
  <c r="W6" i="70" s="1"/>
  <c r="U6" i="70"/>
  <c r="U33" i="70" s="1"/>
  <c r="T6" i="70"/>
  <c r="T33" i="70" s="1"/>
  <c r="R6" i="70"/>
  <c r="Q6" i="70"/>
  <c r="P6" i="70"/>
  <c r="O6" i="70"/>
  <c r="N6" i="70"/>
  <c r="N33" i="70" s="1"/>
  <c r="M6" i="70"/>
  <c r="L6" i="70"/>
  <c r="K6" i="70"/>
  <c r="J6" i="70"/>
  <c r="J33" i="70" s="1"/>
  <c r="E6" i="70"/>
  <c r="G34" i="70" l="1"/>
  <c r="H34" i="70" s="1"/>
  <c r="H19" i="70"/>
  <c r="S33" i="70"/>
  <c r="F11" i="70"/>
  <c r="R34" i="70"/>
  <c r="G11" i="70"/>
  <c r="H11" i="70" s="1"/>
  <c r="H12" i="70"/>
  <c r="E33" i="70"/>
  <c r="H20" i="70"/>
  <c r="F6" i="70"/>
  <c r="P11" i="70"/>
  <c r="P33" i="70" s="1"/>
  <c r="R21" i="70"/>
  <c r="L33" i="70"/>
  <c r="V33" i="70"/>
  <c r="W33" i="70" s="1"/>
  <c r="G6" i="70"/>
  <c r="Q11" i="70"/>
  <c r="R12" i="70"/>
  <c r="G28" i="70"/>
  <c r="I9" i="70"/>
  <c r="I6" i="70" s="1"/>
  <c r="K11" i="70"/>
  <c r="K33" i="70" s="1"/>
  <c r="S11" i="70"/>
  <c r="I19" i="70"/>
  <c r="I34" i="70" s="1"/>
  <c r="B51" i="77"/>
  <c r="A51" i="77"/>
  <c r="B43" i="77"/>
  <c r="B35" i="77"/>
  <c r="D27" i="77"/>
  <c r="C27" i="77"/>
  <c r="B27" i="77"/>
  <c r="E26" i="77"/>
  <c r="E27" i="77" s="1"/>
  <c r="E25" i="77"/>
  <c r="E24" i="77"/>
  <c r="E23" i="77"/>
  <c r="C18" i="77"/>
  <c r="C6" i="77"/>
  <c r="F33" i="70" l="1"/>
  <c r="Q33" i="70"/>
  <c r="R11" i="70"/>
  <c r="I11" i="70"/>
  <c r="I33" i="70" s="1"/>
  <c r="G33" i="70"/>
  <c r="H6" i="70"/>
  <c r="M11" i="70"/>
  <c r="T33" i="97"/>
  <c r="I32" i="97"/>
  <c r="G32" i="97"/>
  <c r="F32" i="97"/>
  <c r="E32" i="97"/>
  <c r="I31" i="97"/>
  <c r="G31" i="97"/>
  <c r="F31" i="97"/>
  <c r="E31" i="97"/>
  <c r="I30" i="97"/>
  <c r="G30" i="97"/>
  <c r="F30" i="97"/>
  <c r="E30" i="97"/>
  <c r="W29" i="97"/>
  <c r="U29" i="97"/>
  <c r="M29" i="97"/>
  <c r="I29" i="97"/>
  <c r="G29" i="97"/>
  <c r="H29" i="97" s="1"/>
  <c r="F29" i="97"/>
  <c r="E29" i="97"/>
  <c r="W28" i="97"/>
  <c r="U28" i="97"/>
  <c r="Q28" i="97"/>
  <c r="G28" i="97" s="1"/>
  <c r="H28" i="97" s="1"/>
  <c r="M28" i="97"/>
  <c r="I28" i="97"/>
  <c r="F28" i="97"/>
  <c r="E28" i="97"/>
  <c r="I27" i="97"/>
  <c r="G27" i="97"/>
  <c r="F27" i="97"/>
  <c r="E27" i="97"/>
  <c r="W26" i="97"/>
  <c r="U26" i="97"/>
  <c r="M26" i="97"/>
  <c r="I26" i="97"/>
  <c r="G26" i="97"/>
  <c r="H26" i="97" s="1"/>
  <c r="F26" i="97"/>
  <c r="E26" i="97"/>
  <c r="I25" i="97"/>
  <c r="G25" i="97"/>
  <c r="F25" i="97"/>
  <c r="E25" i="97"/>
  <c r="I24" i="97"/>
  <c r="G24" i="97"/>
  <c r="F24" i="97"/>
  <c r="E24" i="97"/>
  <c r="M23" i="97"/>
  <c r="L23" i="97"/>
  <c r="G23" i="97" s="1"/>
  <c r="H23" i="97" s="1"/>
  <c r="I23" i="97"/>
  <c r="F23" i="97"/>
  <c r="E23" i="97"/>
  <c r="U22" i="97"/>
  <c r="W22" i="97" s="1"/>
  <c r="M22" i="97"/>
  <c r="I22" i="97"/>
  <c r="H22" i="97"/>
  <c r="G22" i="97"/>
  <c r="F22" i="97"/>
  <c r="E22" i="97"/>
  <c r="V21" i="97"/>
  <c r="W21" i="97" s="1"/>
  <c r="U21" i="97"/>
  <c r="Q21" i="97"/>
  <c r="G21" i="97" s="1"/>
  <c r="H21" i="97" s="1"/>
  <c r="M21" i="97"/>
  <c r="I21" i="97"/>
  <c r="F21" i="97"/>
  <c r="E21" i="97"/>
  <c r="V20" i="97"/>
  <c r="W20" i="97" s="1"/>
  <c r="U20" i="97"/>
  <c r="Q20" i="97"/>
  <c r="R20" i="97" s="1"/>
  <c r="O20" i="97"/>
  <c r="P20" i="97" s="1"/>
  <c r="F20" i="97" s="1"/>
  <c r="M20" i="97"/>
  <c r="L20" i="97"/>
  <c r="G20" i="97" s="1"/>
  <c r="H20" i="97" s="1"/>
  <c r="I20" i="97"/>
  <c r="V19" i="97"/>
  <c r="W19" i="97" s="1"/>
  <c r="U19" i="97"/>
  <c r="Q19" i="97"/>
  <c r="G19" i="97" s="1"/>
  <c r="H19" i="97" s="1"/>
  <c r="P19" i="97"/>
  <c r="O19" i="97"/>
  <c r="M19" i="97"/>
  <c r="I19" i="97"/>
  <c r="F19" i="97"/>
  <c r="E19" i="97"/>
  <c r="U18" i="97"/>
  <c r="W18" i="97" s="1"/>
  <c r="Q18" i="97"/>
  <c r="M18" i="97"/>
  <c r="I18" i="97"/>
  <c r="G18" i="97"/>
  <c r="H18" i="97" s="1"/>
  <c r="F18" i="97"/>
  <c r="E18" i="97"/>
  <c r="M17" i="97"/>
  <c r="I17" i="97"/>
  <c r="G17" i="97"/>
  <c r="H17" i="97" s="1"/>
  <c r="F17" i="97"/>
  <c r="E17" i="97"/>
  <c r="M16" i="97"/>
  <c r="I16" i="97"/>
  <c r="H16" i="97"/>
  <c r="G16" i="97"/>
  <c r="F16" i="97"/>
  <c r="E16" i="97"/>
  <c r="U15" i="97"/>
  <c r="W15" i="97" s="1"/>
  <c r="Q15" i="97"/>
  <c r="G15" i="97" s="1"/>
  <c r="M15" i="97"/>
  <c r="I15" i="97"/>
  <c r="F15" i="97"/>
  <c r="E15" i="97"/>
  <c r="I14" i="97"/>
  <c r="G14" i="97"/>
  <c r="F14" i="97"/>
  <c r="E14" i="97"/>
  <c r="U13" i="97"/>
  <c r="W13" i="97" s="1"/>
  <c r="M13" i="97"/>
  <c r="I13" i="97"/>
  <c r="G13" i="97"/>
  <c r="H13" i="97" s="1"/>
  <c r="F13" i="97"/>
  <c r="E13" i="97"/>
  <c r="U12" i="97"/>
  <c r="W12" i="97" s="1"/>
  <c r="Q12" i="97"/>
  <c r="O12" i="97"/>
  <c r="E12" i="97" s="1"/>
  <c r="M12" i="97"/>
  <c r="I12" i="97"/>
  <c r="I11" i="97" s="1"/>
  <c r="G12" i="97"/>
  <c r="X11" i="97"/>
  <c r="U11" i="97"/>
  <c r="T11" i="97"/>
  <c r="S11" i="97"/>
  <c r="O11" i="97"/>
  <c r="N11" i="97"/>
  <c r="M11" i="97"/>
  <c r="L11" i="97"/>
  <c r="K11" i="97"/>
  <c r="J11" i="97"/>
  <c r="I10" i="97"/>
  <c r="G10" i="97"/>
  <c r="F10" i="97"/>
  <c r="E10" i="97"/>
  <c r="Q9" i="97"/>
  <c r="Q6" i="97" s="1"/>
  <c r="P9" i="97"/>
  <c r="O9" i="97"/>
  <c r="L9" i="97"/>
  <c r="M9" i="97" s="1"/>
  <c r="K9" i="97"/>
  <c r="F9" i="97" s="1"/>
  <c r="I9" i="97"/>
  <c r="G9" i="97"/>
  <c r="E9" i="97"/>
  <c r="L8" i="97"/>
  <c r="M8" i="97" s="1"/>
  <c r="K8" i="97"/>
  <c r="K6" i="97" s="1"/>
  <c r="K33" i="97" s="1"/>
  <c r="I8" i="97"/>
  <c r="G8" i="97"/>
  <c r="E8" i="97"/>
  <c r="V7" i="97"/>
  <c r="W7" i="97" s="1"/>
  <c r="U7" i="97"/>
  <c r="U6" i="97" s="1"/>
  <c r="U33" i="97" s="1"/>
  <c r="Q7" i="97"/>
  <c r="L7" i="97"/>
  <c r="L6" i="97" s="1"/>
  <c r="K7" i="97"/>
  <c r="I7" i="97"/>
  <c r="I6" i="97" s="1"/>
  <c r="F7" i="97"/>
  <c r="E7" i="97"/>
  <c r="X6" i="97"/>
  <c r="X33" i="97" s="1"/>
  <c r="T6" i="97"/>
  <c r="S6" i="97"/>
  <c r="S33" i="97" s="1"/>
  <c r="P6" i="97"/>
  <c r="O6" i="97"/>
  <c r="O33" i="97" s="1"/>
  <c r="N6" i="97"/>
  <c r="N33" i="97" s="1"/>
  <c r="J6" i="97"/>
  <c r="J33" i="97" s="1"/>
  <c r="E6" i="97"/>
  <c r="L33" i="97" l="1"/>
  <c r="M6" i="97"/>
  <c r="R6" i="97"/>
  <c r="H9" i="97"/>
  <c r="H15" i="97"/>
  <c r="G11" i="97"/>
  <c r="I33" i="97"/>
  <c r="V6" i="97"/>
  <c r="F8" i="97"/>
  <c r="H8" i="97" s="1"/>
  <c r="V11" i="97"/>
  <c r="W11" i="97" s="1"/>
  <c r="R9" i="97"/>
  <c r="P12" i="97"/>
  <c r="M7" i="97"/>
  <c r="R19" i="97"/>
  <c r="Q11" i="97"/>
  <c r="Q33" i="97" s="1"/>
  <c r="G7" i="97"/>
  <c r="E20" i="97"/>
  <c r="E11" i="97" s="1"/>
  <c r="E33" i="97" s="1"/>
  <c r="V33" i="97" l="1"/>
  <c r="W33" i="97" s="1"/>
  <c r="W6" i="97"/>
  <c r="F6" i="97"/>
  <c r="F12" i="97"/>
  <c r="R12" i="97"/>
  <c r="P11" i="97"/>
  <c r="P33" i="97" s="1"/>
  <c r="H7" i="97"/>
  <c r="G6" i="97"/>
  <c r="R11" i="97" l="1"/>
  <c r="F11" i="97"/>
  <c r="H11" i="97" s="1"/>
  <c r="H12" i="97"/>
  <c r="H6" i="97"/>
  <c r="G33" i="97"/>
  <c r="F33" i="97" l="1"/>
  <c r="E74" i="68" l="1"/>
  <c r="E70" i="68"/>
  <c r="B47" i="68"/>
  <c r="A47" i="68"/>
  <c r="B39" i="68"/>
  <c r="B33" i="68"/>
  <c r="D27" i="68"/>
  <c r="C27" i="68"/>
  <c r="E26" i="68"/>
  <c r="E25" i="68"/>
  <c r="E24" i="68"/>
  <c r="D23" i="68"/>
  <c r="C23" i="68"/>
  <c r="B23" i="68"/>
  <c r="B27" i="68" s="1"/>
  <c r="C6" i="68"/>
  <c r="C16" i="68" s="1"/>
  <c r="C18" i="68" s="1"/>
  <c r="E23" i="68" l="1"/>
  <c r="E27" i="68" s="1"/>
  <c r="B51" i="103" l="1"/>
  <c r="B43" i="103"/>
  <c r="B35" i="103"/>
  <c r="D27" i="103"/>
  <c r="C27" i="103"/>
  <c r="B27" i="103"/>
  <c r="E26" i="103"/>
  <c r="E25" i="103"/>
  <c r="E24" i="103"/>
  <c r="E23" i="103"/>
  <c r="E27" i="103" s="1"/>
  <c r="C18" i="103"/>
  <c r="C6" i="103"/>
  <c r="G121" i="86" l="1"/>
  <c r="F121" i="86"/>
  <c r="G107" i="86"/>
  <c r="F107" i="86"/>
  <c r="B41" i="86"/>
  <c r="A41" i="86"/>
  <c r="E27" i="86"/>
  <c r="D27" i="86"/>
  <c r="C27" i="86"/>
  <c r="B27" i="86"/>
  <c r="E26" i="86"/>
  <c r="E25" i="86"/>
  <c r="E24" i="86"/>
  <c r="E23" i="86"/>
  <c r="C18" i="86"/>
  <c r="C6" i="86"/>
  <c r="E52" i="75" l="1"/>
  <c r="B45" i="75"/>
  <c r="A45" i="75"/>
  <c r="D27" i="75"/>
  <c r="C27" i="75"/>
  <c r="B27" i="75"/>
  <c r="E26" i="75"/>
  <c r="E25" i="75"/>
  <c r="E24" i="75"/>
  <c r="E23" i="75"/>
  <c r="E27" i="75" s="1"/>
  <c r="C18" i="75"/>
  <c r="C6" i="75"/>
  <c r="W36" i="98" l="1"/>
  <c r="R36" i="98"/>
  <c r="M36" i="98"/>
  <c r="H36" i="98"/>
  <c r="W35" i="98"/>
  <c r="R35" i="98"/>
  <c r="M35" i="98"/>
  <c r="H35" i="98"/>
  <c r="W34" i="98"/>
  <c r="R34" i="98"/>
  <c r="M34" i="98"/>
  <c r="H34" i="98"/>
  <c r="W32" i="98"/>
  <c r="R32" i="98"/>
  <c r="M32" i="98"/>
  <c r="I32" i="98"/>
  <c r="G32" i="98"/>
  <c r="F32" i="98"/>
  <c r="H32" i="98" s="1"/>
  <c r="E32" i="98"/>
  <c r="W31" i="98"/>
  <c r="R31" i="98"/>
  <c r="M31" i="98"/>
  <c r="I31" i="98"/>
  <c r="G31" i="98"/>
  <c r="F31" i="98"/>
  <c r="H31" i="98" s="1"/>
  <c r="E31" i="98"/>
  <c r="W30" i="98"/>
  <c r="R30" i="98"/>
  <c r="M30" i="98"/>
  <c r="I30" i="98"/>
  <c r="G30" i="98"/>
  <c r="F30" i="98"/>
  <c r="H30" i="98" s="1"/>
  <c r="E30" i="98"/>
  <c r="W29" i="98"/>
  <c r="R29" i="98"/>
  <c r="M29" i="98"/>
  <c r="I29" i="98"/>
  <c r="G29" i="98"/>
  <c r="F29" i="98"/>
  <c r="H29" i="98" s="1"/>
  <c r="E29" i="98"/>
  <c r="W28" i="98"/>
  <c r="R28" i="98"/>
  <c r="M28" i="98"/>
  <c r="I28" i="98"/>
  <c r="G28" i="98"/>
  <c r="F28" i="98"/>
  <c r="H28" i="98" s="1"/>
  <c r="E28" i="98"/>
  <c r="W27" i="98"/>
  <c r="R27" i="98"/>
  <c r="M27" i="98"/>
  <c r="I27" i="98"/>
  <c r="G27" i="98"/>
  <c r="F27" i="98"/>
  <c r="H27" i="98" s="1"/>
  <c r="E27" i="98"/>
  <c r="W26" i="98"/>
  <c r="R26" i="98"/>
  <c r="M26" i="98"/>
  <c r="I26" i="98"/>
  <c r="G26" i="98"/>
  <c r="F26" i="98"/>
  <c r="H26" i="98" s="1"/>
  <c r="E26" i="98"/>
  <c r="W25" i="98"/>
  <c r="R25" i="98"/>
  <c r="M25" i="98"/>
  <c r="I25" i="98"/>
  <c r="G25" i="98"/>
  <c r="F25" i="98"/>
  <c r="H25" i="98" s="1"/>
  <c r="E25" i="98"/>
  <c r="W24" i="98"/>
  <c r="R24" i="98"/>
  <c r="M24" i="98"/>
  <c r="I24" i="98"/>
  <c r="G24" i="98"/>
  <c r="F24" i="98"/>
  <c r="H24" i="98" s="1"/>
  <c r="E24" i="98"/>
  <c r="W23" i="98"/>
  <c r="R23" i="98"/>
  <c r="M23" i="98"/>
  <c r="I23" i="98"/>
  <c r="G23" i="98"/>
  <c r="F23" i="98"/>
  <c r="H23" i="98" s="1"/>
  <c r="E23" i="98"/>
  <c r="W22" i="98"/>
  <c r="R22" i="98"/>
  <c r="M22" i="98"/>
  <c r="I22" i="98"/>
  <c r="G22" i="98"/>
  <c r="F22" i="98"/>
  <c r="H22" i="98" s="1"/>
  <c r="E22" i="98"/>
  <c r="W21" i="98"/>
  <c r="R21" i="98"/>
  <c r="M21" i="98"/>
  <c r="I21" i="98"/>
  <c r="G21" i="98"/>
  <c r="F21" i="98"/>
  <c r="H21" i="98" s="1"/>
  <c r="E21" i="98"/>
  <c r="W20" i="98"/>
  <c r="R20" i="98"/>
  <c r="M20" i="98"/>
  <c r="I20" i="98"/>
  <c r="G20" i="98"/>
  <c r="F20" i="98"/>
  <c r="H20" i="98" s="1"/>
  <c r="E20" i="98"/>
  <c r="W19" i="98"/>
  <c r="R19" i="98"/>
  <c r="M19" i="98"/>
  <c r="I19" i="98"/>
  <c r="G19" i="98"/>
  <c r="F19" i="98"/>
  <c r="H19" i="98" s="1"/>
  <c r="E19" i="98"/>
  <c r="W18" i="98"/>
  <c r="R18" i="98"/>
  <c r="M18" i="98"/>
  <c r="I18" i="98"/>
  <c r="G18" i="98"/>
  <c r="F18" i="98"/>
  <c r="H18" i="98" s="1"/>
  <c r="E18" i="98"/>
  <c r="W17" i="98"/>
  <c r="R17" i="98"/>
  <c r="M17" i="98"/>
  <c r="I17" i="98"/>
  <c r="G17" i="98"/>
  <c r="F17" i="98"/>
  <c r="H17" i="98" s="1"/>
  <c r="E17" i="98"/>
  <c r="W16" i="98"/>
  <c r="R16" i="98"/>
  <c r="M16" i="98"/>
  <c r="I16" i="98"/>
  <c r="G16" i="98"/>
  <c r="F16" i="98"/>
  <c r="H16" i="98" s="1"/>
  <c r="E16" i="98"/>
  <c r="W15" i="98"/>
  <c r="R15" i="98"/>
  <c r="M15" i="98"/>
  <c r="I15" i="98"/>
  <c r="G15" i="98"/>
  <c r="F15" i="98"/>
  <c r="H15" i="98" s="1"/>
  <c r="E15" i="98"/>
  <c r="W14" i="98"/>
  <c r="R14" i="98"/>
  <c r="M14" i="98"/>
  <c r="I14" i="98"/>
  <c r="G14" i="98"/>
  <c r="F14" i="98"/>
  <c r="H14" i="98" s="1"/>
  <c r="E14" i="98"/>
  <c r="W13" i="98"/>
  <c r="R13" i="98"/>
  <c r="M13" i="98"/>
  <c r="I13" i="98"/>
  <c r="G13" i="98"/>
  <c r="F13" i="98"/>
  <c r="H13" i="98" s="1"/>
  <c r="E13" i="98"/>
  <c r="W12" i="98"/>
  <c r="R12" i="98"/>
  <c r="M12" i="98"/>
  <c r="I12" i="98"/>
  <c r="G12" i="98"/>
  <c r="F12" i="98"/>
  <c r="F11" i="98" s="1"/>
  <c r="E12" i="98"/>
  <c r="E11" i="98" s="1"/>
  <c r="X11" i="98"/>
  <c r="W11" i="98"/>
  <c r="V11" i="98"/>
  <c r="U11" i="98"/>
  <c r="T11" i="98"/>
  <c r="S11" i="98"/>
  <c r="Q11" i="98"/>
  <c r="R11" i="98" s="1"/>
  <c r="P11" i="98"/>
  <c r="O11" i="98"/>
  <c r="N11" i="98"/>
  <c r="L11" i="98"/>
  <c r="M11" i="98" s="1"/>
  <c r="K11" i="98"/>
  <c r="J11" i="98"/>
  <c r="I11" i="98"/>
  <c r="G11" i="98"/>
  <c r="H11" i="98" s="1"/>
  <c r="W10" i="98"/>
  <c r="R10" i="98"/>
  <c r="M10" i="98"/>
  <c r="I10" i="98"/>
  <c r="G10" i="98"/>
  <c r="H10" i="98" s="1"/>
  <c r="F10" i="98"/>
  <c r="E10" i="98"/>
  <c r="W9" i="98"/>
  <c r="R9" i="98"/>
  <c r="M9" i="98"/>
  <c r="I9" i="98"/>
  <c r="G9" i="98"/>
  <c r="H9" i="98" s="1"/>
  <c r="F9" i="98"/>
  <c r="E9" i="98"/>
  <c r="W8" i="98"/>
  <c r="R8" i="98"/>
  <c r="M8" i="98"/>
  <c r="I8" i="98"/>
  <c r="G8" i="98"/>
  <c r="H8" i="98" s="1"/>
  <c r="F8" i="98"/>
  <c r="E8" i="98"/>
  <c r="W7" i="98"/>
  <c r="R7" i="98"/>
  <c r="M7" i="98"/>
  <c r="I7" i="98"/>
  <c r="I6" i="98" s="1"/>
  <c r="I33" i="98" s="1"/>
  <c r="G7" i="98"/>
  <c r="H7" i="98" s="1"/>
  <c r="F7" i="98"/>
  <c r="E7" i="98"/>
  <c r="X6" i="98"/>
  <c r="X33" i="98" s="1"/>
  <c r="V6" i="98"/>
  <c r="W6" i="98" s="1"/>
  <c r="U6" i="98"/>
  <c r="U33" i="98" s="1"/>
  <c r="T6" i="98"/>
  <c r="T33" i="98" s="1"/>
  <c r="S6" i="98"/>
  <c r="S33" i="98" s="1"/>
  <c r="Q6" i="98"/>
  <c r="Q33" i="98" s="1"/>
  <c r="P6" i="98"/>
  <c r="P33" i="98" s="1"/>
  <c r="O6" i="98"/>
  <c r="O33" i="98" s="1"/>
  <c r="N6" i="98"/>
  <c r="N33" i="98" s="1"/>
  <c r="M6" i="98"/>
  <c r="L6" i="98"/>
  <c r="L33" i="98" s="1"/>
  <c r="K6" i="98"/>
  <c r="K33" i="98" s="1"/>
  <c r="J6" i="98"/>
  <c r="J33" i="98" s="1"/>
  <c r="G6" i="98"/>
  <c r="G33" i="98" s="1"/>
  <c r="F6" i="98"/>
  <c r="H6" i="98" s="1"/>
  <c r="E6" i="98"/>
  <c r="M33" i="98" l="1"/>
  <c r="H33" i="98"/>
  <c r="R33" i="98"/>
  <c r="E33" i="98"/>
  <c r="F33" i="98"/>
  <c r="V33" i="98"/>
  <c r="W33" i="98" s="1"/>
  <c r="H12" i="98"/>
  <c r="R6" i="98"/>
  <c r="B39" i="78" l="1"/>
  <c r="B33" i="78"/>
  <c r="D27" i="78"/>
  <c r="C27" i="78"/>
  <c r="B27" i="78"/>
  <c r="E26" i="78"/>
  <c r="E25" i="78"/>
  <c r="E24" i="78"/>
  <c r="E23" i="78"/>
  <c r="E27" i="78" s="1"/>
  <c r="C18" i="78"/>
  <c r="C6" i="78"/>
  <c r="E150" i="76" l="1"/>
  <c r="D150" i="76"/>
  <c r="B51" i="76"/>
  <c r="A51" i="76"/>
  <c r="B43" i="76"/>
  <c r="B35" i="76"/>
  <c r="D27" i="76"/>
  <c r="C27" i="76"/>
  <c r="B27" i="76"/>
  <c r="E26" i="76"/>
  <c r="E25" i="76"/>
  <c r="E24" i="76"/>
  <c r="E23" i="76"/>
  <c r="E27" i="76" s="1"/>
  <c r="C18" i="76"/>
  <c r="C6" i="76"/>
  <c r="D103" i="87" l="1"/>
  <c r="E96" i="87"/>
  <c r="E82" i="87"/>
  <c r="E76" i="87"/>
  <c r="D73" i="87"/>
  <c r="E74" i="87" s="1"/>
  <c r="E72" i="87"/>
  <c r="E70" i="87"/>
  <c r="E68" i="87"/>
  <c r="E66" i="87"/>
  <c r="E64" i="87"/>
  <c r="D60" i="87"/>
  <c r="D59" i="87"/>
  <c r="E57" i="87"/>
  <c r="D54" i="87"/>
  <c r="E53" i="87"/>
  <c r="E51" i="87"/>
  <c r="E103" i="87" s="1"/>
  <c r="B45" i="87"/>
  <c r="A45" i="87"/>
  <c r="B39" i="87"/>
  <c r="B33" i="87"/>
  <c r="C27" i="87"/>
  <c r="B27" i="87"/>
  <c r="E26" i="87"/>
  <c r="E25" i="87"/>
  <c r="E24" i="87"/>
  <c r="D23" i="87"/>
  <c r="D27" i="87" s="1"/>
  <c r="C23" i="87"/>
  <c r="B23" i="87"/>
  <c r="E23" i="87" s="1"/>
  <c r="E27" i="87" s="1"/>
  <c r="C18" i="87"/>
  <c r="C6" i="87"/>
  <c r="B51" i="67"/>
  <c r="A51" i="67"/>
  <c r="B43" i="67"/>
  <c r="B35" i="67"/>
  <c r="D27" i="67"/>
  <c r="C27" i="67"/>
  <c r="B27" i="67"/>
  <c r="E26" i="67"/>
  <c r="E25" i="67"/>
  <c r="E24" i="67"/>
  <c r="E23" i="67"/>
  <c r="E27" i="67" s="1"/>
  <c r="C18" i="67"/>
  <c r="C6" i="67"/>
  <c r="B43" i="66" l="1"/>
  <c r="D27" i="66"/>
  <c r="C27" i="66"/>
  <c r="B27" i="66"/>
  <c r="E26" i="66"/>
  <c r="E25" i="66"/>
  <c r="E24" i="66"/>
  <c r="E23" i="66"/>
  <c r="E27" i="66" s="1"/>
  <c r="C18" i="66"/>
  <c r="C6" i="66"/>
  <c r="B51" i="74" l="1"/>
  <c r="A51" i="74"/>
  <c r="B41" i="74"/>
  <c r="B34" i="74"/>
  <c r="C27" i="74"/>
  <c r="E26" i="74"/>
  <c r="E25" i="74"/>
  <c r="E24" i="74"/>
  <c r="D23" i="74"/>
  <c r="D27" i="74" s="1"/>
  <c r="C23" i="74"/>
  <c r="B23" i="74"/>
  <c r="E23" i="74" s="1"/>
  <c r="E27" i="74" s="1"/>
  <c r="C18" i="74"/>
  <c r="C7" i="74"/>
  <c r="C6" i="74"/>
  <c r="B27" i="74" l="1"/>
  <c r="B51" i="64"/>
  <c r="A51" i="64"/>
  <c r="B43" i="64"/>
  <c r="B35" i="64"/>
  <c r="E27" i="64"/>
  <c r="D27" i="64"/>
  <c r="C27" i="64"/>
  <c r="B27" i="64"/>
  <c r="E26" i="64"/>
  <c r="E25" i="64"/>
  <c r="E24" i="64"/>
  <c r="E23" i="64"/>
  <c r="C18" i="64"/>
  <c r="B51" i="101" l="1"/>
  <c r="B43" i="101"/>
  <c r="B35" i="101"/>
  <c r="D27" i="101"/>
  <c r="C27" i="101"/>
  <c r="B27" i="101"/>
  <c r="E26" i="101"/>
  <c r="E27" i="101" s="1"/>
  <c r="E25" i="101"/>
  <c r="E24" i="101"/>
  <c r="E23" i="101"/>
  <c r="C18" i="101"/>
  <c r="C6" i="101"/>
  <c r="U33" i="102" l="1"/>
  <c r="S33" i="102"/>
  <c r="I32" i="102"/>
  <c r="G32" i="102"/>
  <c r="F32" i="102"/>
  <c r="E32" i="102"/>
  <c r="I31" i="102"/>
  <c r="G31" i="102"/>
  <c r="F31" i="102"/>
  <c r="E31" i="102"/>
  <c r="M30" i="102"/>
  <c r="I30" i="102"/>
  <c r="G30" i="102"/>
  <c r="F30" i="102"/>
  <c r="E30" i="102"/>
  <c r="W29" i="102"/>
  <c r="M29" i="102"/>
  <c r="I29" i="102"/>
  <c r="G29" i="102"/>
  <c r="H29" i="102" s="1"/>
  <c r="F29" i="102"/>
  <c r="E29" i="102"/>
  <c r="W28" i="102"/>
  <c r="M28" i="102"/>
  <c r="I28" i="102"/>
  <c r="G28" i="102"/>
  <c r="H28" i="102" s="1"/>
  <c r="F28" i="102"/>
  <c r="E28" i="102"/>
  <c r="M27" i="102"/>
  <c r="I27" i="102"/>
  <c r="G27" i="102"/>
  <c r="H27" i="102" s="1"/>
  <c r="F27" i="102"/>
  <c r="E27" i="102"/>
  <c r="W26" i="102"/>
  <c r="M26" i="102"/>
  <c r="I26" i="102"/>
  <c r="H26" i="102"/>
  <c r="G26" i="102"/>
  <c r="F26" i="102"/>
  <c r="E26" i="102"/>
  <c r="I25" i="102"/>
  <c r="G25" i="102"/>
  <c r="F25" i="102"/>
  <c r="E25" i="102"/>
  <c r="I24" i="102"/>
  <c r="G24" i="102"/>
  <c r="F24" i="102"/>
  <c r="E24" i="102"/>
  <c r="M23" i="102"/>
  <c r="I23" i="102"/>
  <c r="H23" i="102"/>
  <c r="G23" i="102"/>
  <c r="F23" i="102"/>
  <c r="E23" i="102"/>
  <c r="M22" i="102"/>
  <c r="I22" i="102"/>
  <c r="G22" i="102"/>
  <c r="H22" i="102" s="1"/>
  <c r="F22" i="102"/>
  <c r="E22" i="102"/>
  <c r="W21" i="102"/>
  <c r="M21" i="102"/>
  <c r="I21" i="102"/>
  <c r="G21" i="102"/>
  <c r="H21" i="102" s="1"/>
  <c r="F21" i="102"/>
  <c r="E21" i="102"/>
  <c r="W20" i="102"/>
  <c r="M20" i="102"/>
  <c r="I20" i="102"/>
  <c r="G20" i="102"/>
  <c r="H20" i="102" s="1"/>
  <c r="F20" i="102"/>
  <c r="E20" i="102"/>
  <c r="E11" i="102" s="1"/>
  <c r="W19" i="102"/>
  <c r="M19" i="102"/>
  <c r="I19" i="102"/>
  <c r="G19" i="102"/>
  <c r="H19" i="102" s="1"/>
  <c r="F19" i="102"/>
  <c r="E19" i="102"/>
  <c r="W18" i="102"/>
  <c r="M18" i="102"/>
  <c r="I18" i="102"/>
  <c r="H18" i="102"/>
  <c r="G18" i="102"/>
  <c r="F18" i="102"/>
  <c r="E18" i="102"/>
  <c r="M17" i="102"/>
  <c r="I17" i="102"/>
  <c r="H17" i="102"/>
  <c r="G17" i="102"/>
  <c r="F17" i="102"/>
  <c r="E17" i="102"/>
  <c r="W16" i="102"/>
  <c r="M16" i="102"/>
  <c r="I16" i="102"/>
  <c r="G16" i="102"/>
  <c r="H16" i="102" s="1"/>
  <c r="F16" i="102"/>
  <c r="E16" i="102"/>
  <c r="W15" i="102"/>
  <c r="M15" i="102"/>
  <c r="I15" i="102"/>
  <c r="G15" i="102"/>
  <c r="H15" i="102" s="1"/>
  <c r="F15" i="102"/>
  <c r="E15" i="102"/>
  <c r="I14" i="102"/>
  <c r="G14" i="102"/>
  <c r="F14" i="102"/>
  <c r="E14" i="102"/>
  <c r="W13" i="102"/>
  <c r="M13" i="102"/>
  <c r="I13" i="102"/>
  <c r="G13" i="102"/>
  <c r="H13" i="102" s="1"/>
  <c r="F13" i="102"/>
  <c r="E13" i="102"/>
  <c r="W12" i="102"/>
  <c r="M12" i="102"/>
  <c r="I12" i="102"/>
  <c r="I11" i="102" s="1"/>
  <c r="H12" i="102"/>
  <c r="G12" i="102"/>
  <c r="F12" i="102"/>
  <c r="F11" i="102" s="1"/>
  <c r="E12" i="102"/>
  <c r="X11" i="102"/>
  <c r="V11" i="102"/>
  <c r="W11" i="102" s="1"/>
  <c r="U11" i="102"/>
  <c r="T11" i="102"/>
  <c r="S11" i="102"/>
  <c r="Q11" i="102"/>
  <c r="P11" i="102"/>
  <c r="O11" i="102"/>
  <c r="N11" i="102"/>
  <c r="L11" i="102"/>
  <c r="M11" i="102" s="1"/>
  <c r="K11" i="102"/>
  <c r="K33" i="102" s="1"/>
  <c r="J11" i="102"/>
  <c r="I10" i="102"/>
  <c r="G10" i="102"/>
  <c r="F10" i="102"/>
  <c r="E10" i="102"/>
  <c r="M9" i="102"/>
  <c r="I9" i="102"/>
  <c r="G9" i="102"/>
  <c r="H9" i="102" s="1"/>
  <c r="F9" i="102"/>
  <c r="E9" i="102"/>
  <c r="M8" i="102"/>
  <c r="I8" i="102"/>
  <c r="I6" i="102" s="1"/>
  <c r="G8" i="102"/>
  <c r="H8" i="102" s="1"/>
  <c r="F8" i="102"/>
  <c r="E8" i="102"/>
  <c r="W7" i="102"/>
  <c r="M7" i="102"/>
  <c r="I7" i="102"/>
  <c r="H7" i="102"/>
  <c r="G7" i="102"/>
  <c r="F7" i="102"/>
  <c r="E7" i="102"/>
  <c r="X6" i="102"/>
  <c r="X33" i="102" s="1"/>
  <c r="V6" i="102"/>
  <c r="V33" i="102" s="1"/>
  <c r="U6" i="102"/>
  <c r="T6" i="102"/>
  <c r="T33" i="102" s="1"/>
  <c r="S6" i="102"/>
  <c r="Q6" i="102"/>
  <c r="Q33" i="102" s="1"/>
  <c r="P6" i="102"/>
  <c r="P33" i="102" s="1"/>
  <c r="O6" i="102"/>
  <c r="O33" i="102" s="1"/>
  <c r="N6" i="102"/>
  <c r="N33" i="102" s="1"/>
  <c r="M6" i="102"/>
  <c r="L6" i="102"/>
  <c r="K6" i="102"/>
  <c r="J6" i="102"/>
  <c r="J33" i="102" s="1"/>
  <c r="G6" i="102"/>
  <c r="F6" i="102"/>
  <c r="E6" i="102"/>
  <c r="E33" i="102" l="1"/>
  <c r="F33" i="102"/>
  <c r="G33" i="102"/>
  <c r="I33" i="102"/>
  <c r="H6" i="102"/>
  <c r="G11" i="102"/>
  <c r="H11" i="102" s="1"/>
  <c r="W6" i="102"/>
  <c r="L33" i="102"/>
  <c r="B51" i="79" l="1"/>
  <c r="A51" i="79"/>
  <c r="B43" i="79"/>
  <c r="B35" i="79"/>
  <c r="D27" i="79"/>
  <c r="C27" i="79"/>
  <c r="B27" i="79"/>
  <c r="E26" i="79"/>
  <c r="E25" i="79"/>
  <c r="E24" i="79"/>
  <c r="E23" i="79"/>
  <c r="E27" i="79" s="1"/>
  <c r="C18" i="79"/>
  <c r="M36" i="100" l="1"/>
  <c r="H36" i="100"/>
  <c r="M35" i="100"/>
  <c r="H35" i="100"/>
  <c r="M34" i="100"/>
  <c r="H34" i="100"/>
  <c r="K33" i="100"/>
  <c r="M29" i="100"/>
  <c r="I29" i="100"/>
  <c r="H29" i="100"/>
  <c r="G29" i="100"/>
  <c r="F29" i="100"/>
  <c r="E29" i="100"/>
  <c r="M28" i="100"/>
  <c r="H28" i="100"/>
  <c r="M21" i="100"/>
  <c r="I21" i="100"/>
  <c r="H21" i="100"/>
  <c r="G21" i="100"/>
  <c r="F21" i="100"/>
  <c r="E21" i="100"/>
  <c r="M20" i="100"/>
  <c r="I20" i="100"/>
  <c r="G20" i="100"/>
  <c r="H20" i="100" s="1"/>
  <c r="F20" i="100"/>
  <c r="E20" i="100"/>
  <c r="M19" i="100"/>
  <c r="I19" i="100"/>
  <c r="H19" i="100"/>
  <c r="G19" i="100"/>
  <c r="F19" i="100"/>
  <c r="E19" i="100"/>
  <c r="M18" i="100"/>
  <c r="I18" i="100"/>
  <c r="G18" i="100"/>
  <c r="H18" i="100" s="1"/>
  <c r="F18" i="100"/>
  <c r="E18" i="100"/>
  <c r="M17" i="100"/>
  <c r="I17" i="100"/>
  <c r="H17" i="100"/>
  <c r="G17" i="100"/>
  <c r="F17" i="100"/>
  <c r="E17" i="100"/>
  <c r="M16" i="100"/>
  <c r="I16" i="100"/>
  <c r="G16" i="100"/>
  <c r="G11" i="100" s="1"/>
  <c r="F16" i="100"/>
  <c r="F11" i="100" s="1"/>
  <c r="E16" i="100"/>
  <c r="M15" i="100"/>
  <c r="I15" i="100"/>
  <c r="H15" i="100"/>
  <c r="G15" i="100"/>
  <c r="F15" i="100"/>
  <c r="E15" i="100"/>
  <c r="E11" i="100" s="1"/>
  <c r="M13" i="100"/>
  <c r="I13" i="100"/>
  <c r="G13" i="100"/>
  <c r="H13" i="100" s="1"/>
  <c r="F13" i="100"/>
  <c r="E13" i="100"/>
  <c r="M12" i="100"/>
  <c r="I12" i="100"/>
  <c r="I11" i="100" s="1"/>
  <c r="H12" i="100"/>
  <c r="G12" i="100"/>
  <c r="F12" i="100"/>
  <c r="E12" i="100"/>
  <c r="N11" i="100"/>
  <c r="L11" i="100"/>
  <c r="M11" i="100" s="1"/>
  <c r="K11" i="100"/>
  <c r="J11" i="100"/>
  <c r="M9" i="100"/>
  <c r="I9" i="100"/>
  <c r="I6" i="100" s="1"/>
  <c r="I33" i="100" s="1"/>
  <c r="H9" i="100"/>
  <c r="G9" i="100"/>
  <c r="F9" i="100"/>
  <c r="E9" i="100"/>
  <c r="M7" i="100"/>
  <c r="I7" i="100"/>
  <c r="G7" i="100"/>
  <c r="G6" i="100" s="1"/>
  <c r="F7" i="100"/>
  <c r="F6" i="100" s="1"/>
  <c r="F33" i="100" s="1"/>
  <c r="E7" i="100"/>
  <c r="N6" i="100"/>
  <c r="N33" i="100" s="1"/>
  <c r="L6" i="100"/>
  <c r="M6" i="100" s="1"/>
  <c r="K6" i="100"/>
  <c r="J6" i="100"/>
  <c r="J33" i="100" s="1"/>
  <c r="E6" i="100"/>
  <c r="H11" i="100" l="1"/>
  <c r="E33" i="100"/>
  <c r="G33" i="100"/>
  <c r="H6" i="100"/>
  <c r="L33" i="100"/>
  <c r="H7" i="100"/>
  <c r="H16" i="100"/>
  <c r="W36" i="99" l="1"/>
  <c r="R36" i="99"/>
  <c r="M36" i="99"/>
  <c r="H36" i="99"/>
  <c r="W35" i="99"/>
  <c r="R35" i="99"/>
  <c r="M35" i="99"/>
  <c r="H35" i="99"/>
  <c r="W34" i="99"/>
  <c r="R34" i="99"/>
  <c r="M34" i="99"/>
  <c r="H34" i="99"/>
  <c r="S33" i="99"/>
  <c r="K33" i="99"/>
  <c r="J33" i="99"/>
  <c r="W32" i="99"/>
  <c r="R32" i="99"/>
  <c r="M32" i="99"/>
  <c r="I32" i="99"/>
  <c r="G32" i="99"/>
  <c r="H32" i="99" s="1"/>
  <c r="F32" i="99"/>
  <c r="E32" i="99"/>
  <c r="W31" i="99"/>
  <c r="R31" i="99"/>
  <c r="M31" i="99"/>
  <c r="I31" i="99"/>
  <c r="G31" i="99"/>
  <c r="H31" i="99" s="1"/>
  <c r="F31" i="99"/>
  <c r="E31" i="99"/>
  <c r="W30" i="99"/>
  <c r="R30" i="99"/>
  <c r="M30" i="99"/>
  <c r="I30" i="99"/>
  <c r="G30" i="99"/>
  <c r="H30" i="99" s="1"/>
  <c r="F30" i="99"/>
  <c r="E30" i="99"/>
  <c r="W29" i="99"/>
  <c r="R29" i="99"/>
  <c r="M29" i="99"/>
  <c r="I29" i="99"/>
  <c r="G29" i="99"/>
  <c r="H29" i="99" s="1"/>
  <c r="F29" i="99"/>
  <c r="E29" i="99"/>
  <c r="W28" i="99"/>
  <c r="R28" i="99"/>
  <c r="M28" i="99"/>
  <c r="I28" i="99"/>
  <c r="G28" i="99"/>
  <c r="H28" i="99" s="1"/>
  <c r="F28" i="99"/>
  <c r="W27" i="99"/>
  <c r="R27" i="99"/>
  <c r="M27" i="99"/>
  <c r="I27" i="99"/>
  <c r="H27" i="99"/>
  <c r="G27" i="99"/>
  <c r="F27" i="99"/>
  <c r="E27" i="99"/>
  <c r="W26" i="99"/>
  <c r="R26" i="99"/>
  <c r="M26" i="99"/>
  <c r="I26" i="99"/>
  <c r="H26" i="99"/>
  <c r="G26" i="99"/>
  <c r="F26" i="99"/>
  <c r="E26" i="99"/>
  <c r="W25" i="99"/>
  <c r="R25" i="99"/>
  <c r="M25" i="99"/>
  <c r="I25" i="99"/>
  <c r="H25" i="99"/>
  <c r="G25" i="99"/>
  <c r="F25" i="99"/>
  <c r="E25" i="99"/>
  <c r="W24" i="99"/>
  <c r="R24" i="99"/>
  <c r="M24" i="99"/>
  <c r="I24" i="99"/>
  <c r="H24" i="99"/>
  <c r="G24" i="99"/>
  <c r="F24" i="99"/>
  <c r="E24" i="99"/>
  <c r="W23" i="99"/>
  <c r="R23" i="99"/>
  <c r="M23" i="99"/>
  <c r="I23" i="99"/>
  <c r="H23" i="99"/>
  <c r="G23" i="99"/>
  <c r="F23" i="99"/>
  <c r="E23" i="99"/>
  <c r="W22" i="99"/>
  <c r="R22" i="99"/>
  <c r="M22" i="99"/>
  <c r="I22" i="99"/>
  <c r="H22" i="99"/>
  <c r="G22" i="99"/>
  <c r="F22" i="99"/>
  <c r="E22" i="99"/>
  <c r="W21" i="99"/>
  <c r="R21" i="99"/>
  <c r="M21" i="99"/>
  <c r="I21" i="99"/>
  <c r="H21" i="99"/>
  <c r="G21" i="99"/>
  <c r="F21" i="99"/>
  <c r="E21" i="99"/>
  <c r="W20" i="99"/>
  <c r="R20" i="99"/>
  <c r="M20" i="99"/>
  <c r="I20" i="99"/>
  <c r="H20" i="99"/>
  <c r="G20" i="99"/>
  <c r="F20" i="99"/>
  <c r="E20" i="99"/>
  <c r="W19" i="99"/>
  <c r="R19" i="99"/>
  <c r="M19" i="99"/>
  <c r="I19" i="99"/>
  <c r="H19" i="99"/>
  <c r="G19" i="99"/>
  <c r="F19" i="99"/>
  <c r="E19" i="99"/>
  <c r="W18" i="99"/>
  <c r="R18" i="99"/>
  <c r="M18" i="99"/>
  <c r="I18" i="99"/>
  <c r="H18" i="99"/>
  <c r="G18" i="99"/>
  <c r="F18" i="99"/>
  <c r="E18" i="99"/>
  <c r="W17" i="99"/>
  <c r="R17" i="99"/>
  <c r="M17" i="99"/>
  <c r="I17" i="99"/>
  <c r="H17" i="99"/>
  <c r="G17" i="99"/>
  <c r="F17" i="99"/>
  <c r="E17" i="99"/>
  <c r="W16" i="99"/>
  <c r="R16" i="99"/>
  <c r="M16" i="99"/>
  <c r="I16" i="99"/>
  <c r="H16" i="99"/>
  <c r="G16" i="99"/>
  <c r="F16" i="99"/>
  <c r="E16" i="99"/>
  <c r="W15" i="99"/>
  <c r="R15" i="99"/>
  <c r="M15" i="99"/>
  <c r="I15" i="99"/>
  <c r="H15" i="99"/>
  <c r="G15" i="99"/>
  <c r="F15" i="99"/>
  <c r="E15" i="99"/>
  <c r="W14" i="99"/>
  <c r="R14" i="99"/>
  <c r="M14" i="99"/>
  <c r="I14" i="99"/>
  <c r="H14" i="99"/>
  <c r="G14" i="99"/>
  <c r="F14" i="99"/>
  <c r="E14" i="99"/>
  <c r="W13" i="99"/>
  <c r="R13" i="99"/>
  <c r="M13" i="99"/>
  <c r="I13" i="99"/>
  <c r="H13" i="99"/>
  <c r="G13" i="99"/>
  <c r="F13" i="99"/>
  <c r="E13" i="99"/>
  <c r="W12" i="99"/>
  <c r="R12" i="99"/>
  <c r="M12" i="99"/>
  <c r="I12" i="99"/>
  <c r="I11" i="99" s="1"/>
  <c r="H12" i="99"/>
  <c r="G12" i="99"/>
  <c r="F12" i="99"/>
  <c r="E12" i="99"/>
  <c r="X11" i="99"/>
  <c r="V11" i="99"/>
  <c r="W11" i="99" s="1"/>
  <c r="U11" i="99"/>
  <c r="U33" i="99" s="1"/>
  <c r="T11" i="99"/>
  <c r="T33" i="99" s="1"/>
  <c r="S11" i="99"/>
  <c r="Q11" i="99"/>
  <c r="R11" i="99" s="1"/>
  <c r="P11" i="99"/>
  <c r="O11" i="99"/>
  <c r="N11" i="99"/>
  <c r="M11" i="99"/>
  <c r="L11" i="99"/>
  <c r="L33" i="99" s="1"/>
  <c r="M33" i="99" s="1"/>
  <c r="K11" i="99"/>
  <c r="J11" i="99"/>
  <c r="G11" i="99"/>
  <c r="H11" i="99" s="1"/>
  <c r="F11" i="99"/>
  <c r="E11" i="99"/>
  <c r="W10" i="99"/>
  <c r="R10" i="99"/>
  <c r="M10" i="99"/>
  <c r="I10" i="99"/>
  <c r="G10" i="99"/>
  <c r="H10" i="99" s="1"/>
  <c r="F10" i="99"/>
  <c r="E10" i="99"/>
  <c r="W9" i="99"/>
  <c r="R9" i="99"/>
  <c r="M9" i="99"/>
  <c r="I9" i="99"/>
  <c r="G9" i="99"/>
  <c r="H9" i="99" s="1"/>
  <c r="F9" i="99"/>
  <c r="E9" i="99"/>
  <c r="W8" i="99"/>
  <c r="R8" i="99"/>
  <c r="M8" i="99"/>
  <c r="I8" i="99"/>
  <c r="G8" i="99"/>
  <c r="H8" i="99" s="1"/>
  <c r="F8" i="99"/>
  <c r="E8" i="99"/>
  <c r="W7" i="99"/>
  <c r="R7" i="99"/>
  <c r="M7" i="99"/>
  <c r="I7" i="99"/>
  <c r="G7" i="99"/>
  <c r="G6" i="99" s="1"/>
  <c r="F7" i="99"/>
  <c r="F6" i="99" s="1"/>
  <c r="F33" i="99" s="1"/>
  <c r="E7" i="99"/>
  <c r="E6" i="99" s="1"/>
  <c r="E33" i="99" s="1"/>
  <c r="X6" i="99"/>
  <c r="X33" i="99" s="1"/>
  <c r="V6" i="99"/>
  <c r="W6" i="99" s="1"/>
  <c r="U6" i="99"/>
  <c r="T6" i="99"/>
  <c r="S6" i="99"/>
  <c r="Q6" i="99"/>
  <c r="Q33" i="99" s="1"/>
  <c r="P6" i="99"/>
  <c r="P33" i="99" s="1"/>
  <c r="O6" i="99"/>
  <c r="O33" i="99" s="1"/>
  <c r="N6" i="99"/>
  <c r="N33" i="99" s="1"/>
  <c r="L6" i="99"/>
  <c r="M6" i="99" s="1"/>
  <c r="K6" i="99"/>
  <c r="J6" i="99"/>
  <c r="I6" i="99"/>
  <c r="R33" i="99" l="1"/>
  <c r="H6" i="99"/>
  <c r="G33" i="99"/>
  <c r="H33" i="99" s="1"/>
  <c r="I33" i="99"/>
  <c r="R6" i="99"/>
  <c r="H7" i="99"/>
  <c r="V33" i="99"/>
  <c r="W33" i="99" s="1"/>
  <c r="V33" i="96" l="1"/>
  <c r="W33" i="96" s="1"/>
  <c r="U33" i="96"/>
  <c r="I32" i="96"/>
  <c r="G32" i="96"/>
  <c r="F32" i="96"/>
  <c r="E32" i="96"/>
  <c r="I31" i="96"/>
  <c r="G31" i="96"/>
  <c r="F31" i="96"/>
  <c r="E31" i="96"/>
  <c r="I30" i="96"/>
  <c r="G30" i="96"/>
  <c r="F30" i="96"/>
  <c r="E30" i="96"/>
  <c r="M29" i="96"/>
  <c r="I29" i="96"/>
  <c r="G29" i="96"/>
  <c r="F29" i="96"/>
  <c r="H29" i="96" s="1"/>
  <c r="E29" i="96"/>
  <c r="M28" i="96"/>
  <c r="I27" i="96"/>
  <c r="G27" i="96"/>
  <c r="F27" i="96"/>
  <c r="E27" i="96"/>
  <c r="M26" i="96"/>
  <c r="I26" i="96"/>
  <c r="G26" i="96"/>
  <c r="H26" i="96" s="1"/>
  <c r="F26" i="96"/>
  <c r="E26" i="96"/>
  <c r="I25" i="96"/>
  <c r="G25" i="96"/>
  <c r="F25" i="96"/>
  <c r="E25" i="96"/>
  <c r="I24" i="96"/>
  <c r="G24" i="96"/>
  <c r="F24" i="96"/>
  <c r="E24" i="96"/>
  <c r="M23" i="96"/>
  <c r="I23" i="96"/>
  <c r="G23" i="96"/>
  <c r="H23" i="96" s="1"/>
  <c r="E23" i="96"/>
  <c r="W22" i="96"/>
  <c r="M22" i="96"/>
  <c r="I22" i="96"/>
  <c r="H22" i="96"/>
  <c r="G22" i="96"/>
  <c r="F22" i="96"/>
  <c r="E22" i="96"/>
  <c r="R21" i="96"/>
  <c r="M21" i="96"/>
  <c r="I21" i="96"/>
  <c r="G21" i="96"/>
  <c r="H21" i="96" s="1"/>
  <c r="F21" i="96"/>
  <c r="E21" i="96"/>
  <c r="R20" i="96"/>
  <c r="M20" i="96"/>
  <c r="I20" i="96"/>
  <c r="I11" i="96" s="1"/>
  <c r="G20" i="96"/>
  <c r="H20" i="96" s="1"/>
  <c r="F20" i="96"/>
  <c r="E20" i="96"/>
  <c r="R19" i="96"/>
  <c r="M19" i="96"/>
  <c r="I19" i="96"/>
  <c r="H19" i="96"/>
  <c r="G19" i="96"/>
  <c r="F19" i="96"/>
  <c r="E19" i="96"/>
  <c r="W18" i="96"/>
  <c r="M18" i="96"/>
  <c r="I18" i="96"/>
  <c r="G18" i="96"/>
  <c r="H18" i="96" s="1"/>
  <c r="F18" i="96"/>
  <c r="E18" i="96"/>
  <c r="M17" i="96"/>
  <c r="I17" i="96"/>
  <c r="G17" i="96"/>
  <c r="H17" i="96" s="1"/>
  <c r="F17" i="96"/>
  <c r="E17" i="96"/>
  <c r="M16" i="96"/>
  <c r="I16" i="96"/>
  <c r="H16" i="96"/>
  <c r="G16" i="96"/>
  <c r="F16" i="96"/>
  <c r="E16" i="96"/>
  <c r="W15" i="96"/>
  <c r="M15" i="96"/>
  <c r="I15" i="96"/>
  <c r="G15" i="96"/>
  <c r="H15" i="96" s="1"/>
  <c r="F15" i="96"/>
  <c r="E15" i="96"/>
  <c r="I14" i="96"/>
  <c r="G14" i="96"/>
  <c r="F14" i="96"/>
  <c r="E14" i="96"/>
  <c r="W13" i="96"/>
  <c r="M13" i="96"/>
  <c r="I13" i="96"/>
  <c r="G13" i="96"/>
  <c r="H13" i="96" s="1"/>
  <c r="F13" i="96"/>
  <c r="E13" i="96"/>
  <c r="R12" i="96"/>
  <c r="M12" i="96"/>
  <c r="I12" i="96"/>
  <c r="G12" i="96"/>
  <c r="F12" i="96"/>
  <c r="F11" i="96" s="1"/>
  <c r="H11" i="96" s="1"/>
  <c r="E12" i="96"/>
  <c r="E11" i="96" s="1"/>
  <c r="X11" i="96"/>
  <c r="V11" i="96"/>
  <c r="W11" i="96" s="1"/>
  <c r="U11" i="96"/>
  <c r="T11" i="96"/>
  <c r="S11" i="96"/>
  <c r="Q11" i="96"/>
  <c r="Q33" i="96" s="1"/>
  <c r="P11" i="96"/>
  <c r="O11" i="96"/>
  <c r="N11" i="96"/>
  <c r="N33" i="96" s="1"/>
  <c r="M11" i="96"/>
  <c r="L11" i="96"/>
  <c r="K11" i="96"/>
  <c r="J11" i="96"/>
  <c r="I10" i="96"/>
  <c r="G10" i="96"/>
  <c r="F10" i="96"/>
  <c r="E10" i="96"/>
  <c r="R9" i="96"/>
  <c r="M9" i="96"/>
  <c r="I9" i="96"/>
  <c r="G9" i="96"/>
  <c r="H9" i="96" s="1"/>
  <c r="F9" i="96"/>
  <c r="E9" i="96"/>
  <c r="M8" i="96"/>
  <c r="I8" i="96"/>
  <c r="I6" i="96" s="1"/>
  <c r="I33" i="96" s="1"/>
  <c r="H8" i="96"/>
  <c r="G8" i="96"/>
  <c r="F8" i="96"/>
  <c r="E8" i="96"/>
  <c r="W7" i="96"/>
  <c r="M7" i="96"/>
  <c r="I7" i="96"/>
  <c r="G7" i="96"/>
  <c r="H7" i="96" s="1"/>
  <c r="F7" i="96"/>
  <c r="F6" i="96" s="1"/>
  <c r="F33" i="96" s="1"/>
  <c r="E7" i="96"/>
  <c r="E6" i="96" s="1"/>
  <c r="E33" i="96" s="1"/>
  <c r="X6" i="96"/>
  <c r="X33" i="96" s="1"/>
  <c r="V6" i="96"/>
  <c r="U6" i="96"/>
  <c r="W6" i="96" s="1"/>
  <c r="T6" i="96"/>
  <c r="T33" i="96" s="1"/>
  <c r="S6" i="96"/>
  <c r="S33" i="96" s="1"/>
  <c r="Q6" i="96"/>
  <c r="R6" i="96" s="1"/>
  <c r="P6" i="96"/>
  <c r="P33" i="96" s="1"/>
  <c r="O6" i="96"/>
  <c r="O33" i="96" s="1"/>
  <c r="N6" i="96"/>
  <c r="L6" i="96"/>
  <c r="L33" i="96" s="1"/>
  <c r="K6" i="96"/>
  <c r="K33" i="96" s="1"/>
  <c r="J6" i="96"/>
  <c r="J33" i="96" s="1"/>
  <c r="M6" i="96" l="1"/>
  <c r="R11" i="96"/>
  <c r="G6" i="96"/>
  <c r="H12" i="96"/>
  <c r="H6" i="96" l="1"/>
  <c r="G33" i="96"/>
  <c r="R36" i="94" l="1"/>
  <c r="H36" i="94"/>
  <c r="R35" i="94"/>
  <c r="H35" i="94"/>
  <c r="S34" i="94"/>
  <c r="R34" i="94"/>
  <c r="Q34" i="94"/>
  <c r="P34" i="94"/>
  <c r="O34" i="94"/>
  <c r="I34" i="94"/>
  <c r="E34" i="94"/>
  <c r="P33" i="94"/>
  <c r="M32" i="94"/>
  <c r="I32" i="94"/>
  <c r="G32" i="94"/>
  <c r="F32" i="94"/>
  <c r="H32" i="94" s="1"/>
  <c r="E32" i="94"/>
  <c r="I31" i="94"/>
  <c r="G31" i="94"/>
  <c r="F31" i="94"/>
  <c r="E31" i="94"/>
  <c r="I30" i="94"/>
  <c r="G30" i="94"/>
  <c r="F30" i="94"/>
  <c r="E30" i="94"/>
  <c r="M29" i="94"/>
  <c r="I29" i="94"/>
  <c r="G29" i="94"/>
  <c r="F29" i="94"/>
  <c r="H29" i="94" s="1"/>
  <c r="E29" i="94"/>
  <c r="R28" i="94"/>
  <c r="M28" i="94"/>
  <c r="I28" i="94"/>
  <c r="G28" i="94"/>
  <c r="H28" i="94" s="1"/>
  <c r="F28" i="94"/>
  <c r="E28" i="94"/>
  <c r="I27" i="94"/>
  <c r="G27" i="94"/>
  <c r="F27" i="94"/>
  <c r="E27" i="94"/>
  <c r="W26" i="94"/>
  <c r="M26" i="94"/>
  <c r="I26" i="94"/>
  <c r="G26" i="94"/>
  <c r="F26" i="94"/>
  <c r="H26" i="94" s="1"/>
  <c r="E26" i="94"/>
  <c r="M25" i="94"/>
  <c r="I25" i="94"/>
  <c r="G25" i="94"/>
  <c r="F25" i="94"/>
  <c r="H25" i="94" s="1"/>
  <c r="E25" i="94"/>
  <c r="I24" i="94"/>
  <c r="G24" i="94"/>
  <c r="F24" i="94"/>
  <c r="E24" i="94"/>
  <c r="I23" i="94"/>
  <c r="G23" i="94"/>
  <c r="F23" i="94"/>
  <c r="E23" i="94"/>
  <c r="I22" i="94"/>
  <c r="G22" i="94"/>
  <c r="F22" i="94"/>
  <c r="E22" i="94"/>
  <c r="W21" i="94"/>
  <c r="R21" i="94"/>
  <c r="M21" i="94"/>
  <c r="I21" i="94"/>
  <c r="G21" i="94"/>
  <c r="H21" i="94" s="1"/>
  <c r="F21" i="94"/>
  <c r="E21" i="94"/>
  <c r="W20" i="94"/>
  <c r="R20" i="94"/>
  <c r="M20" i="94"/>
  <c r="I20" i="94"/>
  <c r="G20" i="94"/>
  <c r="H20" i="94" s="1"/>
  <c r="F20" i="94"/>
  <c r="E20" i="94"/>
  <c r="W19" i="94"/>
  <c r="R19" i="94"/>
  <c r="M19" i="94"/>
  <c r="I19" i="94"/>
  <c r="G19" i="94"/>
  <c r="G34" i="94" s="1"/>
  <c r="F19" i="94"/>
  <c r="F34" i="94" s="1"/>
  <c r="E19" i="94"/>
  <c r="W18" i="94"/>
  <c r="R18" i="94"/>
  <c r="M18" i="94"/>
  <c r="I18" i="94"/>
  <c r="G18" i="94"/>
  <c r="H18" i="94" s="1"/>
  <c r="F18" i="94"/>
  <c r="E18" i="94"/>
  <c r="M17" i="94"/>
  <c r="I17" i="94"/>
  <c r="G17" i="94"/>
  <c r="F17" i="94"/>
  <c r="H17" i="94" s="1"/>
  <c r="E17" i="94"/>
  <c r="E11" i="94" s="1"/>
  <c r="R16" i="94"/>
  <c r="M16" i="94"/>
  <c r="I16" i="94"/>
  <c r="G16" i="94"/>
  <c r="H16" i="94" s="1"/>
  <c r="F16" i="94"/>
  <c r="E16" i="94"/>
  <c r="W15" i="94"/>
  <c r="M15" i="94"/>
  <c r="I15" i="94"/>
  <c r="G15" i="94"/>
  <c r="F15" i="94"/>
  <c r="H15" i="94" s="1"/>
  <c r="E15" i="94"/>
  <c r="M14" i="94"/>
  <c r="I14" i="94"/>
  <c r="H14" i="94"/>
  <c r="G14" i="94"/>
  <c r="F14" i="94"/>
  <c r="E14" i="94"/>
  <c r="W13" i="94"/>
  <c r="M13" i="94"/>
  <c r="I13" i="94"/>
  <c r="G13" i="94"/>
  <c r="H13" i="94" s="1"/>
  <c r="F13" i="94"/>
  <c r="E13" i="94"/>
  <c r="W12" i="94"/>
  <c r="R12" i="94"/>
  <c r="M12" i="94"/>
  <c r="I12" i="94"/>
  <c r="I11" i="94" s="1"/>
  <c r="G12" i="94"/>
  <c r="H12" i="94" s="1"/>
  <c r="F12" i="94"/>
  <c r="F11" i="94" s="1"/>
  <c r="E12" i="94"/>
  <c r="X11" i="94"/>
  <c r="V11" i="94"/>
  <c r="U11" i="94"/>
  <c r="U33" i="94" s="1"/>
  <c r="T11" i="94"/>
  <c r="S11" i="94"/>
  <c r="R11" i="94"/>
  <c r="Q11" i="94"/>
  <c r="P11" i="94"/>
  <c r="O11" i="94"/>
  <c r="N11" i="94"/>
  <c r="L11" i="94"/>
  <c r="M11" i="94" s="1"/>
  <c r="K11" i="94"/>
  <c r="J11" i="94"/>
  <c r="M10" i="94"/>
  <c r="I10" i="94"/>
  <c r="H10" i="94"/>
  <c r="G10" i="94"/>
  <c r="F10" i="94"/>
  <c r="E10" i="94"/>
  <c r="R9" i="94"/>
  <c r="M9" i="94"/>
  <c r="I9" i="94"/>
  <c r="H9" i="94"/>
  <c r="G9" i="94"/>
  <c r="F9" i="94"/>
  <c r="E9" i="94"/>
  <c r="M8" i="94"/>
  <c r="I8" i="94"/>
  <c r="G8" i="94"/>
  <c r="H8" i="94" s="1"/>
  <c r="F8" i="94"/>
  <c r="E8" i="94"/>
  <c r="W7" i="94"/>
  <c r="R7" i="94"/>
  <c r="M7" i="94"/>
  <c r="I7" i="94"/>
  <c r="G7" i="94"/>
  <c r="G6" i="94" s="1"/>
  <c r="F7" i="94"/>
  <c r="F6" i="94" s="1"/>
  <c r="E7" i="94"/>
  <c r="E6" i="94" s="1"/>
  <c r="E33" i="94" s="1"/>
  <c r="X6" i="94"/>
  <c r="X33" i="94" s="1"/>
  <c r="V6" i="94"/>
  <c r="V33" i="94" s="1"/>
  <c r="W33" i="94" s="1"/>
  <c r="U6" i="94"/>
  <c r="T6" i="94"/>
  <c r="T33" i="94" s="1"/>
  <c r="S6" i="94"/>
  <c r="S33" i="94" s="1"/>
  <c r="Q6" i="94"/>
  <c r="Q33" i="94" s="1"/>
  <c r="P6" i="94"/>
  <c r="O6" i="94"/>
  <c r="O33" i="94" s="1"/>
  <c r="N6" i="94"/>
  <c r="N33" i="94" s="1"/>
  <c r="L6" i="94"/>
  <c r="L33" i="94" s="1"/>
  <c r="K6" i="94"/>
  <c r="K33" i="94" s="1"/>
  <c r="J6" i="94"/>
  <c r="J33" i="94" s="1"/>
  <c r="I6" i="94"/>
  <c r="F33" i="94" l="1"/>
  <c r="H6" i="94"/>
  <c r="I33" i="94"/>
  <c r="H34" i="94"/>
  <c r="G11" i="94"/>
  <c r="H11" i="94" s="1"/>
  <c r="W11" i="94"/>
  <c r="R6" i="94"/>
  <c r="H7" i="94"/>
  <c r="H19" i="94"/>
  <c r="M6" i="94"/>
  <c r="W6" i="94"/>
  <c r="G33" i="94" l="1"/>
  <c r="H37" i="93" l="1"/>
  <c r="H36" i="93"/>
  <c r="H35" i="93"/>
  <c r="X34" i="93"/>
  <c r="W33" i="93"/>
  <c r="R33" i="93"/>
  <c r="M33" i="93"/>
  <c r="I33" i="93"/>
  <c r="H33" i="93"/>
  <c r="G33" i="93"/>
  <c r="F33" i="93"/>
  <c r="E33" i="93"/>
  <c r="W32" i="93"/>
  <c r="R32" i="93"/>
  <c r="M32" i="93"/>
  <c r="I32" i="93"/>
  <c r="H32" i="93"/>
  <c r="G32" i="93"/>
  <c r="F32" i="93"/>
  <c r="E32" i="93"/>
  <c r="W31" i="93"/>
  <c r="R31" i="93"/>
  <c r="M31" i="93"/>
  <c r="I31" i="93"/>
  <c r="H31" i="93"/>
  <c r="G31" i="93"/>
  <c r="F31" i="93"/>
  <c r="E31" i="93"/>
  <c r="W30" i="93"/>
  <c r="R30" i="93"/>
  <c r="M30" i="93"/>
  <c r="I30" i="93"/>
  <c r="H30" i="93"/>
  <c r="G30" i="93"/>
  <c r="F30" i="93"/>
  <c r="E30" i="93"/>
  <c r="W29" i="93"/>
  <c r="Q29" i="93"/>
  <c r="R29" i="93" s="1"/>
  <c r="P29" i="93"/>
  <c r="F29" i="93" s="1"/>
  <c r="M29" i="93"/>
  <c r="K29" i="93"/>
  <c r="I29" i="93"/>
  <c r="G29" i="93"/>
  <c r="E29" i="93"/>
  <c r="W28" i="93"/>
  <c r="R28" i="93"/>
  <c r="N28" i="93"/>
  <c r="M28" i="93"/>
  <c r="I28" i="93"/>
  <c r="H28" i="93"/>
  <c r="G28" i="93"/>
  <c r="F28" i="93"/>
  <c r="E28" i="93"/>
  <c r="W27" i="93"/>
  <c r="R27" i="93"/>
  <c r="K27" i="93"/>
  <c r="M27" i="93" s="1"/>
  <c r="I27" i="93"/>
  <c r="G27" i="93"/>
  <c r="H27" i="93" s="1"/>
  <c r="F27" i="93"/>
  <c r="E27" i="93"/>
  <c r="W26" i="93"/>
  <c r="R26" i="93"/>
  <c r="M26" i="93"/>
  <c r="I26" i="93"/>
  <c r="G26" i="93"/>
  <c r="H26" i="93" s="1"/>
  <c r="F26" i="93"/>
  <c r="E26" i="93"/>
  <c r="W25" i="93"/>
  <c r="R25" i="93"/>
  <c r="M25" i="93"/>
  <c r="I25" i="93"/>
  <c r="G25" i="93"/>
  <c r="H25" i="93" s="1"/>
  <c r="F25" i="93"/>
  <c r="E25" i="93"/>
  <c r="W24" i="93"/>
  <c r="R24" i="93"/>
  <c r="M24" i="93"/>
  <c r="I24" i="93"/>
  <c r="G24" i="93"/>
  <c r="H24" i="93" s="1"/>
  <c r="F24" i="93"/>
  <c r="E24" i="93"/>
  <c r="W23" i="93"/>
  <c r="R23" i="93"/>
  <c r="M23" i="93"/>
  <c r="I23" i="93"/>
  <c r="G23" i="93"/>
  <c r="H23" i="93" s="1"/>
  <c r="F23" i="93"/>
  <c r="E23" i="93"/>
  <c r="W22" i="93"/>
  <c r="Q22" i="93"/>
  <c r="R22" i="93" s="1"/>
  <c r="P22" i="93"/>
  <c r="F22" i="93" s="1"/>
  <c r="M22" i="93"/>
  <c r="I22" i="93"/>
  <c r="G22" i="93"/>
  <c r="H22" i="93" s="1"/>
  <c r="E22" i="93"/>
  <c r="V21" i="93"/>
  <c r="V12" i="93" s="1"/>
  <c r="W12" i="93" s="1"/>
  <c r="Q21" i="93"/>
  <c r="R21" i="93" s="1"/>
  <c r="P21" i="93"/>
  <c r="M21" i="93"/>
  <c r="K21" i="93"/>
  <c r="F21" i="93" s="1"/>
  <c r="I21" i="93"/>
  <c r="G21" i="93"/>
  <c r="H21" i="93" s="1"/>
  <c r="E21" i="93"/>
  <c r="W20" i="93"/>
  <c r="R20" i="93"/>
  <c r="Q20" i="93"/>
  <c r="P20" i="93"/>
  <c r="K20" i="93"/>
  <c r="K12" i="93" s="1"/>
  <c r="I20" i="93"/>
  <c r="G20" i="93"/>
  <c r="H20" i="93" s="1"/>
  <c r="F20" i="93"/>
  <c r="E20" i="93"/>
  <c r="W19" i="93"/>
  <c r="Q19" i="93"/>
  <c r="G19" i="93" s="1"/>
  <c r="H19" i="93" s="1"/>
  <c r="P19" i="93"/>
  <c r="M19" i="93"/>
  <c r="I19" i="93"/>
  <c r="F19" i="93"/>
  <c r="E19" i="93"/>
  <c r="W18" i="93"/>
  <c r="R18" i="93"/>
  <c r="M18" i="93"/>
  <c r="I18" i="93"/>
  <c r="H18" i="93"/>
  <c r="G18" i="93"/>
  <c r="F18" i="93"/>
  <c r="E18" i="93"/>
  <c r="W17" i="93"/>
  <c r="R17" i="93"/>
  <c r="M17" i="93"/>
  <c r="I17" i="93"/>
  <c r="H17" i="93"/>
  <c r="G17" i="93"/>
  <c r="F17" i="93"/>
  <c r="E17" i="93"/>
  <c r="W16" i="93"/>
  <c r="Q16" i="93"/>
  <c r="R16" i="93" s="1"/>
  <c r="P16" i="93"/>
  <c r="P12" i="93" s="1"/>
  <c r="P34" i="93" s="1"/>
  <c r="O16" i="93"/>
  <c r="O12" i="93" s="1"/>
  <c r="L16" i="93"/>
  <c r="M16" i="93" s="1"/>
  <c r="K16" i="93"/>
  <c r="I16" i="93"/>
  <c r="G16" i="93"/>
  <c r="H16" i="93" s="1"/>
  <c r="F16" i="93"/>
  <c r="E16" i="93"/>
  <c r="W15" i="93"/>
  <c r="R15" i="93"/>
  <c r="M15" i="93"/>
  <c r="I15" i="93"/>
  <c r="G15" i="93"/>
  <c r="H15" i="93" s="1"/>
  <c r="F15" i="93"/>
  <c r="E15" i="93"/>
  <c r="W14" i="93"/>
  <c r="R14" i="93"/>
  <c r="M14" i="93"/>
  <c r="I14" i="93"/>
  <c r="G14" i="93"/>
  <c r="H14" i="93" s="1"/>
  <c r="F14" i="93"/>
  <c r="E14" i="93"/>
  <c r="E12" i="93" s="1"/>
  <c r="W13" i="93"/>
  <c r="Q13" i="93"/>
  <c r="G13" i="93" s="1"/>
  <c r="P13" i="93"/>
  <c r="K13" i="93"/>
  <c r="M13" i="93" s="1"/>
  <c r="I13" i="93"/>
  <c r="I12" i="93" s="1"/>
  <c r="E13" i="93"/>
  <c r="X12" i="93"/>
  <c r="U12" i="93"/>
  <c r="T12" i="93"/>
  <c r="S12" i="93"/>
  <c r="N12" i="93"/>
  <c r="L12" i="93"/>
  <c r="J12" i="93"/>
  <c r="W11" i="93"/>
  <c r="R11" i="93"/>
  <c r="M11" i="93"/>
  <c r="I11" i="93"/>
  <c r="H11" i="93"/>
  <c r="G11" i="93"/>
  <c r="F11" i="93"/>
  <c r="E11" i="93"/>
  <c r="W10" i="93"/>
  <c r="Q10" i="93"/>
  <c r="P10" i="93"/>
  <c r="R10" i="93" s="1"/>
  <c r="M10" i="93"/>
  <c r="L10" i="93"/>
  <c r="I10" i="93"/>
  <c r="G10" i="93"/>
  <c r="H10" i="93" s="1"/>
  <c r="F10" i="93"/>
  <c r="E10" i="93"/>
  <c r="W9" i="93"/>
  <c r="R9" i="93"/>
  <c r="M9" i="93"/>
  <c r="I9" i="93"/>
  <c r="G9" i="93"/>
  <c r="H9" i="93" s="1"/>
  <c r="F9" i="93"/>
  <c r="E9" i="93"/>
  <c r="W8" i="93"/>
  <c r="R8" i="93"/>
  <c r="K8" i="93"/>
  <c r="M8" i="93" s="1"/>
  <c r="I8" i="93"/>
  <c r="I7" i="93" s="1"/>
  <c r="I34" i="93" s="1"/>
  <c r="G8" i="93"/>
  <c r="G7" i="93" s="1"/>
  <c r="E8" i="93"/>
  <c r="X7" i="93"/>
  <c r="V7" i="93"/>
  <c r="W7" i="93" s="1"/>
  <c r="U7" i="93"/>
  <c r="U34" i="93" s="1"/>
  <c r="T7" i="93"/>
  <c r="T34" i="93" s="1"/>
  <c r="S7" i="93"/>
  <c r="S34" i="93" s="1"/>
  <c r="Q7" i="93"/>
  <c r="R7" i="93" s="1"/>
  <c r="P7" i="93"/>
  <c r="O7" i="93"/>
  <c r="N7" i="93"/>
  <c r="N34" i="93" s="1"/>
  <c r="L7" i="93"/>
  <c r="M7" i="93" s="1"/>
  <c r="K7" i="93"/>
  <c r="K34" i="93" s="1"/>
  <c r="J7" i="93"/>
  <c r="J34" i="93" s="1"/>
  <c r="E7" i="93"/>
  <c r="E34" i="93" s="1"/>
  <c r="H29" i="93" l="1"/>
  <c r="M12" i="93"/>
  <c r="O34" i="93"/>
  <c r="G12" i="93"/>
  <c r="G34" i="93" s="1"/>
  <c r="L34" i="93"/>
  <c r="M34" i="93" s="1"/>
  <c r="Q12" i="93"/>
  <c r="R19" i="93"/>
  <c r="M20" i="93"/>
  <c r="W21" i="93"/>
  <c r="F8" i="93"/>
  <c r="F13" i="93"/>
  <c r="F12" i="93" s="1"/>
  <c r="R13" i="93"/>
  <c r="V34" i="93"/>
  <c r="W34" i="93" s="1"/>
  <c r="H13" i="93" l="1"/>
  <c r="F7" i="93"/>
  <c r="H8" i="93"/>
  <c r="H12" i="93"/>
  <c r="Q34" i="93"/>
  <c r="R34" i="93" s="1"/>
  <c r="R12" i="93"/>
  <c r="F34" i="93" l="1"/>
  <c r="H34" i="93" s="1"/>
  <c r="H7" i="93"/>
  <c r="B39" i="73" l="1"/>
  <c r="B33" i="73"/>
  <c r="D27" i="73"/>
  <c r="C27" i="73"/>
  <c r="E26" i="73"/>
  <c r="E25" i="73"/>
  <c r="E24" i="73"/>
  <c r="E23" i="73"/>
  <c r="E27" i="73" s="1"/>
  <c r="C18" i="73"/>
  <c r="C6" i="73"/>
  <c r="R36" i="92" l="1"/>
  <c r="H36" i="92"/>
  <c r="R35" i="92"/>
  <c r="H35" i="92"/>
  <c r="R34" i="92"/>
  <c r="H34" i="92"/>
  <c r="V33" i="92"/>
  <c r="W33" i="92" s="1"/>
  <c r="U33" i="92"/>
  <c r="N33" i="92"/>
  <c r="L33" i="92"/>
  <c r="K33" i="92"/>
  <c r="I32" i="92"/>
  <c r="G32" i="92"/>
  <c r="F32" i="92"/>
  <c r="E32" i="92"/>
  <c r="I31" i="92"/>
  <c r="G31" i="92"/>
  <c r="F31" i="92"/>
  <c r="E31" i="92"/>
  <c r="I30" i="92"/>
  <c r="G30" i="92"/>
  <c r="F30" i="92"/>
  <c r="E30" i="92"/>
  <c r="R29" i="92"/>
  <c r="M29" i="92"/>
  <c r="I29" i="92"/>
  <c r="G29" i="92"/>
  <c r="H29" i="92" s="1"/>
  <c r="F29" i="92"/>
  <c r="E29" i="92"/>
  <c r="R28" i="92"/>
  <c r="M28" i="92"/>
  <c r="H28" i="92"/>
  <c r="I27" i="92"/>
  <c r="G27" i="92"/>
  <c r="F27" i="92"/>
  <c r="E27" i="92"/>
  <c r="W26" i="92"/>
  <c r="M26" i="92"/>
  <c r="I26" i="92"/>
  <c r="G26" i="92"/>
  <c r="H26" i="92" s="1"/>
  <c r="F26" i="92"/>
  <c r="E26" i="92"/>
  <c r="I25" i="92"/>
  <c r="G25" i="92"/>
  <c r="F25" i="92"/>
  <c r="E25" i="92"/>
  <c r="I24" i="92"/>
  <c r="G24" i="92"/>
  <c r="F24" i="92"/>
  <c r="E24" i="92"/>
  <c r="I23" i="92"/>
  <c r="G23" i="92"/>
  <c r="F23" i="92"/>
  <c r="E23" i="92"/>
  <c r="I22" i="92"/>
  <c r="G22" i="92"/>
  <c r="F22" i="92"/>
  <c r="E22" i="92"/>
  <c r="W21" i="92"/>
  <c r="R21" i="92"/>
  <c r="M21" i="92"/>
  <c r="I21" i="92"/>
  <c r="G21" i="92"/>
  <c r="H21" i="92" s="1"/>
  <c r="F21" i="92"/>
  <c r="E21" i="92"/>
  <c r="W20" i="92"/>
  <c r="R20" i="92"/>
  <c r="M20" i="92"/>
  <c r="I20" i="92"/>
  <c r="G20" i="92"/>
  <c r="H20" i="92" s="1"/>
  <c r="F20" i="92"/>
  <c r="E20" i="92"/>
  <c r="W19" i="92"/>
  <c r="R19" i="92"/>
  <c r="M19" i="92"/>
  <c r="I19" i="92"/>
  <c r="G19" i="92"/>
  <c r="H19" i="92" s="1"/>
  <c r="F19" i="92"/>
  <c r="E19" i="92"/>
  <c r="W18" i="92"/>
  <c r="R18" i="92"/>
  <c r="M18" i="92"/>
  <c r="I18" i="92"/>
  <c r="G18" i="92"/>
  <c r="H18" i="92" s="1"/>
  <c r="F18" i="92"/>
  <c r="E18" i="92"/>
  <c r="M17" i="92"/>
  <c r="I17" i="92"/>
  <c r="G17" i="92"/>
  <c r="H17" i="92" s="1"/>
  <c r="F17" i="92"/>
  <c r="E17" i="92"/>
  <c r="R16" i="92"/>
  <c r="M16" i="92"/>
  <c r="I16" i="92"/>
  <c r="G16" i="92"/>
  <c r="H16" i="92" s="1"/>
  <c r="F16" i="92"/>
  <c r="E16" i="92"/>
  <c r="W15" i="92"/>
  <c r="M15" i="92"/>
  <c r="I15" i="92"/>
  <c r="I11" i="92" s="1"/>
  <c r="H15" i="92"/>
  <c r="G15" i="92"/>
  <c r="F15" i="92"/>
  <c r="E15" i="92"/>
  <c r="I14" i="92"/>
  <c r="G14" i="92"/>
  <c r="F14" i="92"/>
  <c r="E14" i="92"/>
  <c r="W13" i="92"/>
  <c r="M13" i="92"/>
  <c r="I13" i="92"/>
  <c r="G13" i="92"/>
  <c r="F13" i="92"/>
  <c r="H13" i="92" s="1"/>
  <c r="E13" i="92"/>
  <c r="W12" i="92"/>
  <c r="R12" i="92"/>
  <c r="M12" i="92"/>
  <c r="I12" i="92"/>
  <c r="G12" i="92"/>
  <c r="F12" i="92"/>
  <c r="H12" i="92" s="1"/>
  <c r="E12" i="92"/>
  <c r="E11" i="92" s="1"/>
  <c r="X11" i="92"/>
  <c r="W11" i="92"/>
  <c r="V11" i="92"/>
  <c r="U11" i="92"/>
  <c r="T11" i="92"/>
  <c r="S11" i="92"/>
  <c r="Q11" i="92"/>
  <c r="R11" i="92" s="1"/>
  <c r="P11" i="92"/>
  <c r="O11" i="92"/>
  <c r="O33" i="92" s="1"/>
  <c r="N11" i="92"/>
  <c r="L11" i="92"/>
  <c r="M11" i="92" s="1"/>
  <c r="K11" i="92"/>
  <c r="J11" i="92"/>
  <c r="F11" i="92"/>
  <c r="H11" i="92" s="1"/>
  <c r="I10" i="92"/>
  <c r="G10" i="92"/>
  <c r="F10" i="92"/>
  <c r="E10" i="92"/>
  <c r="R9" i="92"/>
  <c r="M9" i="92"/>
  <c r="I9" i="92"/>
  <c r="I6" i="92" s="1"/>
  <c r="I33" i="92" s="1"/>
  <c r="G9" i="92"/>
  <c r="H9" i="92" s="1"/>
  <c r="F9" i="92"/>
  <c r="E9" i="92"/>
  <c r="I8" i="92"/>
  <c r="G8" i="92"/>
  <c r="F8" i="92"/>
  <c r="E8" i="92"/>
  <c r="W7" i="92"/>
  <c r="M7" i="92"/>
  <c r="I7" i="92"/>
  <c r="G7" i="92"/>
  <c r="G6" i="92" s="1"/>
  <c r="F7" i="92"/>
  <c r="F6" i="92" s="1"/>
  <c r="F33" i="92" s="1"/>
  <c r="E7" i="92"/>
  <c r="E6" i="92" s="1"/>
  <c r="X6" i="92"/>
  <c r="X33" i="92" s="1"/>
  <c r="V6" i="92"/>
  <c r="W6" i="92" s="1"/>
  <c r="U6" i="92"/>
  <c r="T6" i="92"/>
  <c r="T33" i="92" s="1"/>
  <c r="S6" i="92"/>
  <c r="S33" i="92" s="1"/>
  <c r="Q6" i="92"/>
  <c r="Q33" i="92" s="1"/>
  <c r="P6" i="92"/>
  <c r="P33" i="92" s="1"/>
  <c r="O6" i="92"/>
  <c r="N6" i="92"/>
  <c r="L6" i="92"/>
  <c r="K6" i="92"/>
  <c r="M6" i="92" s="1"/>
  <c r="J6" i="92"/>
  <c r="J33" i="92" s="1"/>
  <c r="H6" i="92" l="1"/>
  <c r="G33" i="92"/>
  <c r="H33" i="92" s="1"/>
  <c r="E33" i="92"/>
  <c r="R6" i="92"/>
  <c r="H7" i="92"/>
  <c r="W36" i="91" l="1"/>
  <c r="R36" i="91"/>
  <c r="M36" i="91"/>
  <c r="H36" i="91"/>
  <c r="W35" i="91"/>
  <c r="R35" i="91"/>
  <c r="M35" i="91"/>
  <c r="H35" i="91"/>
  <c r="W34" i="91"/>
  <c r="R34" i="91"/>
  <c r="M34" i="91"/>
  <c r="H34" i="91"/>
  <c r="W32" i="91"/>
  <c r="R32" i="91"/>
  <c r="M32" i="91"/>
  <c r="I32" i="91"/>
  <c r="H32" i="91"/>
  <c r="G32" i="91"/>
  <c r="F32" i="91"/>
  <c r="E32" i="91"/>
  <c r="W31" i="91"/>
  <c r="R31" i="91"/>
  <c r="M31" i="91"/>
  <c r="I31" i="91"/>
  <c r="H31" i="91"/>
  <c r="G31" i="91"/>
  <c r="F31" i="91"/>
  <c r="E31" i="91"/>
  <c r="W30" i="91"/>
  <c r="R30" i="91"/>
  <c r="M30" i="91"/>
  <c r="I30" i="91"/>
  <c r="H30" i="91"/>
  <c r="G30" i="91"/>
  <c r="F30" i="91"/>
  <c r="E30" i="91"/>
  <c r="W29" i="91"/>
  <c r="R29" i="91"/>
  <c r="M29" i="91"/>
  <c r="I29" i="91"/>
  <c r="H29" i="91"/>
  <c r="G29" i="91"/>
  <c r="F29" i="91"/>
  <c r="E29" i="91"/>
  <c r="W28" i="91"/>
  <c r="R28" i="91"/>
  <c r="M28" i="91"/>
  <c r="I28" i="91"/>
  <c r="H28" i="91"/>
  <c r="G28" i="91"/>
  <c r="F28" i="91"/>
  <c r="E28" i="91"/>
  <c r="W27" i="91"/>
  <c r="R27" i="91"/>
  <c r="M27" i="91"/>
  <c r="I27" i="91"/>
  <c r="H27" i="91"/>
  <c r="G27" i="91"/>
  <c r="F27" i="91"/>
  <c r="E27" i="91"/>
  <c r="W26" i="91"/>
  <c r="R26" i="91"/>
  <c r="M26" i="91"/>
  <c r="I26" i="91"/>
  <c r="H26" i="91"/>
  <c r="G26" i="91"/>
  <c r="F26" i="91"/>
  <c r="E26" i="91"/>
  <c r="W25" i="91"/>
  <c r="R25" i="91"/>
  <c r="M25" i="91"/>
  <c r="I25" i="91"/>
  <c r="H25" i="91"/>
  <c r="G25" i="91"/>
  <c r="F25" i="91"/>
  <c r="E25" i="91"/>
  <c r="W24" i="91"/>
  <c r="R24" i="91"/>
  <c r="M24" i="91"/>
  <c r="I24" i="91"/>
  <c r="H24" i="91"/>
  <c r="G24" i="91"/>
  <c r="F24" i="91"/>
  <c r="E24" i="91"/>
  <c r="W23" i="91"/>
  <c r="R23" i="91"/>
  <c r="M23" i="91"/>
  <c r="I23" i="91"/>
  <c r="H23" i="91"/>
  <c r="G23" i="91"/>
  <c r="F23" i="91"/>
  <c r="E23" i="91"/>
  <c r="W22" i="91"/>
  <c r="R22" i="91"/>
  <c r="M22" i="91"/>
  <c r="I22" i="91"/>
  <c r="H22" i="91"/>
  <c r="G22" i="91"/>
  <c r="F22" i="91"/>
  <c r="E22" i="91"/>
  <c r="W21" i="91"/>
  <c r="R21" i="91"/>
  <c r="M21" i="91"/>
  <c r="I21" i="91"/>
  <c r="H21" i="91"/>
  <c r="G21" i="91"/>
  <c r="F21" i="91"/>
  <c r="E21" i="91"/>
  <c r="W20" i="91"/>
  <c r="R20" i="91"/>
  <c r="M20" i="91"/>
  <c r="I20" i="91"/>
  <c r="H20" i="91"/>
  <c r="G20" i="91"/>
  <c r="F20" i="91"/>
  <c r="E20" i="91"/>
  <c r="W19" i="91"/>
  <c r="R19" i="91"/>
  <c r="M19" i="91"/>
  <c r="I19" i="91"/>
  <c r="H19" i="91"/>
  <c r="G19" i="91"/>
  <c r="F19" i="91"/>
  <c r="E19" i="91"/>
  <c r="W18" i="91"/>
  <c r="R18" i="91"/>
  <c r="M18" i="91"/>
  <c r="I18" i="91"/>
  <c r="H18" i="91"/>
  <c r="G18" i="91"/>
  <c r="F18" i="91"/>
  <c r="E18" i="91"/>
  <c r="W17" i="91"/>
  <c r="R17" i="91"/>
  <c r="M17" i="91"/>
  <c r="I17" i="91"/>
  <c r="H17" i="91"/>
  <c r="G17" i="91"/>
  <c r="F17" i="91"/>
  <c r="E17" i="91"/>
  <c r="W16" i="91"/>
  <c r="R16" i="91"/>
  <c r="M16" i="91"/>
  <c r="I16" i="91"/>
  <c r="H16" i="91"/>
  <c r="G16" i="91"/>
  <c r="F16" i="91"/>
  <c r="E16" i="91"/>
  <c r="W15" i="91"/>
  <c r="R15" i="91"/>
  <c r="M15" i="91"/>
  <c r="I15" i="91"/>
  <c r="H15" i="91"/>
  <c r="G15" i="91"/>
  <c r="F15" i="91"/>
  <c r="E15" i="91"/>
  <c r="W14" i="91"/>
  <c r="R14" i="91"/>
  <c r="M14" i="91"/>
  <c r="I14" i="91"/>
  <c r="H14" i="91"/>
  <c r="G14" i="91"/>
  <c r="F14" i="91"/>
  <c r="E14" i="91"/>
  <c r="W13" i="91"/>
  <c r="R13" i="91"/>
  <c r="M13" i="91"/>
  <c r="I13" i="91"/>
  <c r="H13" i="91"/>
  <c r="G13" i="91"/>
  <c r="F13" i="91"/>
  <c r="E13" i="91"/>
  <c r="W12" i="91"/>
  <c r="R12" i="91"/>
  <c r="M12" i="91"/>
  <c r="I12" i="91"/>
  <c r="I11" i="91" s="1"/>
  <c r="H12" i="91"/>
  <c r="G12" i="91"/>
  <c r="F12" i="91"/>
  <c r="E12" i="91"/>
  <c r="X11" i="91"/>
  <c r="V11" i="91"/>
  <c r="W11" i="91" s="1"/>
  <c r="U11" i="91"/>
  <c r="T11" i="91"/>
  <c r="S11" i="91"/>
  <c r="Q11" i="91"/>
  <c r="R11" i="91" s="1"/>
  <c r="P11" i="91"/>
  <c r="O11" i="91"/>
  <c r="N11" i="91"/>
  <c r="L11" i="91"/>
  <c r="M11" i="91" s="1"/>
  <c r="K11" i="91"/>
  <c r="J11" i="91"/>
  <c r="G11" i="91"/>
  <c r="H11" i="91" s="1"/>
  <c r="F11" i="91"/>
  <c r="E11" i="91"/>
  <c r="W10" i="91"/>
  <c r="R10" i="91"/>
  <c r="M10" i="91"/>
  <c r="I10" i="91"/>
  <c r="G10" i="91"/>
  <c r="H10" i="91" s="1"/>
  <c r="F10" i="91"/>
  <c r="E10" i="91"/>
  <c r="W9" i="91"/>
  <c r="R9" i="91"/>
  <c r="M9" i="91"/>
  <c r="I9" i="91"/>
  <c r="G9" i="91"/>
  <c r="H9" i="91" s="1"/>
  <c r="F9" i="91"/>
  <c r="E9" i="91"/>
  <c r="W8" i="91"/>
  <c r="R8" i="91"/>
  <c r="M8" i="91"/>
  <c r="I8" i="91"/>
  <c r="G8" i="91"/>
  <c r="H8" i="91" s="1"/>
  <c r="F8" i="91"/>
  <c r="E8" i="91"/>
  <c r="W7" i="91"/>
  <c r="R7" i="91"/>
  <c r="M7" i="91"/>
  <c r="I7" i="91"/>
  <c r="G7" i="91"/>
  <c r="H7" i="91" s="1"/>
  <c r="F7" i="91"/>
  <c r="F6" i="91" s="1"/>
  <c r="F33" i="91" s="1"/>
  <c r="E7" i="91"/>
  <c r="E6" i="91" s="1"/>
  <c r="E33" i="91" s="1"/>
  <c r="X6" i="91"/>
  <c r="X33" i="91" s="1"/>
  <c r="W6" i="91"/>
  <c r="V6" i="91"/>
  <c r="V33" i="91" s="1"/>
  <c r="W33" i="91" s="1"/>
  <c r="U6" i="91"/>
  <c r="U33" i="91" s="1"/>
  <c r="T6" i="91"/>
  <c r="T33" i="91" s="1"/>
  <c r="S6" i="91"/>
  <c r="S33" i="91" s="1"/>
  <c r="Q6" i="91"/>
  <c r="R6" i="91" s="1"/>
  <c r="P6" i="91"/>
  <c r="P33" i="91" s="1"/>
  <c r="O6" i="91"/>
  <c r="O33" i="91" s="1"/>
  <c r="N6" i="91"/>
  <c r="N33" i="91" s="1"/>
  <c r="L6" i="91"/>
  <c r="L33" i="91" s="1"/>
  <c r="M33" i="91" s="1"/>
  <c r="K6" i="91"/>
  <c r="K33" i="91" s="1"/>
  <c r="J6" i="91"/>
  <c r="J33" i="91" s="1"/>
  <c r="I6" i="91"/>
  <c r="I33" i="91" s="1"/>
  <c r="Q33" i="91" l="1"/>
  <c r="R33" i="91" s="1"/>
  <c r="M6" i="91"/>
  <c r="G6" i="91"/>
  <c r="H6" i="91" l="1"/>
  <c r="G33" i="91"/>
  <c r="H33" i="91" s="1"/>
  <c r="E136" i="72" l="1"/>
  <c r="D136" i="72"/>
  <c r="B56" i="72"/>
  <c r="A56" i="72"/>
  <c r="B43" i="72"/>
  <c r="B35" i="72"/>
  <c r="E27" i="72"/>
  <c r="D27" i="72"/>
  <c r="C27" i="72"/>
  <c r="B27" i="72"/>
  <c r="E26" i="72"/>
  <c r="E25" i="72"/>
  <c r="E23" i="72"/>
  <c r="C18" i="72"/>
  <c r="C6" i="72"/>
  <c r="B51" i="71" l="1"/>
  <c r="A51" i="71"/>
  <c r="B43" i="71"/>
  <c r="B35" i="71"/>
  <c r="D27" i="71"/>
  <c r="C27" i="71"/>
  <c r="B27" i="71"/>
  <c r="E26" i="71"/>
  <c r="E25" i="71"/>
  <c r="E27" i="71" s="1"/>
  <c r="E24" i="71"/>
  <c r="E23" i="71"/>
  <c r="C18" i="71"/>
  <c r="C6" i="71"/>
  <c r="R36" i="90" l="1"/>
  <c r="M36" i="90"/>
  <c r="H36" i="90"/>
  <c r="R35" i="90"/>
  <c r="M35" i="90"/>
  <c r="H35" i="90"/>
  <c r="R34" i="90"/>
  <c r="M34" i="90"/>
  <c r="H34" i="90"/>
  <c r="S33" i="90"/>
  <c r="Q33" i="90"/>
  <c r="I32" i="90"/>
  <c r="G32" i="90"/>
  <c r="F32" i="90"/>
  <c r="E32" i="90"/>
  <c r="I31" i="90"/>
  <c r="G31" i="90"/>
  <c r="F31" i="90"/>
  <c r="E31" i="90"/>
  <c r="I30" i="90"/>
  <c r="G30" i="90"/>
  <c r="F30" i="90"/>
  <c r="E30" i="90"/>
  <c r="M29" i="90"/>
  <c r="I29" i="90"/>
  <c r="H29" i="90"/>
  <c r="G29" i="90"/>
  <c r="F29" i="90"/>
  <c r="E29" i="90"/>
  <c r="R28" i="90"/>
  <c r="M28" i="90"/>
  <c r="H28" i="90"/>
  <c r="I27" i="90"/>
  <c r="G27" i="90"/>
  <c r="F27" i="90"/>
  <c r="E27" i="90"/>
  <c r="W26" i="90"/>
  <c r="M26" i="90"/>
  <c r="I26" i="90"/>
  <c r="G26" i="90"/>
  <c r="H26" i="90" s="1"/>
  <c r="F26" i="90"/>
  <c r="E26" i="90"/>
  <c r="I25" i="90"/>
  <c r="G25" i="90"/>
  <c r="F25" i="90"/>
  <c r="E25" i="90"/>
  <c r="I24" i="90"/>
  <c r="G24" i="90"/>
  <c r="F24" i="90"/>
  <c r="E24" i="90"/>
  <c r="I23" i="90"/>
  <c r="G23" i="90"/>
  <c r="F23" i="90"/>
  <c r="E23" i="90"/>
  <c r="I22" i="90"/>
  <c r="G22" i="90"/>
  <c r="F22" i="90"/>
  <c r="E22" i="90"/>
  <c r="W21" i="90"/>
  <c r="R21" i="90"/>
  <c r="M21" i="90"/>
  <c r="I21" i="90"/>
  <c r="G21" i="90"/>
  <c r="H21" i="90" s="1"/>
  <c r="F21" i="90"/>
  <c r="E21" i="90"/>
  <c r="W20" i="90"/>
  <c r="R20" i="90"/>
  <c r="M20" i="90"/>
  <c r="I20" i="90"/>
  <c r="G20" i="90"/>
  <c r="H20" i="90" s="1"/>
  <c r="F20" i="90"/>
  <c r="E20" i="90"/>
  <c r="W19" i="90"/>
  <c r="R19" i="90"/>
  <c r="M19" i="90"/>
  <c r="I19" i="90"/>
  <c r="G19" i="90"/>
  <c r="H19" i="90" s="1"/>
  <c r="F19" i="90"/>
  <c r="E19" i="90"/>
  <c r="W18" i="90"/>
  <c r="R18" i="90"/>
  <c r="M18" i="90"/>
  <c r="I18" i="90"/>
  <c r="G18" i="90"/>
  <c r="H18" i="90" s="1"/>
  <c r="F18" i="90"/>
  <c r="E18" i="90"/>
  <c r="W17" i="90"/>
  <c r="M17" i="90"/>
  <c r="I17" i="90"/>
  <c r="H17" i="90"/>
  <c r="G17" i="90"/>
  <c r="F17" i="90"/>
  <c r="E17" i="90"/>
  <c r="E11" i="90" s="1"/>
  <c r="R16" i="90"/>
  <c r="M16" i="90"/>
  <c r="I16" i="90"/>
  <c r="G16" i="90"/>
  <c r="H16" i="90" s="1"/>
  <c r="F16" i="90"/>
  <c r="E16" i="90"/>
  <c r="W15" i="90"/>
  <c r="M15" i="90"/>
  <c r="I15" i="90"/>
  <c r="G15" i="90"/>
  <c r="H15" i="90" s="1"/>
  <c r="F15" i="90"/>
  <c r="E15" i="90"/>
  <c r="M14" i="90"/>
  <c r="I14" i="90"/>
  <c r="G14" i="90"/>
  <c r="H14" i="90" s="1"/>
  <c r="F14" i="90"/>
  <c r="E14" i="90"/>
  <c r="W13" i="90"/>
  <c r="M13" i="90"/>
  <c r="I13" i="90"/>
  <c r="H13" i="90"/>
  <c r="G13" i="90"/>
  <c r="F13" i="90"/>
  <c r="E13" i="90"/>
  <c r="W12" i="90"/>
  <c r="R12" i="90"/>
  <c r="M12" i="90"/>
  <c r="I12" i="90"/>
  <c r="I11" i="90" s="1"/>
  <c r="H12" i="90"/>
  <c r="G12" i="90"/>
  <c r="F12" i="90"/>
  <c r="F11" i="90" s="1"/>
  <c r="E12" i="90"/>
  <c r="X11" i="90"/>
  <c r="W11" i="90"/>
  <c r="V11" i="90"/>
  <c r="U11" i="90"/>
  <c r="T11" i="90"/>
  <c r="T33" i="90" s="1"/>
  <c r="S11" i="90"/>
  <c r="R11" i="90"/>
  <c r="Q11" i="90"/>
  <c r="P11" i="90"/>
  <c r="O11" i="90"/>
  <c r="N11" i="90"/>
  <c r="L11" i="90"/>
  <c r="M11" i="90" s="1"/>
  <c r="K11" i="90"/>
  <c r="J11" i="90"/>
  <c r="G11" i="90"/>
  <c r="H11" i="90" s="1"/>
  <c r="M10" i="90"/>
  <c r="I10" i="90"/>
  <c r="G10" i="90"/>
  <c r="F10" i="90"/>
  <c r="H10" i="90" s="1"/>
  <c r="E10" i="90"/>
  <c r="R9" i="90"/>
  <c r="M9" i="90"/>
  <c r="I9" i="90"/>
  <c r="G9" i="90"/>
  <c r="H9" i="90" s="1"/>
  <c r="F9" i="90"/>
  <c r="E9" i="90"/>
  <c r="M8" i="90"/>
  <c r="I8" i="90"/>
  <c r="G8" i="90"/>
  <c r="H8" i="90" s="1"/>
  <c r="F8" i="90"/>
  <c r="E8" i="90"/>
  <c r="W7" i="90"/>
  <c r="M7" i="90"/>
  <c r="I7" i="90"/>
  <c r="I6" i="90" s="1"/>
  <c r="I33" i="90" s="1"/>
  <c r="G7" i="90"/>
  <c r="G6" i="90" s="1"/>
  <c r="F7" i="90"/>
  <c r="F6" i="90" s="1"/>
  <c r="F33" i="90" s="1"/>
  <c r="E7" i="90"/>
  <c r="X6" i="90"/>
  <c r="X33" i="90" s="1"/>
  <c r="V6" i="90"/>
  <c r="V33" i="90" s="1"/>
  <c r="U6" i="90"/>
  <c r="U33" i="90" s="1"/>
  <c r="T6" i="90"/>
  <c r="S6" i="90"/>
  <c r="R6" i="90"/>
  <c r="Q6" i="90"/>
  <c r="P6" i="90"/>
  <c r="P33" i="90" s="1"/>
  <c r="O6" i="90"/>
  <c r="O33" i="90" s="1"/>
  <c r="N6" i="90"/>
  <c r="N33" i="90" s="1"/>
  <c r="M6" i="90"/>
  <c r="L6" i="90"/>
  <c r="L33" i="90" s="1"/>
  <c r="K6" i="90"/>
  <c r="K33" i="90" s="1"/>
  <c r="J6" i="90"/>
  <c r="J33" i="90" s="1"/>
  <c r="E6" i="90"/>
  <c r="E33" i="90" s="1"/>
  <c r="G33" i="90" l="1"/>
  <c r="H6" i="90"/>
  <c r="W33" i="90"/>
  <c r="R33" i="90"/>
  <c r="H7" i="90"/>
  <c r="W6" i="90"/>
  <c r="W36" i="69" l="1"/>
  <c r="R36" i="69"/>
  <c r="M36" i="69"/>
  <c r="I36" i="69"/>
  <c r="G36" i="69"/>
  <c r="F36" i="69"/>
  <c r="H36" i="69" s="1"/>
  <c r="E36" i="69"/>
  <c r="W35" i="69"/>
  <c r="R35" i="69"/>
  <c r="M35" i="69"/>
  <c r="I35" i="69"/>
  <c r="G35" i="69"/>
  <c r="F35" i="69"/>
  <c r="H35" i="69" s="1"/>
  <c r="E35" i="69"/>
  <c r="W34" i="69"/>
  <c r="R34" i="69"/>
  <c r="M34" i="69"/>
  <c r="I34" i="69"/>
  <c r="G34" i="69"/>
  <c r="F34" i="69"/>
  <c r="H34" i="69" s="1"/>
  <c r="E34" i="69"/>
  <c r="J33" i="69"/>
  <c r="I32" i="69"/>
  <c r="G32" i="69"/>
  <c r="F32" i="69"/>
  <c r="E32" i="69"/>
  <c r="I31" i="69"/>
  <c r="G31" i="69"/>
  <c r="F31" i="69"/>
  <c r="E31" i="69"/>
  <c r="I30" i="69"/>
  <c r="G30" i="69"/>
  <c r="F30" i="69"/>
  <c r="E30" i="69"/>
  <c r="M29" i="69"/>
  <c r="I29" i="69"/>
  <c r="G29" i="69"/>
  <c r="H29" i="69" s="1"/>
  <c r="F29" i="69"/>
  <c r="E29" i="69"/>
  <c r="R28" i="69"/>
  <c r="M28" i="69"/>
  <c r="I28" i="69"/>
  <c r="G28" i="69"/>
  <c r="F28" i="69"/>
  <c r="H28" i="69" s="1"/>
  <c r="E28" i="69"/>
  <c r="I27" i="69"/>
  <c r="G27" i="69"/>
  <c r="F27" i="69"/>
  <c r="E27" i="69"/>
  <c r="W26" i="69"/>
  <c r="M26" i="69"/>
  <c r="I26" i="69"/>
  <c r="G26" i="69"/>
  <c r="F26" i="69"/>
  <c r="H26" i="69" s="1"/>
  <c r="E26" i="69"/>
  <c r="M25" i="69"/>
  <c r="I25" i="69"/>
  <c r="G25" i="69"/>
  <c r="H25" i="69" s="1"/>
  <c r="F25" i="69"/>
  <c r="E25" i="69"/>
  <c r="I24" i="69"/>
  <c r="G24" i="69"/>
  <c r="F24" i="69"/>
  <c r="E24" i="69"/>
  <c r="I23" i="69"/>
  <c r="G23" i="69"/>
  <c r="F23" i="69"/>
  <c r="E23" i="69"/>
  <c r="I22" i="69"/>
  <c r="G22" i="69"/>
  <c r="F22" i="69"/>
  <c r="E22" i="69"/>
  <c r="W21" i="69"/>
  <c r="R21" i="69"/>
  <c r="O21" i="69"/>
  <c r="E21" i="69" s="1"/>
  <c r="M21" i="69"/>
  <c r="I21" i="69"/>
  <c r="G21" i="69"/>
  <c r="H21" i="69" s="1"/>
  <c r="F21" i="69"/>
  <c r="W20" i="69"/>
  <c r="R20" i="69"/>
  <c r="O20" i="69"/>
  <c r="M20" i="69"/>
  <c r="I20" i="69"/>
  <c r="G20" i="69"/>
  <c r="H20" i="69" s="1"/>
  <c r="F20" i="69"/>
  <c r="E20" i="69"/>
  <c r="W19" i="69"/>
  <c r="R19" i="69"/>
  <c r="O19" i="69"/>
  <c r="E19" i="69" s="1"/>
  <c r="M19" i="69"/>
  <c r="I19" i="69"/>
  <c r="H19" i="69"/>
  <c r="G19" i="69"/>
  <c r="F19" i="69"/>
  <c r="W18" i="69"/>
  <c r="R18" i="69"/>
  <c r="O18" i="69"/>
  <c r="E18" i="69" s="1"/>
  <c r="M18" i="69"/>
  <c r="I18" i="69"/>
  <c r="G18" i="69"/>
  <c r="H18" i="69" s="1"/>
  <c r="F18" i="69"/>
  <c r="M17" i="69"/>
  <c r="I17" i="69"/>
  <c r="G17" i="69"/>
  <c r="H17" i="69" s="1"/>
  <c r="F17" i="69"/>
  <c r="E17" i="69"/>
  <c r="R16" i="69"/>
  <c r="O16" i="69"/>
  <c r="M16" i="69"/>
  <c r="I16" i="69"/>
  <c r="G16" i="69"/>
  <c r="H16" i="69" s="1"/>
  <c r="F16" i="69"/>
  <c r="E16" i="69"/>
  <c r="W15" i="69"/>
  <c r="M15" i="69"/>
  <c r="I15" i="69"/>
  <c r="G15" i="69"/>
  <c r="H15" i="69" s="1"/>
  <c r="F15" i="69"/>
  <c r="E15" i="69"/>
  <c r="I14" i="69"/>
  <c r="G14" i="69"/>
  <c r="F14" i="69"/>
  <c r="E14" i="69"/>
  <c r="W13" i="69"/>
  <c r="M13" i="69"/>
  <c r="I13" i="69"/>
  <c r="G13" i="69"/>
  <c r="H13" i="69" s="1"/>
  <c r="F13" i="69"/>
  <c r="E13" i="69"/>
  <c r="W12" i="69"/>
  <c r="R12" i="69"/>
  <c r="O12" i="69"/>
  <c r="M12" i="69"/>
  <c r="I12" i="69"/>
  <c r="G12" i="69"/>
  <c r="G11" i="69" s="1"/>
  <c r="H11" i="69" s="1"/>
  <c r="F12" i="69"/>
  <c r="E12" i="69"/>
  <c r="X11" i="69"/>
  <c r="V11" i="69"/>
  <c r="W11" i="69" s="1"/>
  <c r="U11" i="69"/>
  <c r="T11" i="69"/>
  <c r="T33" i="69" s="1"/>
  <c r="S11" i="69"/>
  <c r="Q11" i="69"/>
  <c r="R11" i="69" s="1"/>
  <c r="P11" i="69"/>
  <c r="O11" i="69"/>
  <c r="O33" i="69" s="1"/>
  <c r="N11" i="69"/>
  <c r="L11" i="69"/>
  <c r="M11" i="69" s="1"/>
  <c r="K11" i="69"/>
  <c r="J11" i="69"/>
  <c r="I11" i="69"/>
  <c r="F11" i="69"/>
  <c r="I10" i="69"/>
  <c r="G10" i="69"/>
  <c r="F10" i="69"/>
  <c r="E10" i="69"/>
  <c r="R9" i="69"/>
  <c r="M9" i="69"/>
  <c r="I9" i="69"/>
  <c r="G9" i="69"/>
  <c r="H9" i="69" s="1"/>
  <c r="F9" i="69"/>
  <c r="F6" i="69" s="1"/>
  <c r="F33" i="69" s="1"/>
  <c r="E9" i="69"/>
  <c r="I8" i="69"/>
  <c r="G8" i="69"/>
  <c r="F8" i="69"/>
  <c r="E8" i="69"/>
  <c r="W7" i="69"/>
  <c r="M7" i="69"/>
  <c r="I7" i="69"/>
  <c r="I6" i="69" s="1"/>
  <c r="I33" i="69" s="1"/>
  <c r="G7" i="69"/>
  <c r="G6" i="69" s="1"/>
  <c r="F7" i="69"/>
  <c r="E7" i="69"/>
  <c r="X6" i="69"/>
  <c r="X33" i="69" s="1"/>
  <c r="V6" i="69"/>
  <c r="V33" i="69" s="1"/>
  <c r="U6" i="69"/>
  <c r="U33" i="69" s="1"/>
  <c r="T6" i="69"/>
  <c r="S6" i="69"/>
  <c r="S33" i="69" s="1"/>
  <c r="Q6" i="69"/>
  <c r="Q33" i="69" s="1"/>
  <c r="P6" i="69"/>
  <c r="P33" i="69" s="1"/>
  <c r="O6" i="69"/>
  <c r="N6" i="69"/>
  <c r="N33" i="69" s="1"/>
  <c r="L6" i="69"/>
  <c r="K6" i="69"/>
  <c r="M6" i="69" s="1"/>
  <c r="J6" i="69"/>
  <c r="E6" i="69"/>
  <c r="H6" i="69" l="1"/>
  <c r="G33" i="69"/>
  <c r="H33" i="69" s="1"/>
  <c r="E11" i="69"/>
  <c r="W33" i="69"/>
  <c r="R33" i="69"/>
  <c r="E33" i="69"/>
  <c r="R6" i="69"/>
  <c r="H7" i="69"/>
  <c r="K33" i="69"/>
  <c r="L33" i="69"/>
  <c r="M33" i="69" s="1"/>
  <c r="H12" i="69"/>
  <c r="W6" i="69"/>
  <c r="R36" i="89" l="1"/>
  <c r="H36" i="89"/>
  <c r="R35" i="89"/>
  <c r="H35" i="89"/>
  <c r="P34" i="89"/>
  <c r="O34" i="89"/>
  <c r="I32" i="89"/>
  <c r="G32" i="89"/>
  <c r="F32" i="89"/>
  <c r="E32" i="89"/>
  <c r="I31" i="89"/>
  <c r="G31" i="89"/>
  <c r="F31" i="89"/>
  <c r="E31" i="89"/>
  <c r="I30" i="89"/>
  <c r="G30" i="89"/>
  <c r="F30" i="89"/>
  <c r="E30" i="89"/>
  <c r="M29" i="89"/>
  <c r="I29" i="89"/>
  <c r="H29" i="89"/>
  <c r="G29" i="89"/>
  <c r="F29" i="89"/>
  <c r="E29" i="89"/>
  <c r="S28" i="89"/>
  <c r="S11" i="89" s="1"/>
  <c r="R28" i="89"/>
  <c r="Q28" i="89"/>
  <c r="M28" i="89"/>
  <c r="I28" i="89"/>
  <c r="G28" i="89"/>
  <c r="H28" i="89" s="1"/>
  <c r="F28" i="89"/>
  <c r="E28" i="89"/>
  <c r="I27" i="89"/>
  <c r="G27" i="89"/>
  <c r="F27" i="89"/>
  <c r="E27" i="89"/>
  <c r="X26" i="89"/>
  <c r="X11" i="89" s="1"/>
  <c r="X33" i="89" s="1"/>
  <c r="V26" i="89"/>
  <c r="U26" i="89"/>
  <c r="U11" i="89" s="1"/>
  <c r="U33" i="89" s="1"/>
  <c r="M26" i="89"/>
  <c r="I26" i="89"/>
  <c r="G26" i="89"/>
  <c r="H26" i="89" s="1"/>
  <c r="F26" i="89"/>
  <c r="E26" i="89"/>
  <c r="I25" i="89"/>
  <c r="G25" i="89"/>
  <c r="F25" i="89"/>
  <c r="E25" i="89"/>
  <c r="I24" i="89"/>
  <c r="G24" i="89"/>
  <c r="F24" i="89"/>
  <c r="E24" i="89"/>
  <c r="I23" i="89"/>
  <c r="G23" i="89"/>
  <c r="F23" i="89"/>
  <c r="E23" i="89"/>
  <c r="I22" i="89"/>
  <c r="G22" i="89"/>
  <c r="F22" i="89"/>
  <c r="E22" i="89"/>
  <c r="W21" i="89"/>
  <c r="Q21" i="89"/>
  <c r="G21" i="89" s="1"/>
  <c r="H21" i="89" s="1"/>
  <c r="M21" i="89"/>
  <c r="I21" i="89"/>
  <c r="F21" i="89"/>
  <c r="E21" i="89"/>
  <c r="W20" i="89"/>
  <c r="R20" i="89"/>
  <c r="Q20" i="89"/>
  <c r="O20" i="89"/>
  <c r="O11" i="89" s="1"/>
  <c r="M20" i="89"/>
  <c r="I20" i="89"/>
  <c r="G20" i="89"/>
  <c r="H20" i="89" s="1"/>
  <c r="F20" i="89"/>
  <c r="E20" i="89"/>
  <c r="W19" i="89"/>
  <c r="Q19" i="89"/>
  <c r="R19" i="89" s="1"/>
  <c r="O19" i="89"/>
  <c r="M19" i="89"/>
  <c r="I19" i="89"/>
  <c r="G19" i="89"/>
  <c r="H19" i="89" s="1"/>
  <c r="F19" i="89"/>
  <c r="F34" i="89" s="1"/>
  <c r="E19" i="89"/>
  <c r="E34" i="89" s="1"/>
  <c r="R18" i="89"/>
  <c r="Q18" i="89"/>
  <c r="M18" i="89"/>
  <c r="I18" i="89"/>
  <c r="G18" i="89"/>
  <c r="H18" i="89" s="1"/>
  <c r="F18" i="89"/>
  <c r="E18" i="89"/>
  <c r="M17" i="89"/>
  <c r="I17" i="89"/>
  <c r="G17" i="89"/>
  <c r="H17" i="89" s="1"/>
  <c r="F17" i="89"/>
  <c r="E17" i="89"/>
  <c r="Q16" i="89"/>
  <c r="R16" i="89" s="1"/>
  <c r="M16" i="89"/>
  <c r="I16" i="89"/>
  <c r="F16" i="89"/>
  <c r="F11" i="89" s="1"/>
  <c r="E16" i="89"/>
  <c r="M15" i="89"/>
  <c r="I15" i="89"/>
  <c r="H15" i="89"/>
  <c r="G15" i="89"/>
  <c r="F15" i="89"/>
  <c r="E15" i="89"/>
  <c r="M14" i="89"/>
  <c r="I14" i="89"/>
  <c r="G14" i="89"/>
  <c r="F14" i="89"/>
  <c r="E14" i="89"/>
  <c r="W13" i="89"/>
  <c r="M13" i="89"/>
  <c r="I13" i="89"/>
  <c r="G13" i="89"/>
  <c r="H13" i="89" s="1"/>
  <c r="F13" i="89"/>
  <c r="E13" i="89"/>
  <c r="W12" i="89"/>
  <c r="Q12" i="89"/>
  <c r="P12" i="89"/>
  <c r="R12" i="89" s="1"/>
  <c r="N12" i="89"/>
  <c r="N11" i="89" s="1"/>
  <c r="M12" i="89"/>
  <c r="L12" i="89"/>
  <c r="G12" i="89" s="1"/>
  <c r="J12" i="89"/>
  <c r="J11" i="89" s="1"/>
  <c r="F12" i="89"/>
  <c r="T11" i="89"/>
  <c r="Q11" i="89"/>
  <c r="R11" i="89" s="1"/>
  <c r="P11" i="89"/>
  <c r="P33" i="89" s="1"/>
  <c r="M11" i="89"/>
  <c r="L11" i="89"/>
  <c r="K11" i="89"/>
  <c r="I10" i="89"/>
  <c r="G10" i="89"/>
  <c r="F10" i="89"/>
  <c r="E10" i="89"/>
  <c r="W9" i="89"/>
  <c r="T9" i="89"/>
  <c r="T6" i="89" s="1"/>
  <c r="T33" i="89" s="1"/>
  <c r="Q9" i="89"/>
  <c r="R9" i="89" s="1"/>
  <c r="P9" i="89"/>
  <c r="F9" i="89" s="1"/>
  <c r="M9" i="89"/>
  <c r="I9" i="89"/>
  <c r="G9" i="89"/>
  <c r="H9" i="89" s="1"/>
  <c r="E9" i="89"/>
  <c r="K8" i="89"/>
  <c r="F8" i="89" s="1"/>
  <c r="J8" i="89"/>
  <c r="E8" i="89" s="1"/>
  <c r="I8" i="89"/>
  <c r="I6" i="89" s="1"/>
  <c r="G8" i="89"/>
  <c r="W7" i="89"/>
  <c r="V7" i="89"/>
  <c r="L7" i="89"/>
  <c r="K7" i="89"/>
  <c r="F7" i="89" s="1"/>
  <c r="J7" i="89"/>
  <c r="I7" i="89"/>
  <c r="G7" i="89"/>
  <c r="G6" i="89" s="1"/>
  <c r="X6" i="89"/>
  <c r="V6" i="89"/>
  <c r="W6" i="89" s="1"/>
  <c r="U6" i="89"/>
  <c r="S6" i="89"/>
  <c r="S33" i="89" s="1"/>
  <c r="P6" i="89"/>
  <c r="O6" i="89"/>
  <c r="N6" i="89"/>
  <c r="L6" i="89"/>
  <c r="J6" i="89" l="1"/>
  <c r="I12" i="89"/>
  <c r="I11" i="89" s="1"/>
  <c r="I33" i="89" s="1"/>
  <c r="N33" i="89"/>
  <c r="W26" i="89"/>
  <c r="F6" i="89"/>
  <c r="F33" i="89" s="1"/>
  <c r="E12" i="89"/>
  <c r="E11" i="89" s="1"/>
  <c r="J33" i="89"/>
  <c r="M8" i="89"/>
  <c r="H8" i="89"/>
  <c r="V11" i="89"/>
  <c r="W11" i="89" s="1"/>
  <c r="M7" i="89"/>
  <c r="K6" i="89"/>
  <c r="K33" i="89" s="1"/>
  <c r="O33" i="89"/>
  <c r="G11" i="89"/>
  <c r="H11" i="89" s="1"/>
  <c r="H12" i="89"/>
  <c r="G16" i="89"/>
  <c r="H16" i="89" s="1"/>
  <c r="L33" i="89"/>
  <c r="Q6" i="89"/>
  <c r="E7" i="89"/>
  <c r="E6" i="89" s="1"/>
  <c r="R21" i="89"/>
  <c r="Q34" i="89"/>
  <c r="R34" i="89" s="1"/>
  <c r="H7" i="89"/>
  <c r="G34" i="89"/>
  <c r="H34" i="89" s="1"/>
  <c r="H6" i="89" l="1"/>
  <c r="M6" i="89"/>
  <c r="V33" i="89"/>
  <c r="W33" i="89" s="1"/>
  <c r="E33" i="89"/>
  <c r="Q33" i="89"/>
  <c r="R33" i="89" s="1"/>
  <c r="R6" i="89"/>
  <c r="G33" i="89"/>
  <c r="R36" i="85" l="1"/>
  <c r="H36" i="85"/>
  <c r="R35" i="85"/>
  <c r="H35" i="85"/>
  <c r="R34" i="85"/>
  <c r="H34" i="85"/>
  <c r="Q33" i="85"/>
  <c r="P33" i="85"/>
  <c r="I32" i="85"/>
  <c r="G32" i="85"/>
  <c r="F32" i="85"/>
  <c r="E32" i="85"/>
  <c r="I31" i="85"/>
  <c r="G31" i="85"/>
  <c r="F31" i="85"/>
  <c r="E31" i="85"/>
  <c r="I30" i="85"/>
  <c r="G30" i="85"/>
  <c r="F30" i="85"/>
  <c r="E30" i="85"/>
  <c r="M29" i="85"/>
  <c r="G29" i="85"/>
  <c r="H29" i="85" s="1"/>
  <c r="F29" i="85"/>
  <c r="E29" i="85"/>
  <c r="R28" i="85"/>
  <c r="M28" i="85"/>
  <c r="H28" i="85"/>
  <c r="I27" i="85"/>
  <c r="G27" i="85"/>
  <c r="F27" i="85"/>
  <c r="E27" i="85"/>
  <c r="M26" i="85"/>
  <c r="G26" i="85"/>
  <c r="F26" i="85"/>
  <c r="H26" i="85" s="1"/>
  <c r="E26" i="85"/>
  <c r="I25" i="85"/>
  <c r="G25" i="85"/>
  <c r="F25" i="85"/>
  <c r="E25" i="85"/>
  <c r="I24" i="85"/>
  <c r="G24" i="85"/>
  <c r="F24" i="85"/>
  <c r="E24" i="85"/>
  <c r="M23" i="85"/>
  <c r="I23" i="85"/>
  <c r="I11" i="85" s="1"/>
  <c r="H23" i="85"/>
  <c r="G23" i="85"/>
  <c r="F23" i="85"/>
  <c r="E23" i="85"/>
  <c r="I22" i="85"/>
  <c r="G22" i="85"/>
  <c r="F22" i="85"/>
  <c r="E22" i="85"/>
  <c r="R21" i="85"/>
  <c r="H21" i="85"/>
  <c r="G21" i="85"/>
  <c r="F21" i="85"/>
  <c r="E21" i="85"/>
  <c r="R20" i="85"/>
  <c r="G20" i="85"/>
  <c r="H20" i="85" s="1"/>
  <c r="F20" i="85"/>
  <c r="E20" i="85"/>
  <c r="R19" i="85"/>
  <c r="G19" i="85"/>
  <c r="H19" i="85" s="1"/>
  <c r="F19" i="85"/>
  <c r="E19" i="85"/>
  <c r="R18" i="85"/>
  <c r="M18" i="85"/>
  <c r="H18" i="85"/>
  <c r="G18" i="85"/>
  <c r="F18" i="85"/>
  <c r="E18" i="85"/>
  <c r="M17" i="85"/>
  <c r="G17" i="85"/>
  <c r="H17" i="85" s="1"/>
  <c r="F17" i="85"/>
  <c r="F11" i="85" s="1"/>
  <c r="E17" i="85"/>
  <c r="M16" i="85"/>
  <c r="G16" i="85"/>
  <c r="H16" i="85" s="1"/>
  <c r="F16" i="85"/>
  <c r="E16" i="85"/>
  <c r="M15" i="85"/>
  <c r="H15" i="85"/>
  <c r="G15" i="85"/>
  <c r="F15" i="85"/>
  <c r="E15" i="85"/>
  <c r="I14" i="85"/>
  <c r="G14" i="85"/>
  <c r="F14" i="85"/>
  <c r="E14" i="85"/>
  <c r="E11" i="85" s="1"/>
  <c r="M13" i="85"/>
  <c r="H13" i="85"/>
  <c r="G13" i="85"/>
  <c r="F13" i="85"/>
  <c r="E13" i="85"/>
  <c r="R12" i="85"/>
  <c r="M12" i="85"/>
  <c r="G12" i="85"/>
  <c r="H12" i="85" s="1"/>
  <c r="F12" i="85"/>
  <c r="E12" i="85"/>
  <c r="X11" i="85"/>
  <c r="V11" i="85"/>
  <c r="U11" i="85"/>
  <c r="T11" i="85"/>
  <c r="S11" i="85"/>
  <c r="R11" i="85"/>
  <c r="Q11" i="85"/>
  <c r="P11" i="85"/>
  <c r="O11" i="85"/>
  <c r="N11" i="85"/>
  <c r="L11" i="85"/>
  <c r="M11" i="85" s="1"/>
  <c r="K11" i="85"/>
  <c r="K33" i="85" s="1"/>
  <c r="J11" i="85"/>
  <c r="I10" i="85"/>
  <c r="G10" i="85"/>
  <c r="F10" i="85"/>
  <c r="E10" i="85"/>
  <c r="R9" i="85"/>
  <c r="M9" i="85"/>
  <c r="H9" i="85"/>
  <c r="G9" i="85"/>
  <c r="F9" i="85"/>
  <c r="I8" i="85"/>
  <c r="I6" i="85" s="1"/>
  <c r="I33" i="85" s="1"/>
  <c r="G8" i="85"/>
  <c r="G6" i="85" s="1"/>
  <c r="F8" i="85"/>
  <c r="E8" i="85"/>
  <c r="M7" i="85"/>
  <c r="H7" i="85"/>
  <c r="G7" i="85"/>
  <c r="F7" i="85"/>
  <c r="X6" i="85"/>
  <c r="X33" i="85" s="1"/>
  <c r="V6" i="85"/>
  <c r="V33" i="85" s="1"/>
  <c r="U6" i="85"/>
  <c r="U33" i="85" s="1"/>
  <c r="T6" i="85"/>
  <c r="S6" i="85"/>
  <c r="S33" i="85" s="1"/>
  <c r="R6" i="85"/>
  <c r="Q6" i="85"/>
  <c r="P6" i="85"/>
  <c r="O6" i="85"/>
  <c r="O33" i="85" s="1"/>
  <c r="N6" i="85"/>
  <c r="N33" i="85" s="1"/>
  <c r="M6" i="85"/>
  <c r="L6" i="85"/>
  <c r="L33" i="85" s="1"/>
  <c r="K6" i="85"/>
  <c r="J6" i="85"/>
  <c r="J33" i="85" s="1"/>
  <c r="F6" i="85"/>
  <c r="F33" i="85" s="1"/>
  <c r="E6" i="85"/>
  <c r="H6" i="85" l="1"/>
  <c r="G33" i="85"/>
  <c r="G11" i="85"/>
  <c r="H11" i="85" s="1"/>
  <c r="R36" i="84" l="1"/>
  <c r="G36" i="84"/>
  <c r="H36" i="84" s="1"/>
  <c r="F36" i="84"/>
  <c r="E36" i="84"/>
  <c r="R35" i="84"/>
  <c r="G35" i="84"/>
  <c r="F35" i="84"/>
  <c r="H35" i="84" s="1"/>
  <c r="E35" i="84"/>
  <c r="R34" i="84"/>
  <c r="H34" i="84"/>
  <c r="G34" i="84"/>
  <c r="F34" i="84"/>
  <c r="E34" i="84"/>
  <c r="U33" i="84"/>
  <c r="T33" i="84"/>
  <c r="L33" i="84"/>
  <c r="I32" i="84"/>
  <c r="G32" i="84"/>
  <c r="F32" i="84"/>
  <c r="E32" i="84"/>
  <c r="I31" i="84"/>
  <c r="G31" i="84"/>
  <c r="F31" i="84"/>
  <c r="E31" i="84"/>
  <c r="I30" i="84"/>
  <c r="G30" i="84"/>
  <c r="F30" i="84"/>
  <c r="E30" i="84"/>
  <c r="M29" i="84"/>
  <c r="I29" i="84"/>
  <c r="G29" i="84"/>
  <c r="F29" i="84"/>
  <c r="H29" i="84" s="1"/>
  <c r="E29" i="84"/>
  <c r="W28" i="84"/>
  <c r="R28" i="84"/>
  <c r="M28" i="84"/>
  <c r="I28" i="84"/>
  <c r="G28" i="84"/>
  <c r="F28" i="84"/>
  <c r="H28" i="84" s="1"/>
  <c r="E28" i="84"/>
  <c r="I27" i="84"/>
  <c r="G27" i="84"/>
  <c r="F27" i="84"/>
  <c r="E27" i="84"/>
  <c r="M26" i="84"/>
  <c r="I26" i="84"/>
  <c r="G26" i="84"/>
  <c r="H26" i="84" s="1"/>
  <c r="F26" i="84"/>
  <c r="E26" i="84"/>
  <c r="I25" i="84"/>
  <c r="G25" i="84"/>
  <c r="F25" i="84"/>
  <c r="E25" i="84"/>
  <c r="I24" i="84"/>
  <c r="G24" i="84"/>
  <c r="F24" i="84"/>
  <c r="E24" i="84"/>
  <c r="I23" i="84"/>
  <c r="G23" i="84"/>
  <c r="F23" i="84"/>
  <c r="E23" i="84"/>
  <c r="I22" i="84"/>
  <c r="G22" i="84"/>
  <c r="F22" i="84"/>
  <c r="E22" i="84"/>
  <c r="R21" i="84"/>
  <c r="M21" i="84"/>
  <c r="I21" i="84"/>
  <c r="G21" i="84"/>
  <c r="H21" i="84" s="1"/>
  <c r="F21" i="84"/>
  <c r="E21" i="84"/>
  <c r="R20" i="84"/>
  <c r="I20" i="84"/>
  <c r="G20" i="84"/>
  <c r="H20" i="84" s="1"/>
  <c r="F20" i="84"/>
  <c r="E20" i="84"/>
  <c r="R19" i="84"/>
  <c r="I19" i="84"/>
  <c r="H19" i="84"/>
  <c r="G19" i="84"/>
  <c r="F19" i="84"/>
  <c r="E19" i="84"/>
  <c r="R18" i="84"/>
  <c r="M18" i="84"/>
  <c r="I18" i="84"/>
  <c r="G18" i="84"/>
  <c r="H18" i="84" s="1"/>
  <c r="F18" i="84"/>
  <c r="E18" i="84"/>
  <c r="M17" i="84"/>
  <c r="I17" i="84"/>
  <c r="G17" i="84"/>
  <c r="H17" i="84" s="1"/>
  <c r="F17" i="84"/>
  <c r="E17" i="84"/>
  <c r="M16" i="84"/>
  <c r="I16" i="84"/>
  <c r="G16" i="84"/>
  <c r="F16" i="84"/>
  <c r="H16" i="84" s="1"/>
  <c r="E16" i="84"/>
  <c r="M15" i="84"/>
  <c r="I15" i="84"/>
  <c r="I11" i="84" s="1"/>
  <c r="G15" i="84"/>
  <c r="H15" i="84" s="1"/>
  <c r="F15" i="84"/>
  <c r="E15" i="84"/>
  <c r="I14" i="84"/>
  <c r="G14" i="84"/>
  <c r="F14" i="84"/>
  <c r="E14" i="84"/>
  <c r="M13" i="84"/>
  <c r="I13" i="84"/>
  <c r="G13" i="84"/>
  <c r="F13" i="84"/>
  <c r="H13" i="84" s="1"/>
  <c r="E13" i="84"/>
  <c r="R12" i="84"/>
  <c r="M12" i="84"/>
  <c r="I12" i="84"/>
  <c r="G12" i="84"/>
  <c r="H12" i="84" s="1"/>
  <c r="F12" i="84"/>
  <c r="E12" i="84"/>
  <c r="E11" i="84" s="1"/>
  <c r="X11" i="84"/>
  <c r="V11" i="84"/>
  <c r="W11" i="84" s="1"/>
  <c r="U11" i="84"/>
  <c r="T11" i="84"/>
  <c r="S11" i="84"/>
  <c r="Q11" i="84"/>
  <c r="R11" i="84" s="1"/>
  <c r="P11" i="84"/>
  <c r="P33" i="84" s="1"/>
  <c r="O11" i="84"/>
  <c r="N11" i="84"/>
  <c r="L11" i="84"/>
  <c r="M11" i="84" s="1"/>
  <c r="K11" i="84"/>
  <c r="J11" i="84"/>
  <c r="F11" i="84"/>
  <c r="G10" i="84"/>
  <c r="F10" i="84"/>
  <c r="E10" i="84"/>
  <c r="R9" i="84"/>
  <c r="M9" i="84"/>
  <c r="I9" i="84"/>
  <c r="H9" i="84"/>
  <c r="G9" i="84"/>
  <c r="F9" i="84"/>
  <c r="E9" i="84"/>
  <c r="M8" i="84"/>
  <c r="I8" i="84"/>
  <c r="G8" i="84"/>
  <c r="H8" i="84" s="1"/>
  <c r="F8" i="84"/>
  <c r="E8" i="84"/>
  <c r="W7" i="84"/>
  <c r="M7" i="84"/>
  <c r="I7" i="84"/>
  <c r="G7" i="84"/>
  <c r="G6" i="84" s="1"/>
  <c r="F7" i="84"/>
  <c r="F6" i="84" s="1"/>
  <c r="F33" i="84" s="1"/>
  <c r="E7" i="84"/>
  <c r="E6" i="84" s="1"/>
  <c r="E33" i="84" s="1"/>
  <c r="X6" i="84"/>
  <c r="X33" i="84" s="1"/>
  <c r="V6" i="84"/>
  <c r="W6" i="84" s="1"/>
  <c r="U6" i="84"/>
  <c r="T6" i="84"/>
  <c r="S6" i="84"/>
  <c r="S33" i="84" s="1"/>
  <c r="Q6" i="84"/>
  <c r="R6" i="84" s="1"/>
  <c r="P6" i="84"/>
  <c r="O6" i="84"/>
  <c r="O33" i="84" s="1"/>
  <c r="N6" i="84"/>
  <c r="N33" i="84" s="1"/>
  <c r="L6" i="84"/>
  <c r="M6" i="84" s="1"/>
  <c r="K6" i="84"/>
  <c r="K33" i="84" s="1"/>
  <c r="J6" i="84"/>
  <c r="J33" i="84" s="1"/>
  <c r="I6" i="84"/>
  <c r="I33" i="84" s="1"/>
  <c r="H6" i="84" l="1"/>
  <c r="V33" i="84"/>
  <c r="W33" i="84" s="1"/>
  <c r="H7" i="84"/>
  <c r="Q33" i="84"/>
  <c r="G11" i="84"/>
  <c r="H11" i="84" s="1"/>
  <c r="G33" i="84" l="1"/>
  <c r="B46" i="65" l="1"/>
  <c r="A46" i="65"/>
  <c r="B40" i="65"/>
  <c r="B34" i="65"/>
  <c r="D27" i="65"/>
  <c r="C27" i="65"/>
  <c r="B27" i="65"/>
  <c r="E26" i="65"/>
  <c r="E25" i="65"/>
  <c r="E24" i="65"/>
  <c r="E23" i="65"/>
  <c r="E27" i="65" s="1"/>
  <c r="C18" i="65"/>
  <c r="C6" i="65"/>
  <c r="R36" i="83" l="1"/>
  <c r="H36" i="83"/>
  <c r="R35" i="83"/>
  <c r="H35" i="83"/>
  <c r="R34" i="83"/>
  <c r="H34" i="83"/>
  <c r="X33" i="83"/>
  <c r="U33" i="83"/>
  <c r="T33" i="83"/>
  <c r="I32" i="83"/>
  <c r="G32" i="83"/>
  <c r="F32" i="83"/>
  <c r="E32" i="83"/>
  <c r="I31" i="83"/>
  <c r="G31" i="83"/>
  <c r="F31" i="83"/>
  <c r="E31" i="83"/>
  <c r="I30" i="83"/>
  <c r="G30" i="83"/>
  <c r="F30" i="83"/>
  <c r="E30" i="83"/>
  <c r="M29" i="83"/>
  <c r="I29" i="83"/>
  <c r="G29" i="83"/>
  <c r="H29" i="83" s="1"/>
  <c r="F29" i="83"/>
  <c r="E29" i="83"/>
  <c r="R28" i="83"/>
  <c r="M28" i="83"/>
  <c r="I28" i="83"/>
  <c r="G28" i="83"/>
  <c r="F28" i="83"/>
  <c r="E28" i="83"/>
  <c r="I27" i="83"/>
  <c r="G27" i="83"/>
  <c r="F27" i="83"/>
  <c r="E27" i="83"/>
  <c r="M26" i="83"/>
  <c r="I26" i="83"/>
  <c r="G26" i="83"/>
  <c r="H26" i="83" s="1"/>
  <c r="F26" i="83"/>
  <c r="E26" i="83"/>
  <c r="M25" i="83"/>
  <c r="I25" i="83"/>
  <c r="G25" i="83"/>
  <c r="F25" i="83"/>
  <c r="H25" i="83" s="1"/>
  <c r="E25" i="83"/>
  <c r="I24" i="83"/>
  <c r="G24" i="83"/>
  <c r="F24" i="83"/>
  <c r="E24" i="83"/>
  <c r="I23" i="83"/>
  <c r="G23" i="83"/>
  <c r="F23" i="83"/>
  <c r="E23" i="83"/>
  <c r="I22" i="83"/>
  <c r="G22" i="83"/>
  <c r="F22" i="83"/>
  <c r="E22" i="83"/>
  <c r="R21" i="83"/>
  <c r="M21" i="83"/>
  <c r="I21" i="83"/>
  <c r="G21" i="83"/>
  <c r="H21" i="83" s="1"/>
  <c r="F21" i="83"/>
  <c r="E21" i="83"/>
  <c r="R20" i="83"/>
  <c r="M20" i="83"/>
  <c r="I20" i="83"/>
  <c r="G20" i="83"/>
  <c r="H20" i="83" s="1"/>
  <c r="F20" i="83"/>
  <c r="E20" i="83"/>
  <c r="R19" i="83"/>
  <c r="M19" i="83"/>
  <c r="I19" i="83"/>
  <c r="G19" i="83"/>
  <c r="H19" i="83" s="1"/>
  <c r="F19" i="83"/>
  <c r="E19" i="83"/>
  <c r="R18" i="83"/>
  <c r="M18" i="83"/>
  <c r="I18" i="83"/>
  <c r="G18" i="83"/>
  <c r="H18" i="83" s="1"/>
  <c r="F18" i="83"/>
  <c r="E18" i="83"/>
  <c r="R17" i="83"/>
  <c r="M17" i="83"/>
  <c r="I17" i="83"/>
  <c r="H17" i="83"/>
  <c r="G17" i="83"/>
  <c r="F17" i="83"/>
  <c r="E17" i="83"/>
  <c r="M16" i="83"/>
  <c r="I16" i="83"/>
  <c r="G16" i="83"/>
  <c r="H16" i="83" s="1"/>
  <c r="F16" i="83"/>
  <c r="E16" i="83"/>
  <c r="M15" i="83"/>
  <c r="I15" i="83"/>
  <c r="G15" i="83"/>
  <c r="H15" i="83" s="1"/>
  <c r="F15" i="83"/>
  <c r="E15" i="83"/>
  <c r="I14" i="83"/>
  <c r="G14" i="83"/>
  <c r="F14" i="83"/>
  <c r="E14" i="83"/>
  <c r="M13" i="83"/>
  <c r="I13" i="83"/>
  <c r="G13" i="83"/>
  <c r="H13" i="83" s="1"/>
  <c r="F13" i="83"/>
  <c r="E13" i="83"/>
  <c r="R12" i="83"/>
  <c r="M12" i="83"/>
  <c r="I12" i="83"/>
  <c r="I11" i="83" s="1"/>
  <c r="H12" i="83"/>
  <c r="G12" i="83"/>
  <c r="F12" i="83"/>
  <c r="F11" i="83" s="1"/>
  <c r="E12" i="83"/>
  <c r="E11" i="83" s="1"/>
  <c r="V11" i="83"/>
  <c r="U11" i="83"/>
  <c r="T11" i="83"/>
  <c r="S11" i="83"/>
  <c r="R11" i="83"/>
  <c r="Q11" i="83"/>
  <c r="P11" i="83"/>
  <c r="P33" i="83" s="1"/>
  <c r="O11" i="83"/>
  <c r="N11" i="83"/>
  <c r="L11" i="83"/>
  <c r="M11" i="83" s="1"/>
  <c r="K11" i="83"/>
  <c r="J11" i="83"/>
  <c r="G11" i="83"/>
  <c r="G10" i="83"/>
  <c r="F10" i="83"/>
  <c r="E10" i="83"/>
  <c r="R9" i="83"/>
  <c r="M9" i="83"/>
  <c r="I9" i="83"/>
  <c r="I6" i="83" s="1"/>
  <c r="G9" i="83"/>
  <c r="F9" i="83"/>
  <c r="H9" i="83" s="1"/>
  <c r="E9" i="83"/>
  <c r="I8" i="83"/>
  <c r="G8" i="83"/>
  <c r="F8" i="83"/>
  <c r="E8" i="83"/>
  <c r="E6" i="83" s="1"/>
  <c r="E33" i="83" s="1"/>
  <c r="M7" i="83"/>
  <c r="I7" i="83"/>
  <c r="G7" i="83"/>
  <c r="H7" i="83" s="1"/>
  <c r="F7" i="83"/>
  <c r="E7" i="83"/>
  <c r="X6" i="83"/>
  <c r="V6" i="83"/>
  <c r="V33" i="83" s="1"/>
  <c r="U6" i="83"/>
  <c r="T6" i="83"/>
  <c r="S6" i="83"/>
  <c r="S33" i="83" s="1"/>
  <c r="Q6" i="83"/>
  <c r="Q33" i="83" s="1"/>
  <c r="P6" i="83"/>
  <c r="O6" i="83"/>
  <c r="O33" i="83" s="1"/>
  <c r="N6" i="83"/>
  <c r="N33" i="83" s="1"/>
  <c r="L6" i="83"/>
  <c r="L33" i="83" s="1"/>
  <c r="K6" i="83"/>
  <c r="M6" i="83" s="1"/>
  <c r="J6" i="83"/>
  <c r="J33" i="83" s="1"/>
  <c r="F6" i="83"/>
  <c r="F33" i="83" s="1"/>
  <c r="H11" i="83" l="1"/>
  <c r="I33" i="83"/>
  <c r="G6" i="83"/>
  <c r="K33" i="83"/>
  <c r="R6" i="83"/>
  <c r="G33" i="83" l="1"/>
  <c r="H6" i="83"/>
  <c r="W36" i="82" l="1"/>
  <c r="R36" i="82"/>
  <c r="M36" i="82"/>
  <c r="H36" i="82"/>
  <c r="W35" i="82"/>
  <c r="R35" i="82"/>
  <c r="M35" i="82"/>
  <c r="H35" i="82"/>
  <c r="W34" i="82"/>
  <c r="R34" i="82"/>
  <c r="M34" i="82"/>
  <c r="H34" i="82"/>
  <c r="T33" i="82"/>
  <c r="L33" i="82"/>
  <c r="M33" i="82" s="1"/>
  <c r="W32" i="82"/>
  <c r="R32" i="82"/>
  <c r="M32" i="82"/>
  <c r="I32" i="82"/>
  <c r="G32" i="82"/>
  <c r="F32" i="82"/>
  <c r="H32" i="82" s="1"/>
  <c r="E32" i="82"/>
  <c r="W31" i="82"/>
  <c r="R31" i="82"/>
  <c r="M31" i="82"/>
  <c r="I31" i="82"/>
  <c r="G31" i="82"/>
  <c r="F31" i="82"/>
  <c r="H31" i="82" s="1"/>
  <c r="E31" i="82"/>
  <c r="W30" i="82"/>
  <c r="R30" i="82"/>
  <c r="M30" i="82"/>
  <c r="I30" i="82"/>
  <c r="G30" i="82"/>
  <c r="F30" i="82"/>
  <c r="H30" i="82" s="1"/>
  <c r="E30" i="82"/>
  <c r="W29" i="82"/>
  <c r="R29" i="82"/>
  <c r="M29" i="82"/>
  <c r="I29" i="82"/>
  <c r="G29" i="82"/>
  <c r="F29" i="82"/>
  <c r="H29" i="82" s="1"/>
  <c r="E29" i="82"/>
  <c r="W28" i="82"/>
  <c r="R28" i="82"/>
  <c r="M28" i="82"/>
  <c r="I28" i="82"/>
  <c r="G28" i="82"/>
  <c r="F28" i="82"/>
  <c r="H28" i="82" s="1"/>
  <c r="E28" i="82"/>
  <c r="W27" i="82"/>
  <c r="R27" i="82"/>
  <c r="M27" i="82"/>
  <c r="I27" i="82"/>
  <c r="G27" i="82"/>
  <c r="F27" i="82"/>
  <c r="H27" i="82" s="1"/>
  <c r="E27" i="82"/>
  <c r="W26" i="82"/>
  <c r="R26" i="82"/>
  <c r="M26" i="82"/>
  <c r="I26" i="82"/>
  <c r="G26" i="82"/>
  <c r="F26" i="82"/>
  <c r="H26" i="82" s="1"/>
  <c r="E26" i="82"/>
  <c r="W25" i="82"/>
  <c r="R25" i="82"/>
  <c r="M25" i="82"/>
  <c r="I25" i="82"/>
  <c r="G25" i="82"/>
  <c r="F25" i="82"/>
  <c r="H25" i="82" s="1"/>
  <c r="E25" i="82"/>
  <c r="W24" i="82"/>
  <c r="R24" i="82"/>
  <c r="M24" i="82"/>
  <c r="I24" i="82"/>
  <c r="G24" i="82"/>
  <c r="F24" i="82"/>
  <c r="H24" i="82" s="1"/>
  <c r="E24" i="82"/>
  <c r="W23" i="82"/>
  <c r="R23" i="82"/>
  <c r="M23" i="82"/>
  <c r="I23" i="82"/>
  <c r="G23" i="82"/>
  <c r="F23" i="82"/>
  <c r="H23" i="82" s="1"/>
  <c r="E23" i="82"/>
  <c r="W22" i="82"/>
  <c r="R22" i="82"/>
  <c r="M22" i="82"/>
  <c r="I22" i="82"/>
  <c r="G22" i="82"/>
  <c r="F22" i="82"/>
  <c r="H22" i="82" s="1"/>
  <c r="E22" i="82"/>
  <c r="W21" i="82"/>
  <c r="R21" i="82"/>
  <c r="M21" i="82"/>
  <c r="I21" i="82"/>
  <c r="G21" i="82"/>
  <c r="H21" i="82" s="1"/>
  <c r="F21" i="82"/>
  <c r="E21" i="82"/>
  <c r="W20" i="82"/>
  <c r="R20" i="82"/>
  <c r="M20" i="82"/>
  <c r="I20" i="82"/>
  <c r="G20" i="82"/>
  <c r="H20" i="82" s="1"/>
  <c r="F20" i="82"/>
  <c r="E20" i="82"/>
  <c r="W19" i="82"/>
  <c r="R19" i="82"/>
  <c r="M19" i="82"/>
  <c r="I19" i="82"/>
  <c r="G19" i="82"/>
  <c r="H19" i="82" s="1"/>
  <c r="F19" i="82"/>
  <c r="E19" i="82"/>
  <c r="W18" i="82"/>
  <c r="R18" i="82"/>
  <c r="M18" i="82"/>
  <c r="I18" i="82"/>
  <c r="G18" i="82"/>
  <c r="H18" i="82" s="1"/>
  <c r="F18" i="82"/>
  <c r="E18" i="82"/>
  <c r="W17" i="82"/>
  <c r="R17" i="82"/>
  <c r="M17" i="82"/>
  <c r="I17" i="82"/>
  <c r="G17" i="82"/>
  <c r="H17" i="82" s="1"/>
  <c r="F17" i="82"/>
  <c r="E17" i="82"/>
  <c r="W16" i="82"/>
  <c r="R16" i="82"/>
  <c r="M16" i="82"/>
  <c r="I16" i="82"/>
  <c r="G16" i="82"/>
  <c r="H16" i="82" s="1"/>
  <c r="F16" i="82"/>
  <c r="E16" i="82"/>
  <c r="W15" i="82"/>
  <c r="R15" i="82"/>
  <c r="M15" i="82"/>
  <c r="I15" i="82"/>
  <c r="G15" i="82"/>
  <c r="H15" i="82" s="1"/>
  <c r="F15" i="82"/>
  <c r="E15" i="82"/>
  <c r="W14" i="82"/>
  <c r="R14" i="82"/>
  <c r="M14" i="82"/>
  <c r="I14" i="82"/>
  <c r="G14" i="82"/>
  <c r="H14" i="82" s="1"/>
  <c r="F14" i="82"/>
  <c r="E14" i="82"/>
  <c r="W13" i="82"/>
  <c r="R13" i="82"/>
  <c r="M13" i="82"/>
  <c r="I13" i="82"/>
  <c r="G13" i="82"/>
  <c r="H13" i="82" s="1"/>
  <c r="F13" i="82"/>
  <c r="E13" i="82"/>
  <c r="W12" i="82"/>
  <c r="R12" i="82"/>
  <c r="M12" i="82"/>
  <c r="I12" i="82"/>
  <c r="G12" i="82"/>
  <c r="H12" i="82" s="1"/>
  <c r="F12" i="82"/>
  <c r="E12" i="82"/>
  <c r="X11" i="82"/>
  <c r="V11" i="82"/>
  <c r="W11" i="82" s="1"/>
  <c r="U11" i="82"/>
  <c r="T11" i="82"/>
  <c r="S11" i="82"/>
  <c r="Q11" i="82"/>
  <c r="P11" i="82"/>
  <c r="R11" i="82" s="1"/>
  <c r="O11" i="82"/>
  <c r="N11" i="82"/>
  <c r="L11" i="82"/>
  <c r="K11" i="82"/>
  <c r="M11" i="82" s="1"/>
  <c r="J11" i="82"/>
  <c r="I11" i="82"/>
  <c r="H11" i="82"/>
  <c r="G11" i="82"/>
  <c r="F11" i="82"/>
  <c r="E11" i="82"/>
  <c r="W10" i="82"/>
  <c r="R10" i="82"/>
  <c r="M10" i="82"/>
  <c r="I10" i="82"/>
  <c r="H10" i="82"/>
  <c r="G10" i="82"/>
  <c r="F10" i="82"/>
  <c r="E10" i="82"/>
  <c r="W9" i="82"/>
  <c r="R9" i="82"/>
  <c r="M9" i="82"/>
  <c r="G9" i="82"/>
  <c r="G6" i="82" s="1"/>
  <c r="F9" i="82"/>
  <c r="E9" i="82"/>
  <c r="W8" i="82"/>
  <c r="R8" i="82"/>
  <c r="M8" i="82"/>
  <c r="G8" i="82"/>
  <c r="F8" i="82"/>
  <c r="F6" i="82" s="1"/>
  <c r="F33" i="82" s="1"/>
  <c r="E8" i="82"/>
  <c r="W7" i="82"/>
  <c r="R7" i="82"/>
  <c r="M7" i="82"/>
  <c r="G7" i="82"/>
  <c r="H7" i="82" s="1"/>
  <c r="F7" i="82"/>
  <c r="E7" i="82"/>
  <c r="E6" i="82" s="1"/>
  <c r="E33" i="82" s="1"/>
  <c r="X6" i="82"/>
  <c r="X33" i="82" s="1"/>
  <c r="W6" i="82"/>
  <c r="V6" i="82"/>
  <c r="V33" i="82" s="1"/>
  <c r="W33" i="82" s="1"/>
  <c r="U6" i="82"/>
  <c r="U33" i="82" s="1"/>
  <c r="T6" i="82"/>
  <c r="S6" i="82"/>
  <c r="S33" i="82" s="1"/>
  <c r="Q6" i="82"/>
  <c r="Q33" i="82" s="1"/>
  <c r="P6" i="82"/>
  <c r="P33" i="82" s="1"/>
  <c r="O6" i="82"/>
  <c r="O33" i="82" s="1"/>
  <c r="N6" i="82"/>
  <c r="N33" i="82" s="1"/>
  <c r="L6" i="82"/>
  <c r="M6" i="82" s="1"/>
  <c r="K6" i="82"/>
  <c r="K33" i="82" s="1"/>
  <c r="J6" i="82"/>
  <c r="J33" i="82" s="1"/>
  <c r="I6" i="82"/>
  <c r="I33" i="82" s="1"/>
  <c r="H6" i="82" l="1"/>
  <c r="G33" i="82"/>
  <c r="H33" i="82" s="1"/>
  <c r="R33" i="82"/>
  <c r="R6" i="82"/>
  <c r="H9" i="82"/>
  <c r="H8" i="82"/>
  <c r="B51" i="63" l="1"/>
  <c r="A51" i="63"/>
  <c r="B43" i="63"/>
  <c r="B35" i="63"/>
  <c r="D27" i="63"/>
  <c r="C27" i="63"/>
  <c r="B27" i="63"/>
  <c r="E26" i="63"/>
  <c r="E24" i="63"/>
  <c r="E23" i="63"/>
  <c r="E27" i="63" s="1"/>
  <c r="C18" i="63"/>
  <c r="C6" i="63"/>
  <c r="W36" i="81" l="1"/>
  <c r="R36" i="81"/>
  <c r="M36" i="81"/>
  <c r="H36" i="81"/>
  <c r="W35" i="81"/>
  <c r="R35" i="81"/>
  <c r="M35" i="81"/>
  <c r="H35" i="81"/>
  <c r="W34" i="81"/>
  <c r="R34" i="81"/>
  <c r="M34" i="81"/>
  <c r="H34" i="81"/>
  <c r="K33" i="81"/>
  <c r="I32" i="81"/>
  <c r="G32" i="81"/>
  <c r="F32" i="81"/>
  <c r="E32" i="81"/>
  <c r="I31" i="81"/>
  <c r="G31" i="81"/>
  <c r="F31" i="81"/>
  <c r="E31" i="81"/>
  <c r="I30" i="81"/>
  <c r="G30" i="81"/>
  <c r="F30" i="81"/>
  <c r="E30" i="81"/>
  <c r="M29" i="81"/>
  <c r="I29" i="81"/>
  <c r="G29" i="81"/>
  <c r="H29" i="81" s="1"/>
  <c r="F29" i="81"/>
  <c r="E29" i="81"/>
  <c r="R28" i="81"/>
  <c r="M28" i="81"/>
  <c r="H28" i="81"/>
  <c r="I27" i="81"/>
  <c r="G27" i="81"/>
  <c r="F27" i="81"/>
  <c r="E27" i="81"/>
  <c r="W26" i="81"/>
  <c r="M26" i="81"/>
  <c r="I26" i="81"/>
  <c r="G26" i="81"/>
  <c r="H26" i="81" s="1"/>
  <c r="F26" i="81"/>
  <c r="E26" i="81"/>
  <c r="J25" i="81"/>
  <c r="E25" i="81" s="1"/>
  <c r="I25" i="81"/>
  <c r="G25" i="81"/>
  <c r="F25" i="81"/>
  <c r="J24" i="81"/>
  <c r="I24" i="81"/>
  <c r="G24" i="81"/>
  <c r="F24" i="81"/>
  <c r="E24" i="81"/>
  <c r="J23" i="81"/>
  <c r="I23" i="81"/>
  <c r="G23" i="81"/>
  <c r="F23" i="81"/>
  <c r="E23" i="81"/>
  <c r="J22" i="81"/>
  <c r="E22" i="81" s="1"/>
  <c r="I22" i="81"/>
  <c r="G22" i="81"/>
  <c r="F22" i="81"/>
  <c r="R21" i="81"/>
  <c r="M21" i="81"/>
  <c r="I21" i="81"/>
  <c r="H21" i="81"/>
  <c r="G21" i="81"/>
  <c r="F21" i="81"/>
  <c r="E21" i="81"/>
  <c r="R20" i="81"/>
  <c r="M20" i="81"/>
  <c r="I20" i="81"/>
  <c r="G20" i="81"/>
  <c r="H20" i="81" s="1"/>
  <c r="F20" i="81"/>
  <c r="E20" i="81"/>
  <c r="R19" i="81"/>
  <c r="M19" i="81"/>
  <c r="I19" i="81"/>
  <c r="G19" i="81"/>
  <c r="H19" i="81" s="1"/>
  <c r="F19" i="81"/>
  <c r="E19" i="81"/>
  <c r="W18" i="81"/>
  <c r="R18" i="81"/>
  <c r="M18" i="81"/>
  <c r="I18" i="81"/>
  <c r="G18" i="81"/>
  <c r="H18" i="81" s="1"/>
  <c r="F18" i="81"/>
  <c r="E18" i="81"/>
  <c r="R17" i="81"/>
  <c r="I17" i="81"/>
  <c r="G17" i="81"/>
  <c r="F17" i="81"/>
  <c r="E17" i="81"/>
  <c r="R16" i="81"/>
  <c r="M16" i="81"/>
  <c r="I16" i="81"/>
  <c r="H16" i="81"/>
  <c r="G16" i="81"/>
  <c r="F16" i="81"/>
  <c r="E16" i="81"/>
  <c r="W15" i="81"/>
  <c r="R15" i="81"/>
  <c r="M15" i="81"/>
  <c r="I15" i="81"/>
  <c r="H15" i="81"/>
  <c r="G15" i="81"/>
  <c r="F15" i="81"/>
  <c r="E15" i="81"/>
  <c r="R14" i="81"/>
  <c r="I14" i="81"/>
  <c r="G14" i="81"/>
  <c r="F14" i="81"/>
  <c r="E14" i="81"/>
  <c r="R13" i="81"/>
  <c r="M13" i="81"/>
  <c r="I13" i="81"/>
  <c r="F13" i="81"/>
  <c r="H13" i="81" s="1"/>
  <c r="E13" i="81"/>
  <c r="R12" i="81"/>
  <c r="M12" i="81"/>
  <c r="I12" i="81"/>
  <c r="H12" i="81"/>
  <c r="G12" i="81"/>
  <c r="F12" i="81"/>
  <c r="E12" i="81"/>
  <c r="X11" i="81"/>
  <c r="V11" i="81"/>
  <c r="W11" i="81" s="1"/>
  <c r="U11" i="81"/>
  <c r="T11" i="81"/>
  <c r="S11" i="81"/>
  <c r="Q11" i="81"/>
  <c r="R11" i="81" s="1"/>
  <c r="P11" i="81"/>
  <c r="O11" i="81"/>
  <c r="N11" i="81"/>
  <c r="L11" i="81"/>
  <c r="M11" i="81" s="1"/>
  <c r="K11" i="81"/>
  <c r="G11" i="81"/>
  <c r="I10" i="81"/>
  <c r="G10" i="81"/>
  <c r="F10" i="81"/>
  <c r="E10" i="81"/>
  <c r="R9" i="81"/>
  <c r="M9" i="81"/>
  <c r="I9" i="81"/>
  <c r="I6" i="81" s="1"/>
  <c r="I33" i="81" s="1"/>
  <c r="G9" i="81"/>
  <c r="H9" i="81" s="1"/>
  <c r="F9" i="81"/>
  <c r="E9" i="81"/>
  <c r="I8" i="81"/>
  <c r="G8" i="81"/>
  <c r="F8" i="81"/>
  <c r="E8" i="81"/>
  <c r="W7" i="81"/>
  <c r="M7" i="81"/>
  <c r="I7" i="81"/>
  <c r="H7" i="81"/>
  <c r="G7" i="81"/>
  <c r="G6" i="81" s="1"/>
  <c r="F7" i="81"/>
  <c r="E7" i="81"/>
  <c r="E6" i="81" s="1"/>
  <c r="E33" i="81" s="1"/>
  <c r="X6" i="81"/>
  <c r="X33" i="81" s="1"/>
  <c r="V6" i="81"/>
  <c r="V33" i="81" s="1"/>
  <c r="W33" i="81" s="1"/>
  <c r="U6" i="81"/>
  <c r="U33" i="81" s="1"/>
  <c r="T6" i="81"/>
  <c r="T33" i="81" s="1"/>
  <c r="S6" i="81"/>
  <c r="S33" i="81" s="1"/>
  <c r="Q6" i="81"/>
  <c r="Q33" i="81" s="1"/>
  <c r="P6" i="81"/>
  <c r="P33" i="81" s="1"/>
  <c r="O6" i="81"/>
  <c r="O33" i="81" s="1"/>
  <c r="N6" i="81"/>
  <c r="N33" i="81" s="1"/>
  <c r="L6" i="81"/>
  <c r="M6" i="81" s="1"/>
  <c r="K6" i="81"/>
  <c r="J6" i="81"/>
  <c r="F6" i="81"/>
  <c r="J33" i="81" l="1"/>
  <c r="H6" i="81"/>
  <c r="G33" i="81"/>
  <c r="W6" i="81"/>
  <c r="F11" i="81"/>
  <c r="H11" i="81" s="1"/>
  <c r="L33" i="81"/>
  <c r="M33" i="81" s="1"/>
  <c r="R6" i="81"/>
  <c r="J11" i="81"/>
  <c r="F33" i="81" l="1"/>
  <c r="H33" i="81" s="1"/>
</calcChain>
</file>

<file path=xl/comments1.xml><?xml version="1.0" encoding="utf-8"?>
<comments xmlns="http://schemas.openxmlformats.org/spreadsheetml/2006/main">
  <authors>
    <author>Ptáčková Eva</author>
  </authors>
  <commentList>
    <comment ref="E57" authorId="0" shapeId="0">
      <text>
        <r>
          <rPr>
            <b/>
            <sz val="9"/>
            <color indexed="81"/>
            <rFont val="Tahoma"/>
            <family val="2"/>
            <charset val="238"/>
          </rPr>
          <t>Ptáčková Eva:</t>
        </r>
        <r>
          <rPr>
            <sz val="9"/>
            <color indexed="81"/>
            <rFont val="Tahoma"/>
            <family val="2"/>
            <charset val="238"/>
          </rPr>
          <t xml:space="preserve">
účet 672 je výnosový, proč je ve sloupci nákladů?</t>
        </r>
      </text>
    </comment>
  </commentList>
</comments>
</file>

<file path=xl/sharedStrings.xml><?xml version="1.0" encoding="utf-8"?>
<sst xmlns="http://schemas.openxmlformats.org/spreadsheetml/2006/main" count="5136" uniqueCount="1402">
  <si>
    <t>1.</t>
  </si>
  <si>
    <t>Výnosy celkem</t>
  </si>
  <si>
    <t>2.</t>
  </si>
  <si>
    <t>3.</t>
  </si>
  <si>
    <t>4.</t>
  </si>
  <si>
    <t>5.</t>
  </si>
  <si>
    <t>6.</t>
  </si>
  <si>
    <t>Příspěvek na investice</t>
  </si>
  <si>
    <t>7.</t>
  </si>
  <si>
    <t>Náklady celkem</t>
  </si>
  <si>
    <t>8.</t>
  </si>
  <si>
    <t>9.</t>
  </si>
  <si>
    <t>10.</t>
  </si>
  <si>
    <t>11.</t>
  </si>
  <si>
    <t>12.</t>
  </si>
  <si>
    <t>13.</t>
  </si>
  <si>
    <t>14.</t>
  </si>
  <si>
    <t>15.</t>
  </si>
  <si>
    <t>16.</t>
  </si>
  <si>
    <t>17.</t>
  </si>
  <si>
    <t>18.</t>
  </si>
  <si>
    <t>19.</t>
  </si>
  <si>
    <t>20.</t>
  </si>
  <si>
    <t>21.</t>
  </si>
  <si>
    <t>Průměrná měsíční mzda</t>
  </si>
  <si>
    <t>Kč</t>
  </si>
  <si>
    <t>osob</t>
  </si>
  <si>
    <t>Fyzický stav pracovníků</t>
  </si>
  <si>
    <t>501 - Spotřeba materiálu</t>
  </si>
  <si>
    <t>502 - Spotřeba energie</t>
  </si>
  <si>
    <t>512 - Cestovné</t>
  </si>
  <si>
    <t>518 - Ostatní služby</t>
  </si>
  <si>
    <t>521 - Mzdové náklady</t>
  </si>
  <si>
    <t>Evid. přepočtený stav pracovníků</t>
  </si>
  <si>
    <t>Celkem</t>
  </si>
  <si>
    <t>Roční plán</t>
  </si>
  <si>
    <t>Skutečnost</t>
  </si>
  <si>
    <t>SK/RP</t>
  </si>
  <si>
    <t>Doplňková činnost</t>
  </si>
  <si>
    <t>Vztah ke zřizovateli</t>
  </si>
  <si>
    <t>Poř. číslo</t>
  </si>
  <si>
    <t>Ukazatel</t>
  </si>
  <si>
    <t>Měrná jednotka</t>
  </si>
  <si>
    <t>Vztah k Olomouckému kraji, popř. SR ČR apod.</t>
  </si>
  <si>
    <t>Schválený roční plán</t>
  </si>
  <si>
    <t>22.</t>
  </si>
  <si>
    <t>60X až 64X - Výnosy z činnosti</t>
  </si>
  <si>
    <t>66X - Finanční výnosy</t>
  </si>
  <si>
    <t>513 - Náklady na reprezentaci</t>
  </si>
  <si>
    <t>524, 525 - Zákonné a jiné sociální pojištění</t>
  </si>
  <si>
    <t>527, 528 - Zákonné a jiné sociální náklady</t>
  </si>
  <si>
    <t>23.</t>
  </si>
  <si>
    <t>24.</t>
  </si>
  <si>
    <t>56X - Finanční náklady</t>
  </si>
  <si>
    <t>25.</t>
  </si>
  <si>
    <t>26.</t>
  </si>
  <si>
    <t>27.</t>
  </si>
  <si>
    <t>28.</t>
  </si>
  <si>
    <t>Výsledek hospodaření po zdanění</t>
  </si>
  <si>
    <t>29.</t>
  </si>
  <si>
    <t>30.</t>
  </si>
  <si>
    <t>31.</t>
  </si>
  <si>
    <t>67X - Výnosy z transferů</t>
  </si>
  <si>
    <t>50X - Jiné spotřebované nákupy</t>
  </si>
  <si>
    <t>511 - Opravy a udržování</t>
  </si>
  <si>
    <t>53X - Daně a poplatky</t>
  </si>
  <si>
    <t>541, 542 - Pokuty, úroky z prodlení  a penále</t>
  </si>
  <si>
    <t>549 - Ostatní náklady z činnosti</t>
  </si>
  <si>
    <t>54X - Jiné ostatní náklady</t>
  </si>
  <si>
    <t>551 - Odpisy dlouhodobého majetku</t>
  </si>
  <si>
    <t>55X - Jiné odpisy, rezervy a opravné položky</t>
  </si>
  <si>
    <t>57X - Náklady na transfery</t>
  </si>
  <si>
    <t>59X - Daň z příjmů</t>
  </si>
  <si>
    <t>543 - Dary a jiná bezúplatná předání</t>
  </si>
  <si>
    <t>558 - Náklady z drobného dlouhodobého majetku</t>
  </si>
  <si>
    <t xml:space="preserve">Příspěvková organizace: </t>
  </si>
  <si>
    <t>Kategorie</t>
  </si>
  <si>
    <t>Hlavní činnost (zřizovatel)</t>
  </si>
  <si>
    <t>Doplňková činnost (zřizovatel)</t>
  </si>
  <si>
    <t>Ostatní</t>
  </si>
  <si>
    <t>Peněžní fond</t>
  </si>
  <si>
    <t>Zřizovatel</t>
  </si>
  <si>
    <t>Organizace</t>
  </si>
  <si>
    <t>Rezervní fond</t>
  </si>
  <si>
    <t>Fond odměn</t>
  </si>
  <si>
    <t>Rezervní fond celkem</t>
  </si>
  <si>
    <t>Investiční fond</t>
  </si>
  <si>
    <t>Fond kulturních a sociálních potřeb</t>
  </si>
  <si>
    <t>Číslo účtu - Název účtu dle rozvahy</t>
  </si>
  <si>
    <t>Číslo faktury</t>
  </si>
  <si>
    <t>Způsob vymáhání pohledávky po lhůtě splatnosti (dosavadní a plánovaný)</t>
  </si>
  <si>
    <t>Účel</t>
  </si>
  <si>
    <t>Text úpravy finančního plánu</t>
  </si>
  <si>
    <t>Datum schválení úpravy FP</t>
  </si>
  <si>
    <t>Datum provedení úpravy FP</t>
  </si>
  <si>
    <t>Požadovaný komentář :</t>
  </si>
  <si>
    <t>Organizace nemá pohledávky po lhůtě splatnosti.</t>
  </si>
  <si>
    <t xml:space="preserve">Organizace nemá závazky po lhůtě splatnosti. </t>
  </si>
  <si>
    <t>Úhrada ztráty z min.let</t>
  </si>
  <si>
    <t>Mateřská škola Prostějov, Smetanova ul. 24, příspěvková organizace</t>
  </si>
  <si>
    <t>K 31.12.2019</t>
  </si>
  <si>
    <t>Srovn. skut. 2018</t>
  </si>
  <si>
    <t>1. Zlepšený výsledek hospodaření za rok 2019</t>
  </si>
  <si>
    <t>Komentář k tvorbě hospodářského výsledku roku 2019</t>
  </si>
  <si>
    <t>Celkem rok 2019</t>
  </si>
  <si>
    <t xml:space="preserve">Úspora v položce energií. </t>
  </si>
  <si>
    <t xml:space="preserve">ZHV je o nižší oproti plánu, vyšší náklady na opravy. </t>
  </si>
  <si>
    <t>2. Návrh na rozdělení zlepšeného výsledku hospodaření (zřizovatel) za rok 2019 na základě jeho projednání</t>
  </si>
  <si>
    <t>3. Fondové hospodaření příspěvkové organizace v roce 2019 v Kč</t>
  </si>
  <si>
    <t>Počáteční zůstatek 2019</t>
  </si>
  <si>
    <t>Zdroje 2019</t>
  </si>
  <si>
    <t>Čerpání 2019</t>
  </si>
  <si>
    <t>Konečný zůstatek 2019</t>
  </si>
  <si>
    <t>Komentář k plánovanému užití fondu v roce 2020</t>
  </si>
  <si>
    <t>čerpání prostředků projektu v souladu s plánem projektu</t>
  </si>
  <si>
    <t>pokračování opravy oplocení MŠ</t>
  </si>
  <si>
    <t>mimořádné odměny pro zaměstnance školy</t>
  </si>
  <si>
    <t>čerpání v souladu s rozpočtem FKSP na roce 2020 (příspěvek stravování, rekreace, vitamínové doplňky)</t>
  </si>
  <si>
    <t>4. Pohledávky roku 2019 po lhůtě splatnosti</t>
  </si>
  <si>
    <t>5. Závazky roku 2019 po lhůtě splatnosti</t>
  </si>
  <si>
    <t>6. Přehled přijatých darů v roce 2019</t>
  </si>
  <si>
    <t xml:space="preserve">Organizace v roce 2019 neměla žádný přijatý dar. </t>
  </si>
  <si>
    <t>Čerpáno v roce 2019 (Kč)</t>
  </si>
  <si>
    <t>7. Úpravy finančního plánu příspěvkové organizace v roce 2019</t>
  </si>
  <si>
    <t>1. 511 - rozvody internetových kabelů - snížení nákladů na opravy</t>
  </si>
  <si>
    <t>1. 549 - rozvody internetových kabelů - technické zhodnocení</t>
  </si>
  <si>
    <t>2. 649 - výnosy z odevzdaného sběru</t>
  </si>
  <si>
    <t>2, 501 - pořízení materiálu</t>
  </si>
  <si>
    <t xml:space="preserve">3. 672 - účelová dotace opravy </t>
  </si>
  <si>
    <t>3. 511 - výměna osvětlení</t>
  </si>
  <si>
    <t>3. 518 - dálkový odečet vody</t>
  </si>
  <si>
    <t xml:space="preserve">4. 648 - odměna z FO - DČ, odvody </t>
  </si>
  <si>
    <t>5. 521 - odměna z FO</t>
  </si>
  <si>
    <t>5. 524 - odvody z odměny FO</t>
  </si>
  <si>
    <t>5. 527 - odvod FKSP z odměny FO</t>
  </si>
  <si>
    <t>6. 648 - použití FI na opravy</t>
  </si>
  <si>
    <t>6. 511 - oprava plotu II. etapa</t>
  </si>
  <si>
    <t>7. 602 - výnosy režijní náklady</t>
  </si>
  <si>
    <t>7. 549 - markýza</t>
  </si>
  <si>
    <t>8. 551 - úspora položka odpisy</t>
  </si>
  <si>
    <t>8. 511 - opravy (výměna baterií, oprava střechy ŠJ)</t>
  </si>
  <si>
    <t>9. 602 - výnosy režijní náklady</t>
  </si>
  <si>
    <t>9. 549 - markýza</t>
  </si>
  <si>
    <t>10. 649 - výnosy z odevzdaného sběru</t>
  </si>
  <si>
    <t>10. 511 - opravy</t>
  </si>
  <si>
    <t>11. 602 - výnosy režijní náklady, úprava výnosů školné</t>
  </si>
  <si>
    <t>11. 511 - oprava rozvodů vody</t>
  </si>
  <si>
    <t>12. 648 - použití RF (další rozvoj činnosti)</t>
  </si>
  <si>
    <t>12. 558 - nákup majetku</t>
  </si>
  <si>
    <t>13. 501 - úspora v položce materiál</t>
  </si>
  <si>
    <t>13. 512 - úspora v pložce cestovné</t>
  </si>
  <si>
    <t>13. 518 - úspora v položce služby</t>
  </si>
  <si>
    <t>13. 511 - pokrytí zvýšených nákladů na opravy</t>
  </si>
  <si>
    <t>13. 558 - pokrytí zvýšených nákladů na nákup majetku</t>
  </si>
  <si>
    <t>8. Plnění opatření z minulého kontrolního dne k výsledkům hospodaření za I. pololetí roku 2019</t>
  </si>
  <si>
    <t>Požadovaný komentář : Nebyly uloženy.</t>
  </si>
  <si>
    <t>9. Ostatní závěry, které vyplynuly z jednání kontrolního dne k výsledkům hospodaření za rok 2019, vztahované k období roku 2020, popř. obdobím následujícím</t>
  </si>
  <si>
    <t>Organizaci nebyla uložena žádná opatření ani závěry vyplývající z KD k výsledkům hospodaření za rok 2019.Organizace nepřekročila závazné ukazatele FP pro rok 2019, Účastníci KD, vzhledem k provedené analýze výsledku hospodaření organizace doporučují rozdělení ZVH roku 2019 následovně :  rezervní fond  .  86924.25, fond odměn 20 000,-Kč.</t>
  </si>
  <si>
    <t>Příděl fondům organizace provede na základě písemného vyrozumění odboru ŠKS, Magistrátu města Prostějova.</t>
  </si>
  <si>
    <t>V Prostějově dne 17.3.2020</t>
  </si>
  <si>
    <t>Jana Baarová, ředitelka školy</t>
  </si>
  <si>
    <t>Mateřská  škola Prostějov, ul. Šárka 4a</t>
  </si>
  <si>
    <t>Celkem hlavní činnost</t>
  </si>
  <si>
    <t>Vztah k Olomouckému kraji, popř. SR ČR, EU apod.</t>
  </si>
  <si>
    <t>Celkem doplňková činnost</t>
  </si>
  <si>
    <t>Schválený rozpočet</t>
  </si>
  <si>
    <t>K 30.6.2018</t>
  </si>
  <si>
    <t>Srovn. skut. 2017</t>
  </si>
  <si>
    <t>Upr.rozpočet</t>
  </si>
  <si>
    <t>541, 542 - Pokuty, úroky z prodlení a penále</t>
  </si>
  <si>
    <t>Výsledek hospodaření</t>
  </si>
  <si>
    <t>Mateřská škola Prostějov, ul. Rumunská 23, příspěvková organizace</t>
  </si>
  <si>
    <t>Mateřská škola Prostějov, příspěvková organizace, Rumunská ul. 23, 796 01 Prostějov</t>
  </si>
  <si>
    <t>Zlepšený hospodářský výsledek k 31. 12. 2019 je dosažený úsporným a efektivním přístupem všech zaměstnanců MŠ.</t>
  </si>
  <si>
    <t>MŠ nevykonává doplňkovou činnost.</t>
  </si>
  <si>
    <r>
      <rPr>
        <sz val="7"/>
        <rFont val="Times New Roman"/>
        <family val="1"/>
        <charset val="238"/>
      </rPr>
      <t xml:space="preserve">Na rezervním fondu ze ZVH bylo k 31. 12. 2019 pouze 24.455,70 Kč.          Po převodu zlepšeného hospodářského výsledku z roku 2019 ve výši 45.893,84 Kč bychom chtěli finanční prostředky na rezervním fondu použít na dofinancování opravy terasy.                                                                                 </t>
    </r>
    <r>
      <rPr>
        <b/>
        <sz val="7"/>
        <rFont val="Times New Roman"/>
        <family val="1"/>
        <charset val="238"/>
      </rPr>
      <t xml:space="preserve"> </t>
    </r>
    <r>
      <rPr>
        <sz val="7"/>
        <rFont val="Times New Roman"/>
        <family val="1"/>
        <charset val="238"/>
      </rPr>
      <t xml:space="preserve">  Rezervní fond - ostatní tituly - celkem stav k 31. 12. 2019: 281.982,70 Kč,    z toho: </t>
    </r>
    <r>
      <rPr>
        <b/>
        <sz val="7"/>
        <rFont val="Times New Roman"/>
        <family val="1"/>
        <charset val="238"/>
      </rPr>
      <t xml:space="preserve">                                                                                                                                                                                                                                                                                                                                                                                                                                                                                                                         </t>
    </r>
    <r>
      <rPr>
        <sz val="7"/>
        <rFont val="Times New Roman"/>
        <family val="1"/>
        <charset val="238"/>
      </rPr>
      <t xml:space="preserve">                                                                                                                                                                                          - převod nespotřebované dotace z rozpočtu EU ve výši 269.011 Kč                                                                                                                                                                                                                                                                                                                                                                                            </t>
    </r>
  </si>
  <si>
    <t>Jelikož se jedná o poměrně nízký zůstatek investičního fondu, proto v roce 2020 neplánujeme jeho použití.</t>
  </si>
  <si>
    <t>Odměny pracovníkům během prázdninového provozu.</t>
  </si>
  <si>
    <t>Čerpání fondu dle Zásad čerpání FKSP.</t>
  </si>
  <si>
    <t>Organizace nemá v evidenci žádné pohledávky po lhůtě splatnosti</t>
  </si>
  <si>
    <t>Organizace nemá v evidenci žádné závazky po lhůtě splatnosti</t>
  </si>
  <si>
    <t>Čerpáno v roce 2018 (Kč)</t>
  </si>
  <si>
    <t>V roce 2019 organizace neobdržela žádný dar.</t>
  </si>
  <si>
    <t>Schváleno RMP usnesením č. 9355 - Opravy a udržování</t>
  </si>
  <si>
    <t>18.4.2019</t>
  </si>
  <si>
    <t>Schváleno RMP usnesením č. 9355 - Výnosy míst. vl. instit.</t>
  </si>
  <si>
    <t>Schváleno RMP usnesením č. 9357 - Ostatní služby</t>
  </si>
  <si>
    <t>24.4.2019</t>
  </si>
  <si>
    <t>Schváleno RMP usnesením č. 9357 - Náklady z DDHM</t>
  </si>
  <si>
    <t>Schváleno RMP usnesením č. 9357 - Výnosy míst. vl. instit.</t>
  </si>
  <si>
    <t>Výnosy z prodeje služeb - stravování</t>
  </si>
  <si>
    <t>30.6.2019</t>
  </si>
  <si>
    <t>Spotřeba materiálu - potraviny</t>
  </si>
  <si>
    <t>Ostatní služby - školení a vzdělávání</t>
  </si>
  <si>
    <t>Ostatní služby - praní prádla</t>
  </si>
  <si>
    <t>Výnosy z prodeje služeb - výnosy za služby spojené s nájemným</t>
  </si>
  <si>
    <t>Ostatní služby - údržba SW + licence</t>
  </si>
  <si>
    <t>Cestovné</t>
  </si>
  <si>
    <t>Náklady na reprezentaci</t>
  </si>
  <si>
    <t>Ostatní náklady z činnosti - pojištění majetku</t>
  </si>
  <si>
    <t>Prodaný materiál - čipy</t>
  </si>
  <si>
    <t>Výnosy z prodeje materiálu - prodej čipů</t>
  </si>
  <si>
    <t>Výnosy z prodeje služeb - úplata v MŠ</t>
  </si>
  <si>
    <t xml:space="preserve">Ostatní služby </t>
  </si>
  <si>
    <t>Spotřeba materiálu - čistící prostředky</t>
  </si>
  <si>
    <t>Spotřeba materiálu - ostatní</t>
  </si>
  <si>
    <t>Zákonné sociální náklady</t>
  </si>
  <si>
    <t>Zákonné sociální pojištění</t>
  </si>
  <si>
    <t>Schváleno RMP usnesením č. 9586 - Opravy a udržování</t>
  </si>
  <si>
    <t>4.7.2019</t>
  </si>
  <si>
    <t>Schváleno RMP usnesením č. 9586 - Výnosy míst. vl. instit.</t>
  </si>
  <si>
    <t>Schváleno ved. OŠKS - Spotřeba energie</t>
  </si>
  <si>
    <t>18.11.2019</t>
  </si>
  <si>
    <t>Schváleno ved. OŠKS - Opravy a udržování</t>
  </si>
  <si>
    <t>Schváleno RMP usnesením č. 91161- Spotřeba energie</t>
  </si>
  <si>
    <t>10.12.2019</t>
  </si>
  <si>
    <t>Schváleno RMP usnesením č. 91161- Mzdové náklady</t>
  </si>
  <si>
    <t>30.12.2019</t>
  </si>
  <si>
    <t>Schváleno ved. OŠKS - Náklady z DDHM</t>
  </si>
  <si>
    <t>31.12.2019</t>
  </si>
  <si>
    <t>Použití fondů</t>
  </si>
  <si>
    <t>Mzdové náklady - fond odměn</t>
  </si>
  <si>
    <t>Výnosy z prodeje služeb</t>
  </si>
  <si>
    <t>Ostatní služby</t>
  </si>
  <si>
    <t>Náklady z DDHM</t>
  </si>
  <si>
    <t>Spotřeba materiálu - OEHM</t>
  </si>
  <si>
    <t>Spotřeba materiál - prádlo pro děti</t>
  </si>
  <si>
    <t>Opravy a udržování</t>
  </si>
  <si>
    <t xml:space="preserve">Z kontrolního dne za 1. pololetí 2019 nevyplynulo žádné opatření. </t>
  </si>
  <si>
    <t>9. Ostatní závěry, které vyplynuly z jednání kontrolního dne k výsledkům hospodaření za rok 2019</t>
  </si>
  <si>
    <t>Účastníci kontrolního dne, vzhledem k provedené analýze výsledku hospodaření, souhlasí s navrženým rozdělením zlepšeného hospodářského výsledku za rok 2019 v hlavní činnosti ve výši 55.893,84 Kč - doporučují ponechat organizaci pro příděl do peněžních fondů organizace dle zákona č. 250/2000 Sb., o rozpočtových pravidlech územních rozpočtů, ve znění pozdějších předpisů, na základě předložených požadavků a potřeb organizace. Do rezervního fondu je navrženo převést částku 45.893,84 Kč a do fondu odměn částku 10.000 Kč.</t>
  </si>
  <si>
    <t>V Prostějově dne 10. března 2020</t>
  </si>
  <si>
    <t>Mateřská škola Prostějov, Moravská ul.30, příspěvková organizace  IČO 70982945</t>
  </si>
  <si>
    <t>Mateřská škola Prostějov, Partyzánská ul. 34</t>
  </si>
  <si>
    <t>Základní škola a mateřská škola Prostějov, Melantrichova ul. 60</t>
  </si>
  <si>
    <t>Základní škola Prostějov, ul. E. Valenty 52, 796 03 Prostějov, IČ: 47922303</t>
  </si>
  <si>
    <t>Mzdy - OON</t>
  </si>
  <si>
    <t>Jsou vypláceny odměny z DČ - žádný prac. poměr</t>
  </si>
  <si>
    <t>Základní škola a mateřská škola Prostějov, Palackého tř. 14</t>
  </si>
  <si>
    <t>Základní škola a mateřská škola Prostějov, Kollárova ul. 4</t>
  </si>
  <si>
    <t>Příspěvková organizace: Základní škola a mateřská škola Prostějov, Kollárova ul. 4</t>
  </si>
  <si>
    <t>Kladný výsledek hospodaření ve výši 69 627,03 Kč ovlivnila ve srovnání s rokem 2018 nízká výše odvodu za neplnění povinného podílu osob se zdravotním postižením na celkovém počtu zaměstnanců zaměstnanvatele, který v předchozím období vedl ke ztrátě hospodaření v hlavní činnosti. Organizace navrhuje přidělit HV do rezervního fondu s následným převodem do investičního fondu.</t>
  </si>
  <si>
    <t>Výsledku hospodaření v uvedené výši organizace dosáhla především pronájmem tělocvičny a služebního bytu. Organizace navrhuje hospodářský výsledek z doplňkové činnosti v plné výši 62 227,93 Kč použít na posílení rezervního fondu.</t>
  </si>
  <si>
    <t>Finanční krytí na BÚ - předpokládá se pouze užití fondu z ostatních titulů, a to čerpání daru na podporu rozvoje mládežnického sportu, nového daru na stravování sociálně slabých žáků a nespotřebováné části dotace projektu II. U RF ze ZVH organizace v roce 2020 plánuje režim šetření.</t>
  </si>
  <si>
    <t>Finanční krytí na BÚ - vzhledem k nízkému zůstatku organizace v roce 2020 plánuje pouze případné dofinancování investičního příspěvku poskytnutého zřizovatelem (na vybudování kabinetu logopedie v MŠ).</t>
  </si>
  <si>
    <t>Finanční krytí na BÚ - použití na úhradu odměn.</t>
  </si>
  <si>
    <t>Rozdíl mezi účty 412 a 243 je způsoben časovým nesouladem mezi převodem základního přídělu z hrubých mezd za 12/2019, vyplacením odměn z FKSP k výročím, vyplaceným příspěvkem z FKSP na penzijní připojištění a srážkou bankovního poplatku. Použití: zvýšený příspěvek na stravování zaměstnanců, rekreace, sportovní a kulturní akce, finanční dary, penzijní připojištění, zájmové vzdělávání.</t>
  </si>
  <si>
    <t>Organizace neeviduje pohledávky po lhůtě splatnosti.</t>
  </si>
  <si>
    <t>Organizace neeviduje závazky po lhůtě splatnosti.</t>
  </si>
  <si>
    <r>
      <t xml:space="preserve">dar na stravu žáků od společnosti WOMEN </t>
    </r>
    <r>
      <rPr>
        <sz val="8"/>
        <rFont val="Calibri"/>
        <family val="2"/>
        <charset val="238"/>
      </rPr>
      <t>&amp;</t>
    </r>
    <r>
      <rPr>
        <sz val="9.6"/>
        <rFont val="Times New Roman"/>
        <family val="1"/>
        <charset val="238"/>
      </rPr>
      <t xml:space="preserve"> </t>
    </r>
    <r>
      <rPr>
        <sz val="8"/>
        <rFont val="Times New Roman"/>
        <family val="1"/>
        <charset val="238"/>
      </rPr>
      <t>WOMEN, vyúčtování - vratky ve výši 3 465,-- Kč</t>
    </r>
  </si>
  <si>
    <t>dar na sociální účely - na podporu rozvoje mládežnického sportu od společnosti TextilEco, předpoklad využití v I. Q roku 2020</t>
  </si>
  <si>
    <t>Částka ± úpravy výnosů v Kč</t>
  </si>
  <si>
    <t>Částka ± úpravy nákladů v Kč</t>
  </si>
  <si>
    <t>Zvýšení nákladů - zvýšení úvazku zam.prádelny</t>
  </si>
  <si>
    <t>521/0300</t>
  </si>
  <si>
    <t>02.04.2019 / usn. č. 9294</t>
  </si>
  <si>
    <t>Zvýšení nákladů na SP - % podíl k 521</t>
  </si>
  <si>
    <t>524/0300</t>
  </si>
  <si>
    <t>Zvýšení nákladů na ZP - % podíl k 521</t>
  </si>
  <si>
    <t>524/0310</t>
  </si>
  <si>
    <t>Zvýšení nákladů na úraz.poj. - % podíl k 521</t>
  </si>
  <si>
    <t>525/0300</t>
  </si>
  <si>
    <t>02.04.2019 / usn. č . 9294</t>
  </si>
  <si>
    <t>Zvýšení nákladů na úraz.poj. - dopl.zam.z ÚP</t>
  </si>
  <si>
    <t>525/0301</t>
  </si>
  <si>
    <t>Zvýšení nákladů na příděl do FKSP - % podíl k 521</t>
  </si>
  <si>
    <t>527/0300</t>
  </si>
  <si>
    <t>527/0330</t>
  </si>
  <si>
    <t>Zvýšení výnosů -  za poskytování sl.praní prádla</t>
  </si>
  <si>
    <t>602/0390</t>
  </si>
  <si>
    <t>02.04.2019 / usn. č.9294</t>
  </si>
  <si>
    <t>Zvýšení nákladů - uč.pom.uč.,ve FP podhodnoceno</t>
  </si>
  <si>
    <t>501/0340</t>
  </si>
  <si>
    <t>Zvýšení nákladů - léky a zdr.mat., zdražení léčiv</t>
  </si>
  <si>
    <t>501/0410</t>
  </si>
  <si>
    <t>Zvýšení nákladů - internet, zaveden vysokorychl.</t>
  </si>
  <si>
    <t>518/0310</t>
  </si>
  <si>
    <t>Zvýšení nákladů - registr.popl.Stř.ek.výchovy</t>
  </si>
  <si>
    <t>518/0330</t>
  </si>
  <si>
    <t>Zvýšení nákladů - mobilní telefony</t>
  </si>
  <si>
    <t>518/0411</t>
  </si>
  <si>
    <t>Zvýšení nákladů - doprava, rozvoz prádla</t>
  </si>
  <si>
    <t>518/0500</t>
  </si>
  <si>
    <t>Zvýšení nákladů - servis tiskáren (nový AÚ)</t>
  </si>
  <si>
    <t>518/0510</t>
  </si>
  <si>
    <t>Zvýšení nákladů - nákl.na stravování soc.sl.žáků</t>
  </si>
  <si>
    <t>518/0540</t>
  </si>
  <si>
    <t>Zvýšení nákladů - TZ, vzduchotech.ŠJ,nouz.osv.H.</t>
  </si>
  <si>
    <t>549/0310</t>
  </si>
  <si>
    <t>Snížení nákladů - prací a čistící pr., úspor.opatř.</t>
  </si>
  <si>
    <t>501/0391</t>
  </si>
  <si>
    <t>Snížení nákladů - OEM 902, úspora v pol.</t>
  </si>
  <si>
    <t>501/0430</t>
  </si>
  <si>
    <t>Snížení nákladů - telefony (pevné linky)</t>
  </si>
  <si>
    <t>518/0410</t>
  </si>
  <si>
    <t>Snížení nákladů - objekt Husovo, ve FP nadhod.</t>
  </si>
  <si>
    <t>518/0441</t>
  </si>
  <si>
    <t>Snížení nákladů - OEM 901, nákup real.z projektu</t>
  </si>
  <si>
    <t>518/0470</t>
  </si>
  <si>
    <t>Snížení nákladů - DDHM, úspora v pol.</t>
  </si>
  <si>
    <t>558/0300</t>
  </si>
  <si>
    <t>Zvýšení výnosů - RF z ost.tit., fin.dar na str.žáků</t>
  </si>
  <si>
    <t>648/0300</t>
  </si>
  <si>
    <t>Zvýšení výnosů - nákup kávovaru z FKSP</t>
  </si>
  <si>
    <t>648/0700</t>
  </si>
  <si>
    <t>Zvýšení výnosů - za opis vysvědčení, ztráty žák.kn.</t>
  </si>
  <si>
    <t>649/0330</t>
  </si>
  <si>
    <t>Zvýšení výnosů - navýš.neinv.příspěvku-dveře a okna</t>
  </si>
  <si>
    <t>672/0500</t>
  </si>
  <si>
    <t>16.04.2019/usn.č. 9355</t>
  </si>
  <si>
    <t>Zvýšení nákladů - výměna dveří a oken v TV</t>
  </si>
  <si>
    <t>511/0310</t>
  </si>
  <si>
    <t>Zvýšení výnosů - navýš.neinv.příspěvku-pomůcky I.tř.</t>
  </si>
  <si>
    <t>672/0530</t>
  </si>
  <si>
    <t>27.05.2019/usn.č.9501</t>
  </si>
  <si>
    <t>Zvýšení nákladů - nákup pomůcek pro žáky I.tříd</t>
  </si>
  <si>
    <t>501/0345</t>
  </si>
  <si>
    <t>Zvýšení výnosů - navýš.neinv.příspěvku-rek.kuchyně</t>
  </si>
  <si>
    <t>30.07.2019/usn.č. 9676</t>
  </si>
  <si>
    <t>Zvýšení nákladů - pořízení kuchyńky do MŠ</t>
  </si>
  <si>
    <t>501/0490</t>
  </si>
  <si>
    <t>Zvýšení výnosů - na odpisy majetku</t>
  </si>
  <si>
    <t>Zvýšení nákladů - na odpisy majetku</t>
  </si>
  <si>
    <t>551/0310</t>
  </si>
  <si>
    <t>551/0300</t>
  </si>
  <si>
    <t>Snížení nákladů - úspora u nákupů ochr.pom.</t>
  </si>
  <si>
    <t>501/0400</t>
  </si>
  <si>
    <t>Zvýšení výnosů - z IF na výměnu koberce v MŠ</t>
  </si>
  <si>
    <t>648/0800</t>
  </si>
  <si>
    <t>Zvýšení nákladů - výměna koberce v MŠ</t>
  </si>
  <si>
    <t>511/0300</t>
  </si>
  <si>
    <t>Zvýšení výnosů - schválená odměna z FO</t>
  </si>
  <si>
    <t>648/0600</t>
  </si>
  <si>
    <t>Zvýšení nákladů - výplata odměny z FO</t>
  </si>
  <si>
    <t>Zvýšení výnosů - výměna oken v atriu a části příz.ZŠ</t>
  </si>
  <si>
    <t>25.06.2019/usn.č. 9586</t>
  </si>
  <si>
    <t>Zvýšení nákladů - výměna oken v atriu a části př.ZŠ</t>
  </si>
  <si>
    <t>Zvýšení výnosů - neinv.př.na náklady na plavání žáků</t>
  </si>
  <si>
    <t>22.10.2019/usn.č. 9965</t>
  </si>
  <si>
    <t>Zvýšení nákladů - na pronájem bazénu na plavání ž.</t>
  </si>
  <si>
    <t>518/0340</t>
  </si>
  <si>
    <t>Zvýšení nákladů na ZP - % podíl k 521, zam.ÚP</t>
  </si>
  <si>
    <t>10.12.2019/usn.č. 91150</t>
  </si>
  <si>
    <t>Zvýšení nákladů na SP - % podíl k 521, zam.ÚP</t>
  </si>
  <si>
    <t>Zvýšení nákladů na úraz.poj.zam. - % podíl k 521, zam.ÚP</t>
  </si>
  <si>
    <t>Zvýšení nákladů na odvod do FKSP - % podíl k 521, zam.ÚP</t>
  </si>
  <si>
    <t>Snížení nákladů - úspora u nákupu tonerů</t>
  </si>
  <si>
    <t>501/0320</t>
  </si>
  <si>
    <t>Snížení nákladů - úspora u spotřeby zemního plynu</t>
  </si>
  <si>
    <t>502/0310</t>
  </si>
  <si>
    <t>Snížení nákladů - úspora u spotřeby elektrické energie</t>
  </si>
  <si>
    <t>502/0320</t>
  </si>
  <si>
    <t>Zvýšení nákladů na spotřebu - vodné, stočné, srážky</t>
  </si>
  <si>
    <t>502/0300</t>
  </si>
  <si>
    <t>Zvýšení nákladů - opravy vlhkého zdiva ZŠ i v MŠ</t>
  </si>
  <si>
    <t>Zvýšení nákladů - na stravu sociálně slabých žáků</t>
  </si>
  <si>
    <t>Zvýšení výnosů - RF ze ZVH, odvody k odměně z FO</t>
  </si>
  <si>
    <t>648/0350</t>
  </si>
  <si>
    <t>Zvýšení nákladů - SP k odměně z FO</t>
  </si>
  <si>
    <t>524/0305</t>
  </si>
  <si>
    <t>Zvýšení nákladů - ZP k odměně z FO</t>
  </si>
  <si>
    <t>524/0315</t>
  </si>
  <si>
    <t>Zvýšení nákladů - kancelářské potřeby, zásoba v rámci náhradního plnění</t>
  </si>
  <si>
    <t>501/0310</t>
  </si>
  <si>
    <t>Snížení nákladů - úspora v položce tonery, zásoby z 2018</t>
  </si>
  <si>
    <t>Zvýšení nákladů - učební pomůcky pro vyučující</t>
  </si>
  <si>
    <t>Zvýšení nákladů - učební pomůcky žákům</t>
  </si>
  <si>
    <t>501/0341</t>
  </si>
  <si>
    <t>Zvýšení nákladů - hračky a spotřební mat. MŠ</t>
  </si>
  <si>
    <t>501/0350</t>
  </si>
  <si>
    <t>Zvýšení nákladů - hračky a spotřební mat. ŠD</t>
  </si>
  <si>
    <t>501/0360</t>
  </si>
  <si>
    <t>Zvýšení nákladů - spotřební mat. ŠJ, nákup židlí</t>
  </si>
  <si>
    <t>501/0370</t>
  </si>
  <si>
    <t>Zvýšení nákladů - čistící prostředky, zásoba v rámci náhr.plnění</t>
  </si>
  <si>
    <t>501/0390</t>
  </si>
  <si>
    <t>Zvýšení nákladů - prací prostředky, zásoba v rámci náhr.plnění</t>
  </si>
  <si>
    <t>Snížení nákladů - úspora v položce ochr.pomůcek</t>
  </si>
  <si>
    <t>Snížení nákladů - úspora v položce tiskopisy a časopisy</t>
  </si>
  <si>
    <t>501/0420</t>
  </si>
  <si>
    <t>Snížení nákladů - úspora v položce OEM</t>
  </si>
  <si>
    <t>Zvýšení nákladů - PHM, více sečení trávy</t>
  </si>
  <si>
    <t>501/0440</t>
  </si>
  <si>
    <t>Snížení nákladů - úspora v mat.na opravu vnitř.prostor</t>
  </si>
  <si>
    <t>501/0460</t>
  </si>
  <si>
    <t>Snížení nákladů - úspora v mat.na opravu venkovních prostor</t>
  </si>
  <si>
    <t>501/0470</t>
  </si>
  <si>
    <t>Snížení nákladů - úspora u jinde nezař.mat.</t>
  </si>
  <si>
    <t>Zvýšení nákladů - více oprav nem.maj.do 100tis.</t>
  </si>
  <si>
    <t>Snížení nákladů - úspora u oprav nad.100tisíc, více oprav do 100tis.</t>
  </si>
  <si>
    <t>Snížení nákladů - méně oprav u mov.majetku</t>
  </si>
  <si>
    <t>511/0320</t>
  </si>
  <si>
    <t>Snížení nákladů - méně drobných oprav</t>
  </si>
  <si>
    <t>511/0350</t>
  </si>
  <si>
    <t>Zvýšení nákladů - zvýšení zaseb cestovních náhrad</t>
  </si>
  <si>
    <t>512/0310</t>
  </si>
  <si>
    <t>Snížení nákladů - úspora za občerstvení</t>
  </si>
  <si>
    <t>513/0300</t>
  </si>
  <si>
    <t>Zvýšení nákladů - více korespondence v rámci správních řízení</t>
  </si>
  <si>
    <t>518/0300</t>
  </si>
  <si>
    <t>Zvýšení nákladů - přechod na vysokorychlostní internet</t>
  </si>
  <si>
    <t>Snížení nákladů - úspora za pronájem bazénu, příspěvek od zřizovatele</t>
  </si>
  <si>
    <t>Snížení nákladů - úspora za zpracování agend v porovnání s fin.plánem</t>
  </si>
  <si>
    <t>518/0370</t>
  </si>
  <si>
    <t>Snížení nákladů - úspora za právní služby</t>
  </si>
  <si>
    <t>518/0380</t>
  </si>
  <si>
    <t>Snížení nákladů - školení realizována i v rámci projektů</t>
  </si>
  <si>
    <t>518/0390</t>
  </si>
  <si>
    <t>Zvýšení nákladů - za pevné telefonní linky</t>
  </si>
  <si>
    <t>Snížení nákladů - úspora za mobilní telefony</t>
  </si>
  <si>
    <t>Snížení nákladů - úspora za servisní prohlídky</t>
  </si>
  <si>
    <t>518/0430</t>
  </si>
  <si>
    <t>Snížení nákladů - úspora za servisní prohlídky v budově Husovo nám. 91</t>
  </si>
  <si>
    <t>518/0431</t>
  </si>
  <si>
    <t>Zvýšení nákladů - dodavatelské stěhování v MŠ</t>
  </si>
  <si>
    <t>518/0440</t>
  </si>
  <si>
    <t>Snížení nákladů - úspora i OE nehm.maj.</t>
  </si>
  <si>
    <t>Zvýšení nákladů - na údržbu software a licene</t>
  </si>
  <si>
    <t>518/0480</t>
  </si>
  <si>
    <t>Zvýšení nákladů - za servis PC</t>
  </si>
  <si>
    <t>518/0490</t>
  </si>
  <si>
    <t>Zvýšení nákladů - na rozvoz prádla</t>
  </si>
  <si>
    <t>Zvýšení nákladů - ošetření stromů v MŠ, výměna písku v ZŠ</t>
  </si>
  <si>
    <t>518/0530</t>
  </si>
  <si>
    <t>Snížení nákladů - inzerce v 2019 nevyužita</t>
  </si>
  <si>
    <t>518/0600</t>
  </si>
  <si>
    <t>Zvýšení nákladů - odvod za neplnění podílu ZPS</t>
  </si>
  <si>
    <t>549/0340</t>
  </si>
  <si>
    <t>Zvýšení nákladů - pořízen i majetek namísto OE)</t>
  </si>
  <si>
    <t>Zvýšení výnosů - poplatky za opisy vysvědčení</t>
  </si>
  <si>
    <t>602/0360</t>
  </si>
  <si>
    <t>Zvýšení výnosů - vyšší bankovní úroky</t>
  </si>
  <si>
    <t>662/0300</t>
  </si>
  <si>
    <t>Zvýšení nákladů - zvýšení spotřeby vody ve sl.bytě</t>
  </si>
  <si>
    <t>502/0001</t>
  </si>
  <si>
    <t>Zvýšení nákladů - el. spotř. při používání sauny</t>
  </si>
  <si>
    <t>502/0020</t>
  </si>
  <si>
    <t>Snížení nákladů na opravy - ve FP nadhodnoceno</t>
  </si>
  <si>
    <t>511/0001</t>
  </si>
  <si>
    <t>Zvýšení nákladů - školení ICT, nebylo obs.ve FP</t>
  </si>
  <si>
    <t>518/0090</t>
  </si>
  <si>
    <t>Snížení mzdových nákladů - ve FP nadhodnoceno</t>
  </si>
  <si>
    <t>521/0001</t>
  </si>
  <si>
    <t>Snížení nákladů na SP - % podíl k 521</t>
  </si>
  <si>
    <t>524/0001</t>
  </si>
  <si>
    <t>Snížení nákladů na ZP - % podíl k 521</t>
  </si>
  <si>
    <t>524/0010</t>
  </si>
  <si>
    <t>Snížení nákladů na úraz.poj. - % podíl k 521</t>
  </si>
  <si>
    <t>525/0001</t>
  </si>
  <si>
    <t>Snížení nákladů na příděl do FKSP - % podíl k 521</t>
  </si>
  <si>
    <t>527/0001</t>
  </si>
  <si>
    <t>Zvýšení výnosů - školení ICT</t>
  </si>
  <si>
    <t>602/0040</t>
  </si>
  <si>
    <t>Zvýšení výnosů - poplatek za použití sauny</t>
  </si>
  <si>
    <t>602/0050</t>
  </si>
  <si>
    <t>Zvýšení výnosů - přefakturace elektřiny automat</t>
  </si>
  <si>
    <t>649/0050</t>
  </si>
  <si>
    <t>Zvýšení nákladů - vyšší spotřeba čistících prostředků</t>
  </si>
  <si>
    <t>501/0090</t>
  </si>
  <si>
    <t>Zvýšení nákladů - nákup tácků na školení ICT</t>
  </si>
  <si>
    <t>501/0091</t>
  </si>
  <si>
    <t>Zvýšení nákladů na vodné - spotřeba ve sl.bytě</t>
  </si>
  <si>
    <t>Zvýšení nákladů - na spotřebu plynu</t>
  </si>
  <si>
    <t>502/0010</t>
  </si>
  <si>
    <t>Zvýšení nákladů - na spotřebu el.převážně v sauně</t>
  </si>
  <si>
    <t>Zvýšení nákladů - na opravy nem.maj.do 100tis.</t>
  </si>
  <si>
    <t>Snížení nákladů - opravy nem.maj.nad 100tis.</t>
  </si>
  <si>
    <t>511/0101</t>
  </si>
  <si>
    <t>Zvýšení nákladů - školení ICT, nebylo ve obsaženo</t>
  </si>
  <si>
    <t>Zvýšení nákladů - na povinné úr.poj. % podíl k 521</t>
  </si>
  <si>
    <t xml:space="preserve">Zvýšení nákladů - na odpisy budov </t>
  </si>
  <si>
    <t>551/0010</t>
  </si>
  <si>
    <t>Zvýšení výnosů - poplatek za vodu spotř.ve sl.bytě</t>
  </si>
  <si>
    <t>602/0080</t>
  </si>
  <si>
    <t>Zvýšení výnosů - pronájem místa pro os.autombil</t>
  </si>
  <si>
    <t>603/0003</t>
  </si>
  <si>
    <t>Zvýšení výnosů - pronájem místa na automat</t>
  </si>
  <si>
    <t>603/0050</t>
  </si>
  <si>
    <t>Opatření nebyla uložena.</t>
  </si>
  <si>
    <t>V Prostějově dne 17. 3. 2020</t>
  </si>
  <si>
    <t>Zpracoval(a): L. Pluhařová</t>
  </si>
  <si>
    <t>Základní škola a mateřská škola Jana Železného Prostějov, sídliště Svobody 3578/79</t>
  </si>
  <si>
    <t xml:space="preserve">HV je tvořen minimálním nedočerpání nákladových účtů </t>
  </si>
  <si>
    <t xml:space="preserve">HV je tvořen převážně z pronájmů tělocvičen a učeben. </t>
  </si>
  <si>
    <t>Komentář k plánovanému užití fondu v roce 2019</t>
  </si>
  <si>
    <t>Výsledek hospodaření HČ -57 170,93 Kč účelově vázat na opravu podlahových krytin -pavilon A -2.patro.Využití pro zajištění opravy podlahových krytin.</t>
  </si>
  <si>
    <t>Využití pro nákup techniky pro 2 školní jídelny, popř. pro nákup prolézačky pro mateřskou školu.</t>
  </si>
  <si>
    <t>Výplatu odměn</t>
  </si>
  <si>
    <t>Využití dle směrnice o FKSP.</t>
  </si>
  <si>
    <t>Organizace nemá závazky po lhůtě splatnosti.</t>
  </si>
  <si>
    <t>dar účelově neurčený</t>
  </si>
  <si>
    <t>Navýšení neinvest.příspěvku -účelové UZ 351 Usnesení RMP 9125</t>
  </si>
  <si>
    <t>dobudování PC sítě -pav.C</t>
  </si>
  <si>
    <t>672/0400</t>
  </si>
  <si>
    <t>Usnesení 9125</t>
  </si>
  <si>
    <t>Navýšení neinvest.příspěvku UZ 310 Usnesení RMP č. 9193</t>
  </si>
  <si>
    <t>odpisy budov na základě TZ budovy ZŠ</t>
  </si>
  <si>
    <t>Usnesení č.9193</t>
  </si>
  <si>
    <t>Navýšení neinvest.příspěvku UZ 353 Usnesení RMP č. 9193</t>
  </si>
  <si>
    <t>na generální opravu umývárny-sprchy,pav.D</t>
  </si>
  <si>
    <t>Usnesení č.9194</t>
  </si>
  <si>
    <t>Navýšení neinvest.příspěvku UZ 354 Usnesení RMP č. 9250</t>
  </si>
  <si>
    <t>na opravu únikových požárních dveří</t>
  </si>
  <si>
    <t>Usnesení č. 9250</t>
  </si>
  <si>
    <t>Navýšení neinvest.příspěvku UZ 357 Usnesení RMP č. 9355</t>
  </si>
  <si>
    <t>na opravu podlahové krytiny výměnou ,pav.C I.patro</t>
  </si>
  <si>
    <t>Usnesení č. 9355</t>
  </si>
  <si>
    <t>Použití RF na opravu linolea -výměnou,přízemí pavl C</t>
  </si>
  <si>
    <t>648/0310</t>
  </si>
  <si>
    <t>Navýšení neinv.příspěvku Usnesení č. 9409</t>
  </si>
  <si>
    <t>501/0700</t>
  </si>
  <si>
    <t>projekt Zdravé město UZ 371</t>
  </si>
  <si>
    <t>513/0700</t>
  </si>
  <si>
    <t>Usnesení č. 9409</t>
  </si>
  <si>
    <t>Navýšení neinv.příspěvku UZ 377</t>
  </si>
  <si>
    <t>501/0333</t>
  </si>
  <si>
    <t>pomůcky pro žáky 1.tříd</t>
  </si>
  <si>
    <t>Usnesení č. 9501</t>
  </si>
  <si>
    <t>Navýšení neinvest.příspěvku UZ 391</t>
  </si>
  <si>
    <t>Nábytek pro2třídy ZŠ,opravy v budově Jesle</t>
  </si>
  <si>
    <t>Usnesení č. 9585</t>
  </si>
  <si>
    <t>Úprava FP -úspora Otop,TUV</t>
  </si>
  <si>
    <t>502/0330</t>
  </si>
  <si>
    <t>posílení Oprav-oprava toalet,oprava pískovišť</t>
  </si>
  <si>
    <t>nákup notebooku pro nové ped.pracovníky</t>
  </si>
  <si>
    <t>Čerpání fondu odměn</t>
  </si>
  <si>
    <t>648/610</t>
  </si>
  <si>
    <t>Použití  RF sponzorský dar</t>
  </si>
  <si>
    <t>Použití FKSP pro nákup DDHM</t>
  </si>
  <si>
    <t>648/0710</t>
  </si>
  <si>
    <t>Úprava FP , Zúčtování fondů , na základě doporučení auditora</t>
  </si>
  <si>
    <t>548/0300</t>
  </si>
  <si>
    <t>oprava doúčtování ZC DHM z roku 2015</t>
  </si>
  <si>
    <t>501/0431</t>
  </si>
  <si>
    <t>558/0305</t>
  </si>
  <si>
    <t>Použití  RF sponzorský dar Škoda auto ŠD</t>
  </si>
  <si>
    <t>Použití  RF sponzorský dar VK Prostějov</t>
  </si>
  <si>
    <t>Použití  RF sponzorský dar MŠ</t>
  </si>
  <si>
    <t>06..2019</t>
  </si>
  <si>
    <t>Použití  FKSP - nákup prac.obuvi</t>
  </si>
  <si>
    <t>Účelové navýšení neinv.příspěvku UZ 702</t>
  </si>
  <si>
    <t>Usnesení RMP 9965 ze dne 22.10.2019</t>
  </si>
  <si>
    <t>Usnesení č.9965</t>
  </si>
  <si>
    <t xml:space="preserve">Usnesení RMP </t>
  </si>
  <si>
    <t>úprava FP -úspora energií</t>
  </si>
  <si>
    <t>Vlastní prostředky</t>
  </si>
  <si>
    <t>Usnesení č. 91056</t>
  </si>
  <si>
    <t>Sponzorský dar účelově neurčený</t>
  </si>
  <si>
    <t>Textileco</t>
  </si>
  <si>
    <t>Uprava FP -úspora energií - využití finančních prostředků</t>
  </si>
  <si>
    <t>na opravu vstupního docházkového systému,opravu střešních</t>
  </si>
  <si>
    <t>svodů, nákup šatních skříněk pro TV</t>
  </si>
  <si>
    <t>Vyšší výnosy za docházku MŠ-použití pro zajištění učebních pomůcek</t>
  </si>
  <si>
    <t>602/0310</t>
  </si>
  <si>
    <t>pro potřeby MŠ</t>
  </si>
  <si>
    <t>501/0351</t>
  </si>
  <si>
    <t>Vyšší výnosy za docházku ŠD-naplněnost /změny ceny</t>
  </si>
  <si>
    <t>602/0320</t>
  </si>
  <si>
    <t>Převod fin.prostředků mezi účty majetku dle pořizovací ceny.</t>
  </si>
  <si>
    <t>Dle predikce Energy brokeru úspora elektrické energie</t>
  </si>
  <si>
    <t>Využití na nákup učebnic</t>
  </si>
  <si>
    <t>Usnesení RMP č.91159</t>
  </si>
  <si>
    <t>úprava UZ 303</t>
  </si>
  <si>
    <t>Usnesení č.91159</t>
  </si>
  <si>
    <t xml:space="preserve">Použití přijatého sponzorského daru </t>
  </si>
  <si>
    <t>Tenis klub Prostějov</t>
  </si>
  <si>
    <t xml:space="preserve">Na základě rozšíření kapacity telefonní ústředny a vstupního </t>
  </si>
  <si>
    <t>docházkového systému bylo provedeno TZ budovy (2různé akce)</t>
  </si>
  <si>
    <t>Úprava čerpání spotřeby potravin účet 501,</t>
  </si>
  <si>
    <t>je plně kryt výnosy účet 602</t>
  </si>
  <si>
    <t>Celkem úpravy finančního plánu v Kč</t>
  </si>
  <si>
    <t>Předchozí kontrolní den neuložil žádné opatření.</t>
  </si>
  <si>
    <t>Účastníci KD projednali použití Fondu investic pro vybavení provozu 2 školních jídelen. Použití Rezervního fondu - akce nezajištěné rozpočtem zřizovatele- výměna podlahové krytiny pav. A 2.patro.</t>
  </si>
  <si>
    <t>V Prostějově dne 16. 3. 2020</t>
  </si>
  <si>
    <t>Zapsala: Tesaříková</t>
  </si>
  <si>
    <t>Mgr. Dalibor Ovečka</t>
  </si>
  <si>
    <t>ředitel školy</t>
  </si>
  <si>
    <t>Základní škola Prostějov, ul. Vl. Majakovského 1</t>
  </si>
  <si>
    <t xml:space="preserve">Největších úspor jsme dosáhli na nákladových účtech 501, 502, 511 a  518. Na spotřebě materiálu (501) to bylo 11.511,82 Kč, na spotřebe energií (502) to bylo 51.104,59 Kč, na opravách a údržbě (511) 65.740,70 Kč a na službách (518) úspora činila 35.567,68 Kč. Drobné úspory byly i na cestovném (243,- Kč), v nákladech na reprezentaci (390,- Kč) a na pořízení DDHM (304,51 Kč). Úspory na nákladových účtech závazných ukazatelů (521, 524 a 527) dělají 3.609,- Kč. Za zničené učebnice se od žáků vybralo 3.869,- Kč, připsané úroky činily 244,93 Kč, ale o 4.130,- Kč byl nižší výnos za poplatky za školní družinu. Koncem roku jsme měli problémy v terminálovém řešení v počítačové učebně, pozastavili jsme některé opravy a nákupy, abychom mohli pořídit první část nových PC. Rádi bychom pokračovali v roce 2020, proto navrhujeme veškeré úspory (mimo závazných ukazatelů) k převodu do rezervního fondu. Z tohoto důvodu máme v roce 2019 vyšší výsledek hospodaření než v roce 2018. </t>
  </si>
  <si>
    <t>Komentář k výsledku hospodaření v doplňkové činnosti celkem: plánovaný výsledek hospodaření 14.210,- Kč jsme díky vyšším tržbám překročili. Ovšem proti loňskému roku je zisk menší, protože máme novou kalkulaci a ta zapojila do nákladů nejen materiál a energie, ale i mzdy, služby, opravy a hlavně odpisy.</t>
  </si>
  <si>
    <t>Navržené finanční prostředky k přídělu do fondu bychom rádi využili na dovybavení nábytkem a obměnu výpočetní techniky.</t>
  </si>
  <si>
    <t>Neplánujeme využití v roce 2020.</t>
  </si>
  <si>
    <t>Byl by použit v případě zřizovatelem navržené odměny pro ředitelku školy za podíl na zlepšeném hospodářském výsledku v doplňkové činnosti.</t>
  </si>
  <si>
    <t>V roce 2020 nepředpokládáme žádné změny, zdroje i čerpání by měly být v obdobné výši jako v roce 2019.</t>
  </si>
  <si>
    <t>Neevidujeme pohledávky po lhůtě splatnosti.</t>
  </si>
  <si>
    <t>Nenevidujeme závazky po lhůtě splatnosti.</t>
  </si>
  <si>
    <t>V roce 2019 jsme nepřijali žádný věcný ani finanční dar.</t>
  </si>
  <si>
    <t>účelové navýšení neinvestičního příspěvku - pomůcky pro žáky 1. tříd, ÚZ 379</t>
  </si>
  <si>
    <t>odměna za 1. místo ve sběru papíru</t>
  </si>
  <si>
    <t>čerpání rezervního fondu na pořízení nábytku</t>
  </si>
  <si>
    <t>přiznaná mimoř. odměna pro ředitelku školy z fondu odměn</t>
  </si>
  <si>
    <t>zákonné odvody k vyplacené odměně</t>
  </si>
  <si>
    <t>účelové navýšení neinv. příspěvku - sanace vlhkého zdiva v budově ŠD, ÚZ 359</t>
  </si>
  <si>
    <t>účelové navýšení neinv. příspěvku - výměna svítidel ve třídách, ÚZ 388</t>
  </si>
  <si>
    <t>účelové navýšení neinv. příspěvku - náklady spojené s plaváním žáků, ÚZ 704</t>
  </si>
  <si>
    <t>schválená úprava fin. plánu, úspora energií</t>
  </si>
  <si>
    <t>nákup počítačů z úspory energií</t>
  </si>
  <si>
    <t>úprava finančního plánu, úspora v opravách a údržbě</t>
  </si>
  <si>
    <t>nákup počítačů z úspory v opravách a údržbě</t>
  </si>
  <si>
    <t>Celkem úpravy finančního plánu v Kč v hlavní činnosti</t>
  </si>
  <si>
    <t>čistící, dezinfekční a hygienické potřeby a přípravky</t>
  </si>
  <si>
    <t>spotřeba energií</t>
  </si>
  <si>
    <t>opravy stavební a opravy strojní</t>
  </si>
  <si>
    <t>odvoz a likvidace odpadu</t>
  </si>
  <si>
    <t>sociální pojištění</t>
  </si>
  <si>
    <t>Celkem úpravy finančního plánu v Kč v doplňkové činnosti</t>
  </si>
  <si>
    <t>Na kontroloním dni k výsledkům hospodaření za 1. pololetí roku 2019 nevyplynula naší organizaci žádná opatření.</t>
  </si>
  <si>
    <t>Organizace na základě schválených usnesení č. 9412 Rady města Prostějova ze dne 14.5.2019 a Zastupitelstva města Prostějova ze dne 11.6.2019 usnesením č. 19123 přidělila trvalým peněžním fondům schválený zlepšený výsledek hospodaření roku 2018. Do fondu rezervního byl proveden příděl ve výši 83.666,82 Kč.</t>
  </si>
  <si>
    <t>Schválenou částku ve výši 16.972,- Kč odvedla organizace z fondu investic, po předchozím převodu z rezervního fondu, na účet zřizovatele dne 8.7.2019.</t>
  </si>
  <si>
    <t>1. Účastníci kontrolního dne,vzhledem k provedené analýze výsledku hospodaření, doporučují ponechat organizaci celý výsledek hospodaření v doplňkové činnosti ve výši 19.237,- Kč a část výsledku hospodaření v hlavní činnosti ve výši 165.043,23 Kč pro příděl do peněžních fondů organizace dle zákona č. 250/2000 Sb., o rozpočtových pravidlech územních rozpočtů, ve znění pozdějších předpisů a na základě předložených požadavků a potřeb organizace. Do rezervního fondu je navrženo převést celou částku 19.237,- Kč z DČ a 165.043,23 Kč z HČ, t.j. celkem 184.280,23 Kč.</t>
  </si>
  <si>
    <t>2. Účastníci kontrolního dne, vzhledem k provedené analýze výsledku hospodaření, doporučují odvést část výsledku hospodaření v hlavní činnosti ve výši 3.609,- Kč na účet zřizovatele v rámci finančního vypořádání roku 2019.</t>
  </si>
  <si>
    <t>3. Příděl fondům a odvod na účet zřizovatele provede organizace na základě vyrozumění Odboru školství, kultury a sportu MMPv.</t>
  </si>
  <si>
    <t>V Prostějově dne 18. 3. 2020</t>
  </si>
  <si>
    <t>Zpracovala: D. Kolínská</t>
  </si>
  <si>
    <t>Schválila:</t>
  </si>
  <si>
    <t>Základní škola Prostějov, ul. Dr. Horáka 24</t>
  </si>
  <si>
    <t>Hlavní činnost - Vztah ke zřizovateli</t>
  </si>
  <si>
    <t>Hlavní činnost - Vztah k Ol. kraji, popř. SR ČR, EU apod.</t>
  </si>
  <si>
    <t>Reálné gymnázium a základní škola města Prostějova, Studentská ul. 2</t>
  </si>
  <si>
    <t>Základní umělecká škola Vladimíra Ambrose</t>
  </si>
  <si>
    <t>Městské divadlo v Prostějově, příspěvková organizace</t>
  </si>
  <si>
    <t>Analytický účet</t>
  </si>
  <si>
    <t>Datum schválení úpravy /č.usn. RMP</t>
  </si>
  <si>
    <t>Datum provedení úpravy</t>
  </si>
  <si>
    <t>Jesle sídliště Svobody v Prostějově, příspěvková organizace, IČO 47920360</t>
  </si>
  <si>
    <t>Výsledek hospodaření v hlavní činnosti je tvořen převážně vyššími výnosy z prodeje služeb -  29.228,00 Kč       ( zvýšení platby za provozní příspěvek), a dále  úsporou v některých nákladových položkách - úspora spotřeba energie (nižší náklady na TUV - 10.414,00 Kč), služby ostatní  - 16.198,00 Kč ( nízké bankovní poplatky, nižší náklady na stravné dětí, úspora v pol.likvidace nebezpečného odpadu, služby spojené s odesíláním statistických dat).</t>
  </si>
  <si>
    <t>Oprava sušárny .</t>
  </si>
  <si>
    <t>Použití pro motivaci zaměstnanců.</t>
  </si>
  <si>
    <t>Použití pro ozdravný program,kulturní program a příspěvek na stravu zaměstnanců.</t>
  </si>
  <si>
    <t>Organizace v roce 2019 nepřijala žádné dary.</t>
  </si>
  <si>
    <t>Navýšení příspěvku na provoz - nař.vlády č.263/2018 Sb.</t>
  </si>
  <si>
    <t xml:space="preserve">Navýšení pol.mzdové náklady - "        "           "       "           </t>
  </si>
  <si>
    <t>Navýšení pol.zákonné soc. poj. a jiné soc.poj. - viz.nařízení vlády č.263/2019 Sb.</t>
  </si>
  <si>
    <t>Navýšení pol.zákonné a jiné sociální náklady - viz.nař.vl. 263/2019 Sb.</t>
  </si>
  <si>
    <t xml:space="preserve">Ponížení pol.služby ostatní - předpokládaná úspora licence software a ostatní </t>
  </si>
  <si>
    <t>Posílení pol. opravy mov.majetku</t>
  </si>
  <si>
    <t xml:space="preserve">Posílení pol.- výnosy z činnosti - navýšení poplatku za ošetřovné </t>
  </si>
  <si>
    <t>Posílení pol. spotřeba materiálu-  nákup OEM</t>
  </si>
  <si>
    <t>Posílení pol. náklady DDHM - výměna skříněk v přípravně stravy</t>
  </si>
  <si>
    <t>Ponížení pol. spotřeba energie - předpokládaná úspora nákladů na TUV</t>
  </si>
  <si>
    <t>Posílení položky náklady DDHM - nákup nové pračky</t>
  </si>
  <si>
    <t>Posílení položky spotřeba materiálu - nákup hraček a vybavení v přípravně stravy.</t>
  </si>
  <si>
    <t>Navýšení položky výnosy z činnosti - vyšší platba za ošetřovné</t>
  </si>
  <si>
    <t>Posílení položky spotřeba materiálu - nákup hraček .</t>
  </si>
  <si>
    <t>Posílení položky opravy - oprava splachovače WC</t>
  </si>
  <si>
    <t>Ponížení položky fond reprezentace - úspora</t>
  </si>
  <si>
    <t>Posílení položky cestovní náhrady - porada ředitelů</t>
  </si>
  <si>
    <t>Posílení položky výnosy z prodeje služeb - vyšší ošetřovné</t>
  </si>
  <si>
    <t>Posílení položky spotřeba materiálu - nákup materiálu na vnitřní opravy</t>
  </si>
  <si>
    <t>Ponížení položky zákonné a jiné soc.poj. - úspora ,zákonná úprava odvodů</t>
  </si>
  <si>
    <t>Posílení položky zákonné a sociální náklady - nákup OOPP</t>
  </si>
  <si>
    <t>Organizaci nebylo na kontrolním dni k výsledkům  hospodaření za I.pololetí roku 2019  uloženo žádné opatření.</t>
  </si>
  <si>
    <t>Účastníci kontrolního dne,vzhledem k provedené analýze výsledku hospodaření, doporučují ponechat organizaci celý výsledek hospodaření ve výši 56.170,41 Kč pro příděl do peněžních fondů organizace dle zákona č. 250/2000 Sb., o rozpičtových pravidlech územních rozpočtů, ve znění pozdějších předpisů, na základě předložených požadavků a potřeb organizace. Do rezervního fondu je navrženo převést částku 26.170,41 Kč a do fondu odměn částku 30.000,00 Kč. Příděl do fondů provede organizace na základě písemného  vyrozumění odboru sociálních věcí MMPv.</t>
  </si>
  <si>
    <t>V Prostějově dne 16.3.2020</t>
  </si>
  <si>
    <t>zpracovala vedoucí sestra jeslí: M.Bittnerová v.r.</t>
  </si>
  <si>
    <t>KINO METRO 70 Prostějov, příspěvková organizace, Školní 3694/1, 79601 Prostějov, IČ: 05592178</t>
  </si>
  <si>
    <t>KINO METRO 70 Prostějov, příspěvková organizace</t>
  </si>
  <si>
    <t>Výsledek hospodaření v hlavní činnosti proběhl v souladu s rozpočtem roku 2019. V souvislosti s výměnou krytiny v předsálí kina došlo k léhké zrátě, která bude uhrazena z kladného výsledku hospodaření v doplňkové činnosti.</t>
  </si>
  <si>
    <t xml:space="preserve">Výsledek hospodaření v doplňkové činnosti proběhl v souladu s rozpočtem roku 2019. </t>
  </si>
  <si>
    <t>Rezervní fond tvořený ze zlepšeného VH (účet 413)  - Rezervní fond byl čerpán  na převod do fondu investic na posílení peněžních prostředků určených na pořízení akustického závěsu ve foyer ve výši 140 000 Kč, který je potřeba v rámci dotace SFK pro činnost směřující k pořízení provozování technologie e-cinema ke kinematografickým představením, který příspěvková organizace používá pro svou činnost. Dále byl čerpán na  odvod zřizovateli za porušení rozpočtové kázně ve výši 72 429 ,- Kč.</t>
  </si>
  <si>
    <t xml:space="preserve">Fond reprodukce majetku, fond investic (účet 416) - zdrojem fondu jsou odpisy majetku a čerpání fondu je odvod zřizovateli (odpis budovy). V roce 2019  jsme z investičního fondu čerpali tyto položky v pořizovací ceně: reproduktory stereo výši  60 379  Kč, zatemňovací závěs s hliníkovými drahami ve výši 294 514 Kč (z toho byl schválený převod z rezervního fondu ve výši 140 000 Kč),videoprojektor a projekční plátno ve výši 488 114 Kč (z toho byl dotační příspěvek z SFK ve výši 240 000 Kč a schválený investiční příspěvek zřizovatele va výši 200 000 Kč a vlastní krytí investičního fondu ve výši 50 000 Kč). V roce 2019 jsme navýšili fond investic ve výši 300 000 Kč, jedná se o státní dotaci  SFK " Redigitalizace kina  Metro 70 "  .                    </t>
  </si>
  <si>
    <t>Fond odměn (účet 411) -  byl čerpán  na odměny zaměstnanců v celkové výši 1 100 Kč</t>
  </si>
  <si>
    <t>FKSP (účet 412)  - zdrojem fondu je příděl z mezd zaměstnanců (2%) a čerpání fondu je stravné zaměstnanců . Rozdíl ve výši 1 161Kč je odvod přídělu za mzdy 12/2019 ve výši 2 085 Kč a čerpání stravného zaměstnanců za období  12/2019 ve výši  924 Kč, tyto převody jsou provedeny na bankovní účet FKSP v následujícím roce 2020.</t>
  </si>
  <si>
    <t>Organizace nemá pohledávky po lhůtě splatnosti</t>
  </si>
  <si>
    <t>Organizace nemá závazky po lhůtě splatnosti</t>
  </si>
  <si>
    <t>Organizace neměla žádný přijatý dar</t>
  </si>
  <si>
    <t>V hlavní činnosti</t>
  </si>
  <si>
    <t>Částka ± úpravy výnosů v Kč</t>
  </si>
  <si>
    <t>Částka ± úpravy nákladů v Kč</t>
  </si>
  <si>
    <t>Nařízení vlády ČR č. 263/2018</t>
  </si>
  <si>
    <t>144 780,00</t>
  </si>
  <si>
    <t>8.1.2019/9011</t>
  </si>
  <si>
    <t>Nařízení vlády ČR č. 263/2019</t>
  </si>
  <si>
    <t>43 000,00</t>
  </si>
  <si>
    <t>Nařízení vlády ČR č. 263/2020</t>
  </si>
  <si>
    <t>1 000,00</t>
  </si>
  <si>
    <t>Nařízení vlády ČR č. 263/2021</t>
  </si>
  <si>
    <t>188 780,00</t>
  </si>
  <si>
    <t>Právní spor s bývalým zaměstnancem - ukončení dohodou o narovnání</t>
  </si>
  <si>
    <t>-574 993,00</t>
  </si>
  <si>
    <t>5.3.2019/9198</t>
  </si>
  <si>
    <t>233 917,00</t>
  </si>
  <si>
    <t>581 668,00</t>
  </si>
  <si>
    <t>208 037,00</t>
  </si>
  <si>
    <t>5 000,00</t>
  </si>
  <si>
    <t>14 205,00</t>
  </si>
  <si>
    <t>33 010,00</t>
  </si>
  <si>
    <t>-33 010,00</t>
  </si>
  <si>
    <t>20 000,00</t>
  </si>
  <si>
    <t>10 000,00</t>
  </si>
  <si>
    <t>Zahraniční cesta - člen evropských kin EUROPA CINEMAS</t>
  </si>
  <si>
    <t>-10 000,00</t>
  </si>
  <si>
    <t>Rekonstrukce bytu na společné prostory - s tím související náklady - opravy a pořízení DDHM</t>
  </si>
  <si>
    <t>100 000,00</t>
  </si>
  <si>
    <t>50 000,00</t>
  </si>
  <si>
    <t>30 000,00</t>
  </si>
  <si>
    <t>170 000,00</t>
  </si>
  <si>
    <t>70 000,00</t>
  </si>
  <si>
    <t>-60 000,00</t>
  </si>
  <si>
    <t>-40 000,00</t>
  </si>
  <si>
    <t>Náklady související s odvodem z podílu návštěvnosti distribuci</t>
  </si>
  <si>
    <t>900 000,00</t>
  </si>
  <si>
    <t>Pojistná pojistná událost (zasklení vchodových dveří)</t>
  </si>
  <si>
    <t>1 160,00</t>
  </si>
  <si>
    <t>1 100,00</t>
  </si>
  <si>
    <t>Čerpání fondu rezerv - odvod zřizovateli</t>
  </si>
  <si>
    <t>72 429,00</t>
  </si>
  <si>
    <t>Příspěvek (odměna) EUROPA CINEMAS</t>
  </si>
  <si>
    <t>227 041,32</t>
  </si>
  <si>
    <t>Příspěvek (odměna) EUROPA CINEMAS - s tím související náklady</t>
  </si>
  <si>
    <t>39 998,00</t>
  </si>
  <si>
    <t>16 030,00</t>
  </si>
  <si>
    <t>18 270,32</t>
  </si>
  <si>
    <t>38 859,00</t>
  </si>
  <si>
    <t>113 884,00</t>
  </si>
  <si>
    <t>Mzdové náklady - přeúčtování mezi účty 52X</t>
  </si>
  <si>
    <t>2 023,00</t>
  </si>
  <si>
    <t>11 270,00</t>
  </si>
  <si>
    <t>-2 173,00</t>
  </si>
  <si>
    <t>-11 120,00</t>
  </si>
  <si>
    <t>Výnosy - přeúčtování mezi účty</t>
  </si>
  <si>
    <t>1 061,00</t>
  </si>
  <si>
    <t>-1 061,00</t>
  </si>
  <si>
    <t>-1 447,00</t>
  </si>
  <si>
    <t>Náklady - přeúčtování mezi účty</t>
  </si>
  <si>
    <t>Výnosy z vlastní činnosti</t>
  </si>
  <si>
    <t>1 251 875,00</t>
  </si>
  <si>
    <t>Výnosy z vlastní činnosti a s tím související náklady</t>
  </si>
  <si>
    <t>48 571,00</t>
  </si>
  <si>
    <t>35 197,00</t>
  </si>
  <si>
    <t>958 581,00</t>
  </si>
  <si>
    <t>45 883,00</t>
  </si>
  <si>
    <t>14 726,00</t>
  </si>
  <si>
    <t>150 356,00</t>
  </si>
  <si>
    <t>-2 424,80</t>
  </si>
  <si>
    <t>Úprava FP snížení ukazatele - spotřeba energie</t>
  </si>
  <si>
    <t>-70 000,00</t>
  </si>
  <si>
    <t>Úprava FP - odpisy DHM</t>
  </si>
  <si>
    <t>14 582,00</t>
  </si>
  <si>
    <t>10.12.2019/91169</t>
  </si>
  <si>
    <t>10.12.2019/91170</t>
  </si>
  <si>
    <t>3 109 437,32</t>
  </si>
  <si>
    <t>V doplňkové činnosti</t>
  </si>
  <si>
    <t>Datum schválení úpravy</t>
  </si>
  <si>
    <t>Nárůst tržeb z kinoreklamy a z prodeje popcornu, a s tím související náklady</t>
  </si>
  <si>
    <t>75 000,00</t>
  </si>
  <si>
    <t>40 000,00</t>
  </si>
  <si>
    <t>60 000,00</t>
  </si>
  <si>
    <t>100 149,00</t>
  </si>
  <si>
    <t>47 000,00</t>
  </si>
  <si>
    <t>-4 800,00</t>
  </si>
  <si>
    <t>56 564,00</t>
  </si>
  <si>
    <t>9 463,00</t>
  </si>
  <si>
    <t>2 651,00</t>
  </si>
  <si>
    <t>4 500,00</t>
  </si>
  <si>
    <t>28 000,00</t>
  </si>
  <si>
    <t>16 000,00</t>
  </si>
  <si>
    <t>235 149,00</t>
  </si>
  <si>
    <t>Bylo splněno</t>
  </si>
  <si>
    <t>V brzké době plánujeme zrealizovat záměr vybudování plnohodnotného kinoobčerstvení a multifunkčního projekčního prostoru ve foyer kina dle projektové dokumentace. Dále je v plánu redigitalizace - výměna stávající projekční technologie, které končí technická životnost. Na redigitalizaci jsme v 2.pololetí 2019 obdrželi dotaci u Státního fondu kinematografie ve výši 300 000,- Kča a zároveň k tomuto projektu máme v plánu  žádat  dotaci u  Krajského úřadu Olomouckého kraje . V roce 2020 by měla být provedena  rekonstrukce  WC pro diváky kina, kterou zrealizuje ORI MMPv. Dále bude v budoucnu potřeba provést  opravu hlavního a vedlejšího schodiště do kina, které jsou v nepříliš vyhovujícím stavu, také je potřeba provést výměnu oken.</t>
  </si>
  <si>
    <t>V Prostějově dne 19.3.2020</t>
  </si>
  <si>
    <t>Zpracoval(a): Jaroslava Bočková</t>
  </si>
  <si>
    <t>Mateřská škola Prostějov, ul. Šárka 4a</t>
  </si>
  <si>
    <t>Výsledek hospodaření je tvořen hlavně z výnosů - navýšením ceny školného a nedočerpáním nákladových položek. Jedná se hlavně o úsporu v položce spotřební materiál, energie, opravy a DDHM.</t>
  </si>
  <si>
    <t>Doplňkovou činnost organizace nemá.</t>
  </si>
  <si>
    <t>Úhrada ztráty z min. let</t>
  </si>
  <si>
    <t>Rezervní fond se nepoužil na žádné nákupy, čerpaly se pouze prostředky z darů. Na fond jsou převedeny prostředky z projektu ŠABLONY. Organizace je využije dle potřeby, která se vyskytne v průběhu roku 2020.</t>
  </si>
  <si>
    <t xml:space="preserve"> Z fondu investic škola využila VH z roku 2018, dokrytí oprav v MŠ Žešov a dále šlo o vratku odpisů. Fond investic bude použit na potřebné případné  dokrytí nákladů r. 2020.</t>
  </si>
  <si>
    <t>Fond odměn bude čerpán dle potřeby na mimořádné odměny zaměstnanců.</t>
  </si>
  <si>
    <t xml:space="preserve"> Fond FKSP organizace čerpá dle směrnice školy na životní pojištění a životní nebo pracovní výročí, v souladu s vyhláškou 114/2002 v platném znění. Rozdíl mezi konečným zůstatkem a finančním krytím je způsoben převodem 2 %  z hrubých mezd a z odvodů pojištění za zaměstnance a  vyrovnání poplatků z běžného účtu. 
</t>
  </si>
  <si>
    <t>Organizace nemá po splatnosti žádné pohledávky.</t>
  </si>
  <si>
    <t>Organizace nemá po lhůtě splatnosti žádné závazky.</t>
  </si>
  <si>
    <t>Nákup hraček a didaktických her (dary přijaté od rodičů - seznam k nahlédnutí v organizaci).</t>
  </si>
  <si>
    <t>navýšení neinv. příspěvku - oprava výdejen  Libušinka 18</t>
  </si>
  <si>
    <t>oprava výdejen  Libušinka 18</t>
  </si>
  <si>
    <t>navýšení neinv. příspěvku - realizace projektu "Vybudování zahrady v přír. stylu…"</t>
  </si>
  <si>
    <t>realizace projektu "Vybudování zahrady v přír. stylu…"</t>
  </si>
  <si>
    <t>oprava světel na pracovišti Libušinka, Dvořákova , Žešov</t>
  </si>
  <si>
    <t>výmalba a úklid na prac. Dvořákova 5 po celkové rekonstrukci</t>
  </si>
  <si>
    <t>oprava oplocení Libušinka 18</t>
  </si>
  <si>
    <t>Oprava sociálek dětí v MŠ Žešov, šatna MŠ Šárka, brány výměnou v MŠ Libušinka</t>
  </si>
  <si>
    <t>558 - DDHM</t>
  </si>
  <si>
    <t>Nákup sekaček, lednic do ŠJ, plachet na pískoviště</t>
  </si>
  <si>
    <t>ostatní náklady z činnosti - oprava po poradě s auditorem - trans.podíl</t>
  </si>
  <si>
    <t>501 0470 – Materiál na opr. ven. pr.</t>
  </si>
  <si>
    <t>pokuta OHS</t>
  </si>
  <si>
    <t>518 0520 - Ostatní služby</t>
  </si>
  <si>
    <t>Z minulého komtrolního dne nebyla určena žádná opatření.</t>
  </si>
  <si>
    <t xml:space="preserve">Finanční prostředky z VH v částce 195.145,00 převede organizace po schválení RMPv do rezervního fondu organizace. Tyto prostředky nejsou účelově určené a přednostně budou použity na případnou vratku VH z roku 2017 a ztráty způsobené  šířením koronavirové infekce. </t>
  </si>
  <si>
    <t>,</t>
  </si>
  <si>
    <t>Zpracovala: Mgr. Iveta Bittnerová</t>
  </si>
  <si>
    <t>Dne: 8. 4. 2020</t>
  </si>
  <si>
    <t>Základní škola Proatějov, ul. Dr. Horáka 24</t>
  </si>
  <si>
    <t>HV je ovlivněn vratkou zřizovateli ve výši 108.595,81 Kč, která je tvořena nedočerpaným ÚZ na opravu basketbalových košů, nevyčerpanými prostředky na mzdy, odměny za vedení kroužků a za odpisy.</t>
  </si>
  <si>
    <t>HV je vyšší než v loňském roce, neboť stoupl počet uvařených jídel v DČ.</t>
  </si>
  <si>
    <t>RF je tvořen projektem EU, který bude letos vyčerpán. Zbývající část bude sloužit na pokrytí případných ztrát v hlavní činnosti v tomto roce.</t>
  </si>
  <si>
    <t>IF bude zapojen v rámci nezbytných oprav v organizaci.</t>
  </si>
  <si>
    <t>FO bude čerpán na odměnu ředitelce školy.</t>
  </si>
  <si>
    <t>Bude čerpán v souladu s kolektivní smlouvou a dle aktuální směrnice FKSP.</t>
  </si>
  <si>
    <t>nejsou</t>
  </si>
  <si>
    <t>Dar pana Františka Drmoly na autobusovou dopravu na exkurzi do Velkých Losin.</t>
  </si>
  <si>
    <t>Dar pana Františka Drmoly na autobusovou dopravu na exkurzi do Vídně.</t>
  </si>
  <si>
    <t>Dar pana Josefa Nováčka, dosud nepoužito.</t>
  </si>
  <si>
    <t>Dar organizace Women For Women (vratka 1.622 Kč).</t>
  </si>
  <si>
    <t>Dar Nadačního fondu Dětský čin roku, použito na nákup školních pomůcek.</t>
  </si>
  <si>
    <t>Navýšení neinvestičního příspěvku - oprava kotle na ohřev teplé užitkové vody. RMP usnesení č. 9055 ze dne 22.1.2019. UZ 350.</t>
  </si>
  <si>
    <t>22.1.2019</t>
  </si>
  <si>
    <t>1.3.2019</t>
  </si>
  <si>
    <t>Přesun z ostatní náklady z činnosti (SU 549) do odpisů (SU 551). RMP usnesení č. 9347 ze dne 16.4.2019.</t>
  </si>
  <si>
    <t>16.4.2019</t>
  </si>
  <si>
    <t>15.5.2019</t>
  </si>
  <si>
    <t>Navýšení neinvestičního příspěvku - oprava II. stupeň ZŠ. RMP usnesení č. 9347 ze dne 16.4.2019. UZ 361.</t>
  </si>
  <si>
    <t>Navýšení neinvestičního příspěvku - 1. třída. RMP usnesení č. 9501 ze dne 27.5.2019.</t>
  </si>
  <si>
    <t>27.5.2019</t>
  </si>
  <si>
    <t>27.6.2019</t>
  </si>
  <si>
    <t>Odměna za sběr papíru. RMP usnesení č. 9144 ze dne 11.2.2019.</t>
  </si>
  <si>
    <t>28.6.2019</t>
  </si>
  <si>
    <t>Navýšení neinvestičního příspěvku - výměna svítidel a oprava elektroinstalace v tělocvičnách. RMP usnesení č. 9586 ze dne 25.6.2019. ÚZ 389.</t>
  </si>
  <si>
    <t>Navýšení neinvestičního příspěvku - oprava basketbalových košů. RMP usnesení č. 9677 ze dne 30.7.2019. ÚZ 396. RMP usnesením č. 91160 ze dne 10.12.2019 revokovala původní usnesení a příspěvek rozdělila na investiční a neinvestiční.</t>
  </si>
  <si>
    <t>19.12.2019</t>
  </si>
  <si>
    <t>Navýšení neinvestičního příspěvku - oprava kotle na ohřev vody. RMP usnesení č. 9849 ze dne 24.9.2019. ÚZ 397.</t>
  </si>
  <si>
    <t>24.9.2019</t>
  </si>
  <si>
    <t>3.10.2019</t>
  </si>
  <si>
    <t>Navýšení neinvestičního příspěvku - na úhradu nákladů spojených s plaváním žáků 1. stupně v městských lázních 9-12/2019. RMP usnesení č. 9965 ze dne 22.10.2019. ÚZ 706.</t>
  </si>
  <si>
    <t>22.10.2019</t>
  </si>
  <si>
    <t>6.11.2019</t>
  </si>
  <si>
    <t>Úprava rozpočtu - mzdy. RMP usnesení č. 91160 ze dne 10.12.2019.</t>
  </si>
  <si>
    <t>Úprava rozpočtu - odpisy. RMP usnesení č. 91165 ze dne 10.12.2019.</t>
  </si>
  <si>
    <t>Úprava rozpočtu - dar. RMP usnesením č. 91153 ze dne 10.12.2019.</t>
  </si>
  <si>
    <t>20.12.2019</t>
  </si>
  <si>
    <t>Úprava rozpočtu - zahrada. RMP usnesením č. 8990 ze dne 13.11.2018. ÚZ 393</t>
  </si>
  <si>
    <t>Požadovaný komentář: nebyla uložena</t>
  </si>
  <si>
    <t>Požádat Radu města Prostějova o úpravu odpisového plánu, ÚZ 310 odpisy a závazného ukazatele finančního plánu z důvodu tecnického zhodnocení oprav basketbalových košů a důvodu oprav bazénu školy. Navýšení pokryje organizace ze svých zdrojů.</t>
  </si>
  <si>
    <t>Informován zřizovatel o složitosti ÚZ na mzdy, kdy do závazného ukazatele vstupují hrubé mzdy strojníka bazénu, uklízečky na bazénu, pedagogů a trenérů na bazénu školy spolu s odvody (sociální, zdravotní a povinné pojištění, FKSP) a prostředky na OOPP a preventivní prohlídky. Bude řešeno ve spolupráci s odborem finančním a školským.</t>
  </si>
  <si>
    <t>V rámci koronavirové situace bude organizace provádět úsporná opatření a zapojí všechny rezervy a fondy, které má k dispozici. Je však velmi pravděpodobné, že nebude mít potřebné množství finančních prostředků na pokrytí platů pedagogů a trenérů na bazénu školy.</t>
  </si>
  <si>
    <t>V Prostějově dne 14.4.2020</t>
  </si>
  <si>
    <t>Výsledek byl dosažen především nedočerpáním nákladových položek - úspory na energii a mírným nárůstem výnosových položek na stravném a školném.</t>
  </si>
  <si>
    <t>Výnos je tvořen úhradou za pronájem části nebytových prostor v objektu MŠ Hanačka.</t>
  </si>
  <si>
    <t>Nákup vybavení školních zahrad.</t>
  </si>
  <si>
    <t>Rekonstrukce školních zahrad.</t>
  </si>
  <si>
    <t>Fond odměn bude využit na odměny pro zaměstnance za mimořádné aktivity.</t>
  </si>
  <si>
    <t>Příspěvek na stravu, penzijní pojištění, pracovní a životní výročí, vitamínové balíčky, návštěvy kulturních akcí.</t>
  </si>
  <si>
    <t>Navýšení neinv. příspěvku - oprava dveří ÚZ 366</t>
  </si>
  <si>
    <t xml:space="preserve">Navýšení neinv. příspěvku - oprava dveří ÚZ </t>
  </si>
  <si>
    <t>Navýšení neinv.příspěvku - oprava plotu ÚZ 366</t>
  </si>
  <si>
    <t xml:space="preserve">Navýšení neinv.příspěvku - oprava plotu </t>
  </si>
  <si>
    <t>Navýšení účtu 518 - příjem od rodičů na plavecký výcvik</t>
  </si>
  <si>
    <t>Snížení účtu 518 - úhrada za plavecký výcvik</t>
  </si>
  <si>
    <t>Čerpání rezervního fondu</t>
  </si>
  <si>
    <t>Nákup zahradního prvku z RF</t>
  </si>
  <si>
    <t>Snížení účtu 502</t>
  </si>
  <si>
    <t>Navýšení účtu 551 - ÚZ 310 ( odpisy)</t>
  </si>
  <si>
    <t>Snížení úču 502</t>
  </si>
  <si>
    <t>Navýšení účtu 511</t>
  </si>
  <si>
    <t xml:space="preserve">Navýšení účtu 518 </t>
  </si>
  <si>
    <t>Snížení účtu 511</t>
  </si>
  <si>
    <t>Navýšení účtu 501</t>
  </si>
  <si>
    <t>Snížení účtu 513</t>
  </si>
  <si>
    <t>Navýšení účtu 518</t>
  </si>
  <si>
    <t>Snížení účtu 549</t>
  </si>
  <si>
    <t>Navýšení účtu 541,542</t>
  </si>
  <si>
    <t xml:space="preserve">Snížení účtu 518 </t>
  </si>
  <si>
    <t xml:space="preserve">Organizace splnila všechna opatření, čerpání RF bude vzhledem k zahájení oprav škol realizováno postupně. </t>
  </si>
  <si>
    <t>1. Organizace splnila usnesení Rady města Prostějova č. 9412 ze dne 14.5.2019 - rozdělení ZHV - navýšen rezervní fond o částku 164 976 74 Kč, čerpání bude  postupné vzhledem k zahájení oprav na jednotlivých školách.</t>
  </si>
  <si>
    <r>
      <t>2</t>
    </r>
    <r>
      <rPr>
        <sz val="8"/>
        <color theme="1"/>
        <rFont val="Times New Roman"/>
        <family val="1"/>
        <charset val="238"/>
      </rPr>
      <t>. Účastníci kontrolního dne vzhledem k provedené analýze doporučují ponechat ZHV ve výši 215 204,40 Kč pro příděl do rezervního fondu, který bude využit na nákup nových herních prvků na školní zahrady a pokrytí ztrát z důvodu koronavirové krize.</t>
    </r>
  </si>
  <si>
    <t>Mgr. Monika Zbudilová</t>
  </si>
  <si>
    <t>MATEŘSKÁ ŠKOLA PROSTĚJOV, MORAVSKÁ UL. 30, PŘÍSPĚVKOVÁ ORGANIZACE                 IČ: 70982945</t>
  </si>
  <si>
    <t>Výše ZVH je dána především výnosy z projede služeb - školného, výnosy z prodeje materiálu a drobnými úsporami na jednotlivých nákladových položkách.</t>
  </si>
  <si>
    <t>Organizace v roce 2019 neměla doplňkovou činnost.</t>
  </si>
  <si>
    <t>ZVH není účelově vázán, ale bude přednostě využit pro ztráty způsobené  pandemií Covid-19.</t>
  </si>
  <si>
    <t>Finanční dary - 111 560,23 Kč plánováno na dětské zahradní zařízení.
Šablony II. - 550 374,00 Kč.
RF-ZVH -přednostně  pro ztráty způsobené koronavirovou pandemií, rezerva.</t>
  </si>
  <si>
    <t>Malá výše finančních prostředků, současné čerpání není plánováno, dle
nutných potřeb organizace.</t>
  </si>
  <si>
    <t>Případné dokrytí mezd, odměn zaměstnancům.</t>
  </si>
  <si>
    <t>Čerpání dle rozpočtu FKSP.</t>
  </si>
  <si>
    <t>ORGANIZACE  NEMÁ  POHLEDÁVKY  PO  LHŮTĚ  SPLATNOSTI.</t>
  </si>
  <si>
    <t>ORGANIZACE  NEMÁ  ZÁVAZKY  PO  LHŮTĚ  SPLATNOSTI.</t>
  </si>
  <si>
    <t>FINANČNÍ DARY = 25 950,00 Kč</t>
  </si>
  <si>
    <t>Finanční dary v roce 2019 nebyly čerpány.</t>
  </si>
  <si>
    <r>
      <t>7.</t>
    </r>
    <r>
      <rPr>
        <b/>
        <u/>
        <sz val="7"/>
        <color indexed="8"/>
        <rFont val="Times New Roman"/>
        <family val="1"/>
        <charset val="238"/>
      </rPr>
      <t xml:space="preserve">   </t>
    </r>
    <r>
      <rPr>
        <b/>
        <u/>
        <sz val="12"/>
        <color indexed="8"/>
        <rFont val="Times New Roman"/>
        <family val="1"/>
        <charset val="238"/>
      </rPr>
      <t>Úpravy finančního plánu hlavní činnosti ke zřizovateli v roce 2019</t>
    </r>
  </si>
  <si>
    <t>Důvod úpravy</t>
  </si>
  <si>
    <r>
      <t xml:space="preserve">Navýšení neinvestičního příspěvku zřizovatele na opravu 2 vlajkových stožárů, madel a nátěry ploch na terasách, opravu shrnovacích dveří, zastínění pískovišť,  opravu a sanaci omítek ve sklepě.
Usnesení RMP čís. 9355 ze dne 16. 04. 2019. </t>
    </r>
    <r>
      <rPr>
        <b/>
        <u/>
        <sz val="9"/>
        <color rgb="FF0000FF"/>
        <rFont val="Times New Roman"/>
        <family val="1"/>
        <charset val="238"/>
      </rPr>
      <t>UZ - 367</t>
    </r>
  </si>
  <si>
    <t>672
511/0300</t>
  </si>
  <si>
    <t xml:space="preserve">395 600,00
</t>
  </si>
  <si>
    <t xml:space="preserve">
395 600,00</t>
  </si>
  <si>
    <t>16.4.2019
16.4.2019</t>
  </si>
  <si>
    <t xml:space="preserve">
31.5.2019
31.5.2019
</t>
  </si>
  <si>
    <r>
      <t xml:space="preserve">Navýšení neinvestičního příspěvku zřizovatele na realizaci projektu "Přírodní zahrada při MŠ PV, Moravská ul. 30".
Usnesení RMP čís. 9357 ze dne 16. 04. 2019. </t>
    </r>
    <r>
      <rPr>
        <b/>
        <u/>
        <sz val="9"/>
        <color rgb="FF0000FF"/>
        <rFont val="Times New Roman"/>
        <family val="1"/>
        <charset val="238"/>
      </rPr>
      <t>UZ - 369</t>
    </r>
    <r>
      <rPr>
        <b/>
        <u/>
        <sz val="9"/>
        <color rgb="FF009900"/>
        <rFont val="Times New Roman"/>
        <family val="1"/>
        <charset val="238"/>
      </rPr>
      <t xml:space="preserve">
</t>
    </r>
    <r>
      <rPr>
        <sz val="9"/>
        <rFont val="Times New Roman"/>
        <family val="1"/>
        <charset val="238"/>
      </rPr>
      <t>- zpracování projektové dokumentace (518)</t>
    </r>
    <r>
      <rPr>
        <sz val="9"/>
        <color rgb="FF009900"/>
        <rFont val="Times New Roman"/>
        <family val="1"/>
        <charset val="238"/>
      </rPr>
      <t xml:space="preserve">
</t>
    </r>
    <r>
      <rPr>
        <sz val="9"/>
        <rFont val="Times New Roman"/>
        <family val="1"/>
        <charset val="238"/>
      </rPr>
      <t>- pořízení jednotlivých prvků na zahradu (558)</t>
    </r>
  </si>
  <si>
    <t>672
518/0550
558/0300</t>
  </si>
  <si>
    <t xml:space="preserve">62 899,00
</t>
  </si>
  <si>
    <t xml:space="preserve">
20 000,00
42 899,00</t>
  </si>
  <si>
    <t>16.4.2019 
16.4.2019
16.4.2019</t>
  </si>
  <si>
    <t>30.6.2019
30.6.2019
30.6.2019</t>
  </si>
  <si>
    <r>
      <t xml:space="preserve">Navýšení neinvestičního příspěvku zřizovatele na opravu vodoinstalace a osvětlení ve třídách MŠ. 
Usnesení RMP čís. 9586 ze dne 25. 06. 2019 </t>
    </r>
    <r>
      <rPr>
        <b/>
        <u/>
        <sz val="9"/>
        <color rgb="FF0000FF"/>
        <rFont val="Times New Roman"/>
        <family val="1"/>
        <charset val="238"/>
      </rPr>
      <t>UZ - 386</t>
    </r>
  </si>
  <si>
    <t>672
511/0300</t>
  </si>
  <si>
    <t xml:space="preserve">220 000,00
</t>
  </si>
  <si>
    <t xml:space="preserve">
220 000,00</t>
  </si>
  <si>
    <t>25.6.2019
25.6.2019</t>
  </si>
  <si>
    <t>30.7.2019
30.7.2019</t>
  </si>
  <si>
    <r>
      <rPr>
        <b/>
        <u/>
        <sz val="9"/>
        <color rgb="FF0000FF"/>
        <rFont val="Times New Roman"/>
        <family val="1"/>
        <charset val="238"/>
      </rPr>
      <t>Úspora na energiích</t>
    </r>
    <r>
      <rPr>
        <b/>
        <u/>
        <sz val="9"/>
        <rFont val="Times New Roman"/>
        <family val="1"/>
        <charset val="238"/>
      </rPr>
      <t xml:space="preserve"> - šetřivý režim, příznivé klima.
Schváleno p. Mgr. Petrem Ivánkem  23.10. 2019</t>
    </r>
  </si>
  <si>
    <t>Nutná oprava dřevěných krytů betonového obvodu pískovišť - Mor.</t>
  </si>
  <si>
    <r>
      <rPr>
        <b/>
        <u/>
        <sz val="9"/>
        <color rgb="FF0000FF"/>
        <rFont val="Times New Roman"/>
        <family val="1"/>
        <charset val="238"/>
      </rPr>
      <t>Spotřeba materiálu</t>
    </r>
    <r>
      <rPr>
        <b/>
        <sz val="9"/>
        <rFont val="Times New Roman"/>
        <family val="1"/>
        <charset val="238"/>
      </rPr>
      <t xml:space="preserve"> - úspora vzniklá darováním drobných darů spotřebního charakteru od rodičů dětí (čistící a hygien. prostředky). </t>
    </r>
  </si>
  <si>
    <t>Nutný nákup skříně do kanceláře - Mor.</t>
  </si>
  <si>
    <r>
      <rPr>
        <b/>
        <u/>
        <sz val="9"/>
        <color rgb="FF0000FF"/>
        <rFont val="Times New Roman"/>
        <family val="1"/>
        <charset val="238"/>
      </rPr>
      <t>Ostatní služby</t>
    </r>
    <r>
      <rPr>
        <sz val="9"/>
        <rFont val="Times New Roman"/>
        <family val="1"/>
        <charset val="238"/>
      </rPr>
      <t xml:space="preserve"> - </t>
    </r>
    <r>
      <rPr>
        <b/>
        <sz val="9"/>
        <rFont val="Times New Roman"/>
        <family val="1"/>
        <charset val="238"/>
      </rPr>
      <t>úspora vzniklá prováděním prací
svépomocí a brigádnicky.</t>
    </r>
  </si>
  <si>
    <t>Nutné - vyplacené cestovní náhrady PG zaměstnancům při doprovodu OP dětí do Itálie - za rok 2018 a 2019.</t>
  </si>
  <si>
    <t>512/0320</t>
  </si>
  <si>
    <r>
      <rPr>
        <b/>
        <u/>
        <sz val="9"/>
        <color rgb="FF0000FF"/>
        <rFont val="Times New Roman"/>
        <family val="1"/>
        <charset val="238"/>
      </rPr>
      <t xml:space="preserve">Spotřeba energie:
</t>
    </r>
    <r>
      <rPr>
        <b/>
        <sz val="9"/>
        <rFont val="Times New Roman"/>
        <family val="1"/>
        <charset val="238"/>
      </rPr>
      <t>nutné dokrytí elektrické a tepelné energie</t>
    </r>
    <r>
      <rPr>
        <b/>
        <sz val="9"/>
        <color indexed="8"/>
        <rFont val="Times New Roman"/>
        <family val="1"/>
        <charset val="238"/>
      </rPr>
      <t xml:space="preserve"> - vyšší ceny, vyšší spotřeba.</t>
    </r>
    <r>
      <rPr>
        <b/>
        <u/>
        <sz val="9"/>
        <color indexed="8"/>
        <rFont val="Times New Roman"/>
        <family val="1"/>
        <charset val="238"/>
      </rPr>
      <t xml:space="preserve">
Schváleno p. Mgr. Petrem Ivánkem 30.12.2019.</t>
    </r>
  </si>
  <si>
    <r>
      <rPr>
        <b/>
        <u/>
        <sz val="9"/>
        <color rgb="FF000000"/>
        <rFont val="Times New Roman"/>
        <family val="1"/>
        <charset val="238"/>
      </rPr>
      <t>Spotřeba materiálu</t>
    </r>
    <r>
      <rPr>
        <sz val="9"/>
        <color indexed="8"/>
        <rFont val="Times New Roman"/>
        <family val="1"/>
        <charset val="238"/>
      </rPr>
      <t xml:space="preserve"> - úspora vzniklá darováním
drobných darů spotřebního charakteru od rodičů
dětí (čistící a hygien. prostředky, zdravotn. materiál). </t>
    </r>
  </si>
  <si>
    <r>
      <rPr>
        <b/>
        <u/>
        <sz val="9"/>
        <rFont val="Times New Roman"/>
        <family val="1"/>
        <charset val="238"/>
      </rPr>
      <t>Opravy a udržování</t>
    </r>
    <r>
      <rPr>
        <sz val="9"/>
        <rFont val="Times New Roman"/>
        <family val="1"/>
        <charset val="238"/>
      </rPr>
      <t xml:space="preserve"> - úspora, provádění drobných a možných prací svépomocí a brigádnicky, dle odbor. rodičů, pomoc firem.</t>
    </r>
  </si>
  <si>
    <r>
      <t>Ostatní služby</t>
    </r>
    <r>
      <rPr>
        <b/>
        <sz val="9"/>
        <color rgb="FF000000"/>
        <rFont val="Times New Roman"/>
        <family val="1"/>
        <charset val="238"/>
      </rPr>
      <t xml:space="preserve"> - </t>
    </r>
    <r>
      <rPr>
        <sz val="9"/>
        <color rgb="FF000000"/>
        <rFont val="Times New Roman"/>
        <family val="1"/>
        <charset val="238"/>
      </rPr>
      <t>úspora na telefonních poplatcích.</t>
    </r>
  </si>
  <si>
    <r>
      <rPr>
        <b/>
        <sz val="9"/>
        <rFont val="Times New Roman"/>
        <family val="1"/>
        <charset val="238"/>
      </rPr>
      <t>Ostatní náklady z činnosti</t>
    </r>
    <r>
      <rPr>
        <sz val="9"/>
        <rFont val="Times New Roman"/>
        <family val="1"/>
        <charset val="238"/>
      </rPr>
      <t xml:space="preserve"> - úspora, pojištění více osob u ČZPP, větší sleva.</t>
    </r>
  </si>
  <si>
    <t>Na KD  k  30. 06. 2019 organizaci nebyla uložena žádná opatření ani závěry. K tomuto datu organizace neevidovala žádné pohledávky ani závazky. Finanční prostředky ze ZVH za rok 2018 ve výši 
19 917,63 Kč organizace převedla na základě usnesení RMP čís. 9412 ze dne 14. 05. 2019 a usnesení ZMP čís. 19123 ze dne  11. 6 .2019 do RF organizace k 30. 06. 2019. ZVH nebyl účelově vázán.</t>
  </si>
  <si>
    <t>Organizaci nebyla uložena žádná opatření ani závěry vyplývající z KD  k výsledkům hospodaření za rok 2019. Organizace nepřekročila závazné ukazatele FP pro rok 2019, neeviduje žádné pohledávky ani závazky
ke dni 31. 12. 2019.
Účastníci vzhledem k provedené analýze výsledku hospodaření organizace, doporučují ponechat celý ZVH roku 2019, tak jak je uvedeno výše, do RF organizace dle zák. 250/2000 Sb., o rozpočtových pravidlech
územních rozpočtů, ve znění pozdějších předpisů. DO RF je navržen celý výsledek ZVH ve výši 57 645,59 Kč. Příděl do fondu organizace provede na základě písemného vyrozumnění odb. školství, kultury a sportu
Magistrátu města Prostějova.
Vyúčtování navýšených účelových neinvestičních příspěvků roku 2019 od zřizovatele provedla organizace dne 8. ledna 2020 a nedočerpané finanční prostředky ve výši 119,10 Kč byly vráceny téhož dne na účet
zřizovatele (UZ - 369).
Byly prodiskutovány,opakující se již několik let, požadavky ředitelky MŠ  na nutnost alespoň částečného zateplení budovy MŠ Raisova ul. 6, Prostějov a kompletní venkovní rekonstrukci budovy vč. venkovních teras 
a skladu. Dále také požadavek na rekonstrukci kotelny.
Organizace děkuje všem zúčastněným za zdárný průběh kontrolního dne.</t>
  </si>
  <si>
    <t>V Prostějově dne 15. 04. 2020</t>
  </si>
  <si>
    <t>PaedDr. Alena Hekalová, ředitelka školy</t>
  </si>
  <si>
    <t>Výsledek hospodaření v hlavní činnosti byl ovlivněn úsporou na položce spotřeba energie ve výši 225,36 Kč.</t>
  </si>
  <si>
    <t>Výsledek hospodaření v doplňkové činnosti ve výši 234.372,90 Kč je vytvořen rozdílem mezi skutečnými výnosy za pronájmy tělocvičen, učeben a části nemovitosti v částce 436.930,- Kč a celkovými náklady na tyto pronájmy ve výši 202.557,10 Kč, vypočítanými podle klíče uvedeného výše v popisu doplňkové činnosti. Výsledek hospodaření je vytvořen jednak proti plánu vyššími pronájmy (vyšší obsazeností tělocvičen hlavně o víkendech).</t>
  </si>
  <si>
    <t>Rezervní fond bude prioritně zapojen na dopad a případné odstranění následků krize COVID-19 a případné plánované opravy.</t>
  </si>
  <si>
    <t>Investiční fond bude použit na nákup myčky pro ZŠ, Skálovo nám 5 v hodnotě 58 tisíc.</t>
  </si>
  <si>
    <t>Fond bude použit na případné odměny nebo překročení MP za rok 2020.</t>
  </si>
  <si>
    <t>Předpokládáme zvýšení příspěvku na obědy pro zaměstnance a chceme zvýšit příspěvek na dovolenou, plánujeme výjezd do zahraničí.</t>
  </si>
  <si>
    <t>neevidujeme žádné pohledávky po lhůtě splatnosti</t>
  </si>
  <si>
    <t>neevidujeme žádné závazky po lhůtě splatnosti</t>
  </si>
  <si>
    <t>účelový finanční dar Women For Women - Obědy pro děti na rok 2019</t>
  </si>
  <si>
    <t>Test úpravy finančního plánu</t>
  </si>
  <si>
    <r>
      <t>usnesením RM č. 8377/2018</t>
    </r>
    <r>
      <rPr>
        <sz val="9"/>
        <color indexed="8"/>
        <rFont val="Times New Roman"/>
        <family val="1"/>
        <charset val="238"/>
      </rPr>
      <t xml:space="preserve"> byl posílen účet 672.0510 - navýšení NIV a účet 511.0310 - oprava šatny a části soc.zařízení u velké TV (čerpáno letos)</t>
    </r>
  </si>
  <si>
    <t>672.0510</t>
  </si>
  <si>
    <t>511.0310</t>
  </si>
  <si>
    <r>
      <t xml:space="preserve">usnesením RM č. 9193 </t>
    </r>
    <r>
      <rPr>
        <sz val="9"/>
        <color indexed="8"/>
        <rFont val="Times New Roman"/>
        <family val="1"/>
        <charset val="238"/>
      </rPr>
      <t>bylo schváleno navýšení NIV příspěvku KAP.20 na odpisy SU 551 - TZ budovy MŠ</t>
    </r>
  </si>
  <si>
    <t>551.0300</t>
  </si>
  <si>
    <r>
      <t>usnesením RM č. 9424</t>
    </r>
    <r>
      <rPr>
        <sz val="9"/>
        <color indexed="8"/>
        <rFont val="Times New Roman"/>
        <family val="1"/>
        <charset val="238"/>
      </rPr>
      <t xml:space="preserve"> byl posílen účet 649.0310 - dary a účet 558.0300 - nákupy DDHM = 4x sedačka + tiskárna pro ZŠ Palackého a koberec pro ZŠ Čechovice</t>
    </r>
  </si>
  <si>
    <t>649.0310</t>
  </si>
  <si>
    <t>558.0300</t>
  </si>
  <si>
    <r>
      <t>usnesením RM č. 8738</t>
    </r>
    <r>
      <rPr>
        <sz val="9"/>
        <color indexed="8"/>
        <rFont val="Times New Roman"/>
        <family val="1"/>
        <charset val="238"/>
      </rPr>
      <t xml:space="preserve"> byl posílen účet 648.0300 - čerpání fondů - RF a účet 549.0360 - ostatní náklady z činnosti = Obědy pro děti 01-06/2019</t>
    </r>
  </si>
  <si>
    <t>648.0300</t>
  </si>
  <si>
    <t>549.0360</t>
  </si>
  <si>
    <t>schválený FP pro rok 2019 - chybně úroky v položce ostatní výnosy z činnosti</t>
  </si>
  <si>
    <t>649.0330</t>
  </si>
  <si>
    <t>662.0300</t>
  </si>
  <si>
    <r>
      <t xml:space="preserve">usnesením RM č. 9144 </t>
    </r>
    <r>
      <rPr>
        <sz val="9"/>
        <color indexed="8"/>
        <rFont val="Times New Roman"/>
        <family val="1"/>
        <charset val="238"/>
      </rPr>
      <t>byly navýšeny výnosy SU 649 (2. místo ve sběrové soutěži pro školy) a rovněž nákladových účtu = 501 - spotřeba materiálu a 542 - jiné pokuty a penále</t>
    </r>
  </si>
  <si>
    <t>649.0320</t>
  </si>
  <si>
    <t>501.0490</t>
  </si>
  <si>
    <t>542.0300</t>
  </si>
  <si>
    <t>prodejem železného šrotu byl navýšen SU 649 - sběr a posílena položka spotřeba materiálu 501</t>
  </si>
  <si>
    <r>
      <t>usnesením RM č. 9500</t>
    </r>
    <r>
      <rPr>
        <sz val="9"/>
        <color indexed="8"/>
        <rFont val="Times New Roman"/>
        <family val="1"/>
        <charset val="238"/>
      </rPr>
      <t xml:space="preserve"> byl posílen pod UZ 374 účet 672.0510 - navýšení NIV a účet 511.0310 - oprava basketbalových košů</t>
    </r>
  </si>
  <si>
    <r>
      <t>usnesením RM č. 9355</t>
    </r>
    <r>
      <rPr>
        <sz val="9"/>
        <color indexed="8"/>
        <rFont val="Times New Roman"/>
        <family val="1"/>
        <charset val="238"/>
      </rPr>
      <t xml:space="preserve"> byl posílen pod UZ 355 účet 672.0510 - navýšení NIV a účet 511.0310 - oprava soc.zařízení a šaten u malé TV </t>
    </r>
  </si>
  <si>
    <t>použití Fondu odměn na odměny zaměstnanců SU 648 a SU 521</t>
  </si>
  <si>
    <t>521.0300</t>
  </si>
  <si>
    <r>
      <t>usnesením RM č. 9501</t>
    </r>
    <r>
      <rPr>
        <sz val="9"/>
        <color indexed="8"/>
        <rFont val="Times New Roman"/>
        <family val="1"/>
        <charset val="238"/>
      </rPr>
      <t xml:space="preserve"> byl posílen pod UZ 375 účet 672.0510 - navýšení NIV a účet 501.0330 - na pomůcky pro žáky 1. tříd</t>
    </r>
  </si>
  <si>
    <t>501.0330</t>
  </si>
  <si>
    <r>
      <t>usnesením RM č. 9636</t>
    </r>
    <r>
      <rPr>
        <sz val="9"/>
        <color indexed="8"/>
        <rFont val="Times New Roman"/>
        <family val="1"/>
        <charset val="238"/>
      </rPr>
      <t xml:space="preserve"> byl posílen účet 648.0300 - čerpání fondů - RF a účet 549.0360 - ostatní náklady z činnosti = Obědy pro děti 09/-12/2019</t>
    </r>
  </si>
  <si>
    <r>
      <t>usnesením RM č. 9965</t>
    </r>
    <r>
      <rPr>
        <sz val="9"/>
        <color indexed="8"/>
        <rFont val="Times New Roman"/>
        <family val="1"/>
        <charset val="238"/>
      </rPr>
      <t xml:space="preserve"> byl posílen pod UZ 700 účet 672.0510 - navýšení NIV a účet 518.0340 - nájemné bazénu pro žáky 1.stupně</t>
    </r>
  </si>
  <si>
    <t>518.0340</t>
  </si>
  <si>
    <t>vedoucím odboru OŠKS byla schváleno snížení SU 502 - spotřeba plynu (díky teplé zimě) a posílení položky nákupy OEM - SU 501 (nákup lavic a židlí) a položka opravy a udržování - SU 511 (opravy radiátoru, pece a osvětlení)</t>
  </si>
  <si>
    <t>502.0310</t>
  </si>
  <si>
    <t>501.0430</t>
  </si>
  <si>
    <t>511.0300</t>
  </si>
  <si>
    <t>čerpání RF SU 648 na pokrytí ztráty a nákup židliček a lavic pro 1.st.a kancelážských židlí do sborovny SU 501 a na nákup tiskárny pro MŠ Čechovice a 2x PC do kanceláře školy SU 558</t>
  </si>
  <si>
    <t>snižení položky odpisy HM SU 551 a SU 672 dotace (nedočerpání odpisů vráceno v rámci ročního vyúčtování zřizovateli)</t>
  </si>
  <si>
    <t>navýšení SU 602 - poplatky za MŠ a ŠD (zvýšení poplatků za školné a rovněž víc dětí v MŠ Čechovice), SU 649 - výnosy za sběr, zápisové lístky a zničené a poškozené učebnice a navýšení SU 662 - úroky</t>
  </si>
  <si>
    <t>602.0310</t>
  </si>
  <si>
    <t>602.0320</t>
  </si>
  <si>
    <t>602.0360</t>
  </si>
  <si>
    <t>649.0400</t>
  </si>
  <si>
    <t>navýšení SU 501 - nákupy OEM (lavice a židle do 2 tříd), snížení SU 511 - opravy movitého maj., snížení SU 513 - repefond, navýšení SU 524-527 (odvody k odměnám vyplaceným z FO), navýšení SU 549 - TZ budov do 40tis. (zřízení monitoringu v ZŠ Čechovice) a navýšení SU 558 - nákupy DDHM (nové mobilní tel.na pracoviště, kontejner na odpady a koberec pro ZŠ Skálovo nám. )</t>
  </si>
  <si>
    <t>511.0320</t>
  </si>
  <si>
    <t>513.0300</t>
  </si>
  <si>
    <t>518.0440</t>
  </si>
  <si>
    <t>524.0300</t>
  </si>
  <si>
    <t>524.0310</t>
  </si>
  <si>
    <t>525.0300</t>
  </si>
  <si>
    <t>527.0300</t>
  </si>
  <si>
    <t>549.0310</t>
  </si>
  <si>
    <t>Evidované pohledávky po splatnosti za 1. pololetí roku 2019 byly uhrazeny a organizace neeviduje žádné pohledávky po splatnosti.</t>
  </si>
  <si>
    <t>1. Účastníci kontrolního dne, vzhledem k provedené analýze výsledku hospodaření, doporučují ponechat organizaci celý výsledek hospodaření ve výši 281.217,03 Kč  pro příděl do peněžních fondů organizace dle zákona č. 250/200 Sb., o rozpočtových pravidlech územních rozpočtů, ve znění pozdějších předpisů a na základě předložených požadavků a potřeb organizace. Do rezervního fondu je navrženo převést částku 199.598,26 Kč a do fondu odměn částku 35.000,- Kč.</t>
  </si>
  <si>
    <t>2. Příděl do  fondů provede organizace na základě písemného vyrozumění Odboru školství, kultury a sportu MMPV.</t>
  </si>
  <si>
    <t>Zpracovala: Veronika Kocourková, ekonomka školy, v. r.</t>
  </si>
  <si>
    <t>Schválila: Mgr. Jana Prokopová, ředitelka školy, v. r.</t>
  </si>
  <si>
    <t>Základní umělecká škola Vladimíra Ambrose Prostějov</t>
  </si>
  <si>
    <t xml:space="preserve">Finanční prostředky byly pro rok 2019 dostačující. Organizace plně zajišťovala výuku žáků, ale i opravu a údržbu svěřeného majetku. </t>
  </si>
  <si>
    <t>Výnosem doplňkové činnosti jsou výnosy z pronájmu školního bytu, pronájmu prostor divadlu Starost, Telefonice a.s.</t>
  </si>
  <si>
    <t>Rezervní fond bude prioritně určen na náklady spojené s coronavirem.</t>
  </si>
  <si>
    <t>Rádi bychom v roce 2020 pokračovali v obnově klavírních křídel. Cena jednoho křídla se pohybuje okolo 500 000,-Kč</t>
  </si>
  <si>
    <t>Čerpání fondu na mimořádné odměny.</t>
  </si>
  <si>
    <t>Při tvorbě a čerpání se organizace řídí vyhláškou č. 114/2002 Sb.</t>
  </si>
  <si>
    <t>Školné - rodiče žáků byli na pohledávku upozorňováni</t>
  </si>
  <si>
    <t>třídními učiteli, byly jim také zaslány doporučené</t>
  </si>
  <si>
    <t>upomínky. Dlužná částka byla uhrazena v 01/2020</t>
  </si>
  <si>
    <t>Organizace žádné dary nepřijala</t>
  </si>
  <si>
    <r>
      <t>2.7.</t>
    </r>
    <r>
      <rPr>
        <b/>
        <u/>
        <sz val="7"/>
        <color theme="1"/>
        <rFont val="Times New Roman"/>
        <family val="1"/>
        <charset val="238"/>
      </rPr>
      <t xml:space="preserve">   </t>
    </r>
    <r>
      <rPr>
        <b/>
        <u/>
        <sz val="12"/>
        <color theme="1"/>
        <rFont val="Times New Roman"/>
        <family val="1"/>
        <charset val="238"/>
      </rPr>
      <t>Úpravy finančního plánu hlavní činnosti</t>
    </r>
  </si>
  <si>
    <t>Čerpání FO</t>
  </si>
  <si>
    <t>Účastnický poplatek - zájezd Kytarového souboru</t>
  </si>
  <si>
    <t>do Itálie</t>
  </si>
  <si>
    <t xml:space="preserve">Vyšší čerpání nákladů na reprezentaci spojené s </t>
  </si>
  <si>
    <t>s výročím založení školy, zvýšené čerpání cestovného</t>
  </si>
  <si>
    <t xml:space="preserve">spojené se zájezdem Kytarového souboru do Itálie </t>
  </si>
  <si>
    <t xml:space="preserve"> - vyplácení stravného pedagogům</t>
  </si>
  <si>
    <t>Povinný podíl ZPS - potřeba většího množství</t>
  </si>
  <si>
    <t>finančních prostředků na úhradu</t>
  </si>
  <si>
    <t>Vyšší čerpání nákladů na pořízení materiálu</t>
  </si>
  <si>
    <t>Pokuty, penále</t>
  </si>
  <si>
    <t>Penále uhrazené na základě zasedání škodní komise</t>
  </si>
  <si>
    <t>zaměstnankyní školy</t>
  </si>
  <si>
    <t>Úprava odpisů - schváleno Radou města Prostějova</t>
  </si>
  <si>
    <t>č.91149</t>
  </si>
  <si>
    <t>Nižší čerpání nákladů na spotřebu energií</t>
  </si>
  <si>
    <t>Navýšení fin. prostředků na nákup DDHM</t>
  </si>
  <si>
    <t>Dotace zřizovatele</t>
  </si>
  <si>
    <t>Vyúčtování účelově vázané dotace</t>
  </si>
  <si>
    <t xml:space="preserve">     Veškeré úpravy finančního plánu byly hlášeny řídícímu odboru MMPv.</t>
  </si>
  <si>
    <t xml:space="preserve">Rezervní fond je prioritně určen na náklady spojené s coronavirem. </t>
  </si>
  <si>
    <t>V Prostějově dne 16.4.2020</t>
  </si>
  <si>
    <t xml:space="preserve">Městská knihovna Prostějov, příspěvková organizace, Skálovo nám. 6, Prostějov </t>
  </si>
  <si>
    <t>VH byl vytvořen ve výši 98.769,87 Kč. Na výši tohoto výsledku se podílely úspory dosažené v oblasti nákladů z důvodu hospodárného a účelného vynakládání finančních prostředků.</t>
  </si>
  <si>
    <r>
      <t xml:space="preserve">Po projednáná na kontrolním dnu bude do rezervního fondu převeden celý VH za rok 2019 ve výši </t>
    </r>
    <r>
      <rPr>
        <u/>
        <sz val="7"/>
        <rFont val="Times New Roman"/>
        <family val="1"/>
        <charset val="238"/>
      </rPr>
      <t>98.769,87 Kč</t>
    </r>
    <r>
      <rPr>
        <sz val="7"/>
        <rFont val="Times New Roman"/>
        <family val="1"/>
        <charset val="238"/>
      </rPr>
      <t>. Tyto finanční prostředky budou použity na pokrytí nákladů v souvislosti se ztrátami vzniklými v důsledku koronavirové krize.</t>
    </r>
  </si>
  <si>
    <t xml:space="preserve">V roce 2020 by byl investiční fond použit na nákup výpočetní techniky. V případě další nutné potřeby k řešení pokrytí nákladů způsobených korovinarovou krizí (viz rezervní fond), by organizace po dohodě se zřizovatelem převedla finanční prostředky k použití na provozní výdaje.   </t>
  </si>
  <si>
    <t xml:space="preserve">Po projednání na kontrolním dnu nebudou do fondu odměn převedeny žádné finanční prostředky. </t>
  </si>
  <si>
    <t>Použití fondu v roce 2020 je plánováno na příspěvek na stravování pro zaměstnace.</t>
  </si>
  <si>
    <t>311/0200 - odběratelé, čtenáři - 4. upomínky</t>
  </si>
  <si>
    <t>Pohledávky od čtenářů jsou vymáhány všemi dostupnými prostředky (písemně, elektronickou cestou, telefonicky i  osobně).
Některé byly během roku 2019 uhrazeny, avšak byly zaúčtovány další. I v roce 2020 bude organizace vymáhat tyto pohledávky všemi možnými výše uvedenými dostupnými prostředky.</t>
  </si>
  <si>
    <t>Organizace nemá za rok 2019 žádné závazky po lhůtě splatnosti.</t>
  </si>
  <si>
    <t xml:space="preserve">Organizace neobržela v roce 2019 žádné dary.                                            </t>
  </si>
  <si>
    <t>Úč.672 (výnosy z transferů) - navýšení dle usnesení RMP č. 9011</t>
  </si>
  <si>
    <t>Úč.521 (mzdové náklady) - navýšení na tarify dle Nař.vlády č.263/2018 Sb.</t>
  </si>
  <si>
    <t>Úč.524,525 (zákonné soc. pojištění) - navýšení v souvislosti se zvýš.tarify</t>
  </si>
  <si>
    <t>Úč.527 (zákonné sociální náklady) - navýšení v souvislosti se zvýš.tarify</t>
  </si>
  <si>
    <t>Úč.672 (výnosy z transferů) - navýšení dle usnesení RMP z roku 2018</t>
  </si>
  <si>
    <t>Úč.518 (ostatní služby) - navýšení na přestěhování dětského oddělení</t>
  </si>
  <si>
    <t>Úč.672 (výnosy z transferů) - navýšení dle usnesení RMP č.9409 - ZM Pv</t>
  </si>
  <si>
    <t>Úč.513 (náklady na reprezentaci) - navýšení dle usnesení - ZM Pv</t>
  </si>
  <si>
    <t>Úč.501 (spotřeba materiálu) - navýšení dle usnesení - materiál - ZM Pv</t>
  </si>
  <si>
    <t>Úč.511 (opravy a udržování) - snížení z důvodu úspory</t>
  </si>
  <si>
    <t>Úč.549 (technické zhodnocení) - navýšení za rozšíření EZS - Vápenice</t>
  </si>
  <si>
    <t>Úč.672 (výnosy z transferů) - navýšení dle usnesení RMP č. 9425 - odpisy</t>
  </si>
  <si>
    <t>Úč.551 (odpisy) - navýšení - technické zhodnocení ve svěřených budovách</t>
  </si>
  <si>
    <t>Úč.648 (čerpání fondů) - spoluúčast na dotaci MK ČR VISK3</t>
  </si>
  <si>
    <t>Úč.558 (náklady z DDHM) - nákup notebooků - spoluúčast VISK3</t>
  </si>
  <si>
    <t>Úč.518 (ostatní služby) - nákup licencí Office - spoluúčast VISK3</t>
  </si>
  <si>
    <t>Úč.672 (výnosy z transferů) - navýšení dle usnesení RMP č. 91069</t>
  </si>
  <si>
    <t xml:space="preserve">Úč.518 (ostatní služby) - na tisk publikace J.Wolker - spoluúčast Ol.kraj </t>
  </si>
  <si>
    <t>Úč.558 (náklady z DDHM) - navýšení na nákup tiskárny</t>
  </si>
  <si>
    <t>Úč.512 (cestovné) - snížení z důvodu úspory na cestovní náklady</t>
  </si>
  <si>
    <t>Úč.501 (spotřeba materiálu) - navýšení na nákup potřebného materiálu</t>
  </si>
  <si>
    <t>Úč.556 (opravné položky) - navýšení dle proúčtování na konci roku</t>
  </si>
  <si>
    <t>Úč.557 (nákl. z vyř.pohledávek) - zaúčtování dle Českých účet.standardů</t>
  </si>
  <si>
    <t>Úč.641 (smluvní pokuty - upomínky za čtenáři) - snížení dle proúčtování</t>
  </si>
  <si>
    <t>Úč.643 ((výnosy z vyřazených.pohledávek) - proúčtování ke konci roku</t>
  </si>
  <si>
    <t xml:space="preserve">Úč.644 (výnosy z prodaného materiálu) - prodej vyřazených knih </t>
  </si>
  <si>
    <t>Úč.602 (výnosy z prodeje služeb) - navýšení dle proúč.koncem roku</t>
  </si>
  <si>
    <t>Při kontrolním dnu za 1. pololetí roku 2019 nebylo organizaci uloženo žádné opatření.</t>
  </si>
  <si>
    <r>
      <t xml:space="preserve">1. Účastníci kontrolního dne vzhledem k provedené analýze výsledku hospodaření doporučují ponechat celý VH za rok 2019 ve výši </t>
    </r>
    <r>
      <rPr>
        <b/>
        <u/>
        <sz val="8"/>
        <color theme="1"/>
        <rFont val="Times New Roman"/>
        <family val="1"/>
        <charset val="238"/>
      </rPr>
      <t>98.769,87 Kč</t>
    </r>
    <r>
      <rPr>
        <sz val="8"/>
        <color theme="1"/>
        <rFont val="Times New Roman"/>
        <family val="1"/>
        <charset val="238"/>
      </rPr>
      <t xml:space="preserve"> k převedení do rezervního fondu organizace.
    Finanční prostředky v rezervním fondu budou v roce 2020 použity k posílení provozních nákladů v souvislosti se ztrátami vzniklými v důsledku koronavirové krize.</t>
    </r>
  </si>
  <si>
    <t>2. Příděl do rezervního fondu provede organizace na základě písemného vyrozumění Odboru školství, kultury a sportu.</t>
  </si>
  <si>
    <r>
      <t xml:space="preserve">3. Účastníci kontrolního dne zhodnotili hospodaření organizace vyplývající z rozborové zprávy a konstatovali, že celkovou činnost Městské knihovny Prostějov za uplynulý rok 2019 lze hodnotit pozitivně.
    Hospodaření po stránce ekonomické bylo shledáno vyrovnané bez výkyvů oproti předcházejícím rokům, což se příznivě projevuje v návštěvnosti knihovny čtenáři a účastníky pořádaných akcí.
     </t>
    </r>
    <r>
      <rPr>
        <u/>
        <sz val="8"/>
        <color theme="1"/>
        <rFont val="Times New Roman"/>
        <family val="1"/>
        <charset val="238"/>
      </rPr>
      <t>Rozborová zpráva, přiložená tabulka a předepsané výkazy</t>
    </r>
    <r>
      <rPr>
        <sz val="8"/>
        <color theme="1"/>
        <rFont val="Times New Roman"/>
        <family val="1"/>
        <charset val="238"/>
      </rPr>
      <t xml:space="preserve"> byly sestaveny v pořádku a předloženy ve stanoveném termínu.
     </t>
    </r>
    <r>
      <rPr>
        <b/>
        <u/>
        <sz val="8"/>
        <color theme="1"/>
        <rFont val="Times New Roman"/>
        <family val="1"/>
        <charset val="238"/>
      </rPr>
      <t xml:space="preserve">Výhled do roku 2020:
</t>
    </r>
    <r>
      <rPr>
        <sz val="8"/>
        <color theme="1"/>
        <rFont val="Times New Roman"/>
        <family val="1"/>
        <charset val="238"/>
      </rPr>
      <t xml:space="preserve">      Vzhledem ke stávající situaci v době koronavirové krize účastníci projednali další vývoj organizace, poukázali na nutnost úsporných opatření z důvodu poklesu tržeb a s tím spojeným zapojením rezervního fondu
       k pokrytí nutných provozních nákladů. Další případná opatření budou konzultována se zřizovatelem dle aktuálního stavu vývoje krize v České republice.    </t>
    </r>
  </si>
  <si>
    <t>Zapsala: Jana Zatloukalová</t>
  </si>
  <si>
    <t>Schválil: MgA. Aleše Procházka</t>
  </si>
  <si>
    <t>Městská knihovna Prostějov, příspěvková organizace</t>
  </si>
  <si>
    <t xml:space="preserve">Škola v roce 2019 hospodařila  v hlavní činnosti se ziskem 13.431,33 Kč. Proti přímému vlivu organizace na tvorbu HV a jednoznačně ziskovým činnostem v hlavní činnosti, např. sběr, poškozené učebnice a ostatní výnosy, stojí úspory nákladů, z toho v závazných ukazatelích nákladových položek v celkové výši  47.346,13 Kč na účtu 502 ušetřené náklady na energie proti plánu. </t>
  </si>
  <si>
    <t xml:space="preserve">Výsledek hospodaření v doplňkové činnosti v částce 242.570,52 Kč je tvořen rozdílem mezi skutečnými výnosy za vlastní činnost, zejména pronájmů v celkové výši 874.636 Kč a celkovými vybranými náklady na tuto činnost ve výši 638.885 Kč, převážně vypočítanými podle kalkulace za pomoci koeficientů podle celkové pronajímané plochy a její vytíženosti vzhledem ke konkrétnímu nájmu a potřebám školy. Zisk z pronájmů činí celkem 235.751 Kč, zbývající část zisku je tvořena z výnosů za prodej služeb - zejména za kurz keramiky. 
</t>
  </si>
  <si>
    <t xml:space="preserve">Prostředky rezervního fondu budou použity v roce 2020 především na sanaci ekonomického propadu v hospodaření školy v důsledku nouzového stavu a financování potřeb školy, zejména na obnovu vybavení ve škole, a to především na obnovu ICT, případně dále na obnovu žákovských lavic a židlí do kmenových tříd, příp. na vybavení kabinetů. Prostředky na projekty Šablony II., přijaté na podzim a nespotřebované v minulém kalendářním roce, které byly převedeny k 31.12.2019 na RF, a to ve výši 1.368.367,32 Kč pro ZŠ a 657.595,34 Kč pro RG, budou v dalším období čerpány účelově pouze na projekty. 
</t>
  </si>
  <si>
    <t xml:space="preserve"> Z fondu investic je plánovano pořízení sklopné plynové pánve, příp. později  i výdejního ohřívacího pultu do školní jídelny. Do třídy na 1. stupeň je v plánu pořízení interaktivního displeje k výuce. Pořízení tohoto nového hmotného majetku se uskuteční až podle ekonomické situace. 
Roční odpisy hmotného majetku budou proti schválenému finančnímu plánu vyšší o 5.077,- Kč, tj. o odpisy z nově pořízeného vybavení na podzim 2019 a posléze z případně nově pořízeného majetku v roce 2020 nastane další změna odpisů. Výhledově bude nutné schválit upravený odpisový plán a změnu závazného ukazatele - účet 551.</t>
  </si>
  <si>
    <t>Prostředky fondu odměn budou čerpány na odměny zaměstnancům.</t>
  </si>
  <si>
    <t xml:space="preserve">Prostředky z FKSP budou čerpány zejména na příspěvek na stravování, na penzijní připojištění zaměstnanců a na společné kulturní a sportovní aktivity zaměstnanců. 
</t>
  </si>
  <si>
    <t>V organizaci nejsou pohledávky po lhůtě splatnosti evidovány.</t>
  </si>
  <si>
    <t>V organizaci nejsou závazky po lhůtě splatnosti evidovány.</t>
  </si>
  <si>
    <t>Dar finanční - Nadace Women for women na obědy pro 5 žáků školy na období 1-6/2019; schváleno usnesením RMP č. 8679 ze dne 31.7.2018</t>
  </si>
  <si>
    <t>Dar věcný - KPŠ při RG a ZŠ města Prostějova - učební pomůcky + výukový materiál do fyziky;schváleno usnesením RMP č. 9423 ze dne 14.5.2019</t>
  </si>
  <si>
    <t xml:space="preserve">Dar finanční - Nadace Women for women na obědy pro 7 žáků školy na období 9-12/2019; schváleno usnesením RMP č. 9680 ze dne 30.7.2019 </t>
  </si>
  <si>
    <t>Dar finanční neúčelový - Neat House - Dřevostavby s.r.o. - účely vymezné §20 odst.8 ZDP č. 586/92 Sb. ve znění pozdějších předpisů - zakoupeny pomůcky a spotřební materiál pro žáky 1. stupně a ŠD</t>
  </si>
  <si>
    <t>Dar věcný - Edwards s.r.o. - pomůcky do výuky fyziky - vývěvy a příslušenství, schváleno usnesením RMP č. 9907 ze dne 18.10.2019</t>
  </si>
  <si>
    <t>Navýšení příspěvku zřizovatele  - účelový příspěvek UZ360 na opravy sociálního zařízení, sprch a šaten u tělocvičny;  schváleno usnesením Rady města Prostějova č. 9355 ze dne 16.4.2019_UZ 360</t>
  </si>
  <si>
    <t>16.4.2019/ RMP č. 9355</t>
  </si>
  <si>
    <t>Opravy nemovitého majetku - účelový příspěvek UZ360 na opravy sociálního zařízení, sprch a šaten u tělocvičny;  schváleno usnesením Rady města Prostějova č. 9355 ze dne 16.4.2019</t>
  </si>
  <si>
    <t>Opravy nemovitého majetku - účelový příspěvek UZ360 na opravy sociálního zařízení, sprch a šaten u tělocvičny, schválený původně usnesením Rady města Prostějova č. 9355 ze dne 16.4.2019; RMP nově schváleno částečné použití ve výši 113.261 Kč tohoto příspěvku na dofinancování opravy osvětlení v části tříd; RMP  usnesení č. 9579.</t>
  </si>
  <si>
    <t>25.6.2019/ RMP č. 9579</t>
  </si>
  <si>
    <r>
      <t xml:space="preserve">Spotřeba energie - teplo; schváleno vedoucím OŠKaS dne 14.5.2019; </t>
    </r>
    <r>
      <rPr>
        <b/>
        <sz val="8"/>
        <rFont val="Times New Roman"/>
        <family val="1"/>
        <charset val="238"/>
      </rPr>
      <t>SpZn. OŠKS 33/2019</t>
    </r>
  </si>
  <si>
    <t>Opravy a udržování nem. majetku  –  opravy osvětlení v min. 12 třídách na základě doporučení KHS po kontrole.</t>
  </si>
  <si>
    <t>Dar věcný v hodnotě 37.574 Kč z KPŠ, schváleno usnesením Rady města Prostějova č. 9423 ze dne 14.5.2019</t>
  </si>
  <si>
    <t>Navýšení příspěvku zřizovatele  - na odpisy v souvislosti s pořízením nové myčky;  schváleno usnesením Rady města Prostějova č. 9420 ze dne 14.5.2019_UZ 310</t>
  </si>
  <si>
    <t>14.5.2019/ RMP č. 9420</t>
  </si>
  <si>
    <t>Odpisy nemovitého majetku - odpisy v souvislosti s pořízením nové myčky;  schváleno usnesením Rady města Prostějova č. 9420 ze dne 14.5.2019</t>
  </si>
  <si>
    <t>Navýšení příspěvku zřizovatele  - na pořízení pomůcek pro žáky prvních tříd ve šk. roce 2019/2020;  RMP rozhodnutí č. 9501 ze dne 27.5.2019_UZ 380</t>
  </si>
  <si>
    <t>27.5.2019/ RMP č. 9501</t>
  </si>
  <si>
    <t>Spotřeba materiálu  -  spotřební materiál pro žáky 1. tříd</t>
  </si>
  <si>
    <t xml:space="preserve">Ostatní výnosy z činnosti - navýšení o úsporu z úroků (výnosy ze sběru, náhrady od fyz. osob, od pojišťovny)  </t>
  </si>
  <si>
    <t xml:space="preserve">Daně - srážková daň z úroku na bankovních účtech  </t>
  </si>
  <si>
    <t xml:space="preserve">Opravy a udržování – opravy movitého majetku </t>
  </si>
  <si>
    <t>Ostatní náklady z činnosti - spoluúčast ČPP - oprava střechy + ostatní drobné fin. náklady</t>
  </si>
  <si>
    <t>Čerpání fondů - posílení čerpání fondu odměn na odměny zaměstnanců</t>
  </si>
  <si>
    <t>Mzdové náklady - čerpání fondů - posílení čerpání fondu odměn na odměny zaměstnanců</t>
  </si>
  <si>
    <t>Navýšení vlastních výnosů - režie za stravné - žáci CMG a SPŠ</t>
  </si>
  <si>
    <t>Navýšení na pořízení vybavení do školy - kabinet TV skříňky 7 ks + vysavač pro úklid</t>
  </si>
  <si>
    <t>Aktivace dlouhodobého majetku -výroba nábytku školník</t>
  </si>
  <si>
    <t>Spotřeba materiálu - výroba nábytku školník - kancelář ŠJ + policové skříňky pro 1. stupeň</t>
  </si>
  <si>
    <t xml:space="preserve">Pořízení DDHM - počítače a NTB do učeben, z toho 5 PC provozních </t>
  </si>
  <si>
    <t xml:space="preserve">Opravy a udržování nem. majetku  –  úprava ve prospěch pořízení počítačů a NTB do učeben, jiné opravy v rámci posílení od zřizovatele pod UZ, proto úspora  
</t>
  </si>
  <si>
    <t xml:space="preserve">Služby  –  úprava ve prospěch pořízení počítačů a NTB do učeben (část licencí z provozu příštího roku) 
</t>
  </si>
  <si>
    <t xml:space="preserve">Mzdové náklady - posílení na odvody zdr. a soc. zabezpečení k čerpání fondu odměn na odměny zaměstnancům </t>
  </si>
  <si>
    <t xml:space="preserve">Ostatní sociální pojištění - zákonné úrazové pojištění ke mzdám ve prospěch nákladů na odvody k čerpání fondu odměn </t>
  </si>
  <si>
    <t xml:space="preserve">Zákonné sociální náklady - stravenky úspora 2300 Kč a 300 Kč ostatní ve prospěch nákladů na odvody k čerpání fondu odměn </t>
  </si>
  <si>
    <t xml:space="preserve">Pořízení vybavení z RF - snížení ve prospěch posílení odvodů k čerpání fondu odměn </t>
  </si>
  <si>
    <t>Dar věcný v hodnotě 14.500 Kč - vývěva a přísl. do fyziky, schváleno usnesením Rady města Prostějova č. 9907 ze dne 8.10.2019</t>
  </si>
  <si>
    <t>8.10.2019/ RMP č. 9907</t>
  </si>
  <si>
    <r>
      <t>Dar věcný v hodnotě 14.500 Kč - vývěva a přísl. do fyziky, schváleno usnesením Rady města Prostějova č. 9907 ze dne 8.10.2020</t>
    </r>
    <r>
      <rPr>
        <sz val="6"/>
        <rFont val="Times New Roman"/>
        <family val="1"/>
        <charset val="238"/>
      </rPr>
      <t/>
    </r>
  </si>
  <si>
    <t>Navýšení příspěvku zřizovatele  - na úhradu nákladů spojených s plaváním žáků 1. stupně;  RMP rozhodnutí č. 9965 ze dne 20.10.2019_UZ 705</t>
  </si>
  <si>
    <t>22.10.2019/ RMP č. 9965</t>
  </si>
  <si>
    <t xml:space="preserve">Pronájem bazénu na plavání pro žáky 1. stupně </t>
  </si>
  <si>
    <t>Výnosy z prodeje služeb -  potraviny - zvýšení počtu odebraných obědů proti předpokladu na rok 2019</t>
  </si>
  <si>
    <t>Spotřeba materiálu  -  - zvýšení počtu odebraných obědů proti předpokladu</t>
  </si>
  <si>
    <r>
      <t xml:space="preserve">Spotřeba energie - úspora teplo; schváleno vedoucím OŠKaS dne 13.11.2019; </t>
    </r>
    <r>
      <rPr>
        <b/>
        <sz val="8"/>
        <rFont val="Times New Roman"/>
        <family val="1"/>
        <charset val="238"/>
      </rPr>
      <t>SpZn. OŠKS 33/2019</t>
    </r>
  </si>
  <si>
    <t>Pořízení žákovských lavic a židlí do tří kmenových tříd 1. stupně z úspory energie</t>
  </si>
  <si>
    <t>Snížení čerpání fondu rezervního - na pořízení počítačů do učeben - čerpáno z provozních prostředků</t>
  </si>
  <si>
    <t>Náklady na pořízení DDHM - snížení na pořízení počítačů do učeben z RF - čerpáno z provozních prostředků</t>
  </si>
  <si>
    <t xml:space="preserve">Ostatní výnosy z činnosti - navýšení příjmů za sběr, poškozené učebnice a jiných </t>
  </si>
  <si>
    <t>Pořízení drobného dlouhodobého majetku - switche, vysavač, ….obnova za nefunkční vybavení</t>
  </si>
  <si>
    <t>Navýšení příspěvku zřizovatele  - na úhradu nákladů spojených s pořízením nové časomíry;  RMP rozhodnutí č. 9847 na investici ze dne 24.9.2019 + revokace RMP č. 91163 ze dne 10.12.2019_UZ 322</t>
  </si>
  <si>
    <t>10.12.2019/ RMP č. 91163</t>
  </si>
  <si>
    <t>Čerpání fondů - snížení čerpání fondu odměn na odměny zaměstnanců</t>
  </si>
  <si>
    <t>Mzdové náklady - čerpání fondů - snížení čerpání fondu odměn na odměny zaměstnanců</t>
  </si>
  <si>
    <t>Mzdové náklady -osobní asistence - snížení čerpání, menší úvazek ve prospěch nedokrytých odvodů za mzdu z ÚP _UZ 303</t>
  </si>
  <si>
    <t>Zákonné sociální pojištění - posílení nákladů za čerpání ke mzdám, hrazeným z ÚP_ UZ303</t>
  </si>
  <si>
    <r>
      <t xml:space="preserve">Spotřeba energie - úspora teplo; schváleno vedoucím OŠKaS dne 17.12.2019; </t>
    </r>
    <r>
      <rPr>
        <b/>
        <sz val="8"/>
        <rFont val="Times New Roman"/>
        <family val="1"/>
        <charset val="238"/>
      </rPr>
      <t>SpZn. OŠKS 33/2019</t>
    </r>
  </si>
  <si>
    <t>Pořízení drobného dlouhodobého majetku - 3 ks dataprojektorů vč. příslušenství + 2 ks mikrokopů za úsporu tepla</t>
  </si>
  <si>
    <t>Výnosy z prodeje materiálu - čipy - prodáno méně čipů v hodnotě 85 Kč/ks</t>
  </si>
  <si>
    <t>Účet 544 - Prodaný materiál - čipy - prodáno méně čipů - úprava plánu na skutečnost</t>
  </si>
  <si>
    <t xml:space="preserve">Výnosy z prodeje služeb - stravné režie - navýšení počtu odebraných obědů </t>
  </si>
  <si>
    <t xml:space="preserve">Cestovné - posílení na cestovné provozní - semináře, soutěže apod. </t>
  </si>
  <si>
    <t xml:space="preserve">Reprezentace - navýšení na občerstvení
</t>
  </si>
  <si>
    <t>Ostatní náklady z činnosti - posílení ostatní drobné fin. Náklady (odpis nefunkčních čipů)</t>
  </si>
  <si>
    <t>Pořízení drobného dlouhodobého majetku - obnova za nefunkční vybavení ….dorovnání finančního plánu na skutečnost</t>
  </si>
  <si>
    <t>x</t>
  </si>
  <si>
    <t xml:space="preserve">Žádná zásadní opatření nebyla na minulém kontrolním dnu organizaci uložena. </t>
  </si>
  <si>
    <r>
      <rPr>
        <b/>
        <sz val="8"/>
        <rFont val="Times New Roman"/>
        <family val="1"/>
        <charset val="238"/>
      </rPr>
      <t>1. Doporučení  pro ponechání výsledku hospodaření organizaci pro příděl do peněžních fondů organizace:</t>
    </r>
    <r>
      <rPr>
        <sz val="8"/>
        <rFont val="Times New Roman"/>
        <family val="1"/>
        <charset val="238"/>
      </rPr>
      <t xml:space="preserve">
Účastníci kontrolního dne, vzhledem k provedené analýze dosaženého výsledku hospodaření, doporučují ponechat organizaci celý výsledek hospodaření ve výši 256.001,85 Kč pro příděl do peněžních fondů organizace dle zákona č. 250/2000 Sb. o rozpočtových pravidlech územních rozpočtů, ve znění pozdějších předpisů a na základě předložených požadavků a potřeb organizace. Do fondu odměn je navrženo převést částku ve výši 30.000,00 Kč a do rezervního fondu zbývající část zlepšeného výsledku hospodaření ve výši 226.001,85 Kč Kč. V této částce je zahrnuta i část výsledku hospodaření, která vznikla úsporou nákladů na energie ve výši 47.346,13 Kč.</t>
    </r>
  </si>
  <si>
    <r>
      <rPr>
        <b/>
        <sz val="8"/>
        <rFont val="Times New Roman"/>
        <family val="1"/>
        <charset val="238"/>
      </rPr>
      <t>2. Doporučení pro odvod ZVH organizace na účet zřizovatele:</t>
    </r>
    <r>
      <rPr>
        <sz val="8"/>
        <rFont val="Times New Roman"/>
        <family val="1"/>
        <charset val="238"/>
      </rPr>
      <t xml:space="preserve">
Účastníci KD, vzhledem k provedené analýze dosaženého výsledku hospodaření, doporučují část výsledku hospodaření ve výši 47.346,13 Kč místo odvodu zřizovateli ponechat organizaci  (rezervní fond) prioritně na sanaci nákladů, vzniklých dopady vyhlášeného nouzového stavu v ČR.
</t>
    </r>
  </si>
  <si>
    <r>
      <rPr>
        <b/>
        <sz val="8"/>
        <rFont val="Times New Roman"/>
        <family val="1"/>
        <charset val="238"/>
      </rPr>
      <t>3. Termíny pro příděly a odvod:</t>
    </r>
    <r>
      <rPr>
        <sz val="8"/>
        <rFont val="Times New Roman"/>
        <family val="1"/>
        <charset val="238"/>
      </rPr>
      <t xml:space="preserve">
Příděl  fondům provede organizace na základě písemného vyrozumění odborem Odboru školství, kultury a sportu MMPv.
</t>
    </r>
  </si>
  <si>
    <r>
      <rPr>
        <b/>
        <sz val="8"/>
        <rFont val="Times New Roman"/>
        <family val="1"/>
        <charset val="238"/>
      </rPr>
      <t xml:space="preserve">4. Informace o vyúčtování účelových příspěvků zřizovatele: 
</t>
    </r>
    <r>
      <rPr>
        <sz val="8"/>
        <rFont val="Times New Roman"/>
        <family val="1"/>
        <charset val="238"/>
      </rPr>
      <t xml:space="preserve">Nespotřebované účelové prostředky vedené jako zálohy na účtu 374 byly vráceny zřizovateli v rámci vyúčtování k 10. 1. 2020 :                                                                                                                                                    
- 52x mzdové náklady - účelově UZ 301-303 - vráceno zřizovateli 22.491,55 Kč,  úspora za vedení kroužků i za správce hřiště, 
- 549 technické zhodnocení - úspora za elektroinstalační práce na pořízení časomíry, účelově UZ 322, vráceno zřizovateli 2.020,25 Kč (zřizovatelem zasláno 5.002 Kč ve 120.000 Kč investičního příspěvku na časomíru).  
</t>
    </r>
  </si>
  <si>
    <r>
      <rPr>
        <b/>
        <sz val="8"/>
        <rFont val="Times New Roman"/>
        <family val="1"/>
        <charset val="238"/>
      </rPr>
      <t>5. Informace o provedené odchylce od účetních metod:</t>
    </r>
    <r>
      <rPr>
        <sz val="8"/>
        <rFont val="Times New Roman"/>
        <family val="1"/>
        <charset val="238"/>
      </rPr>
      <t xml:space="preserve">
Škola tvořila fond investic v plné výši zaúčtovaných odpisů. V této výši také zřizovatel organizaci poskytl finanční příspěvek na odpisy, který byl zaúčtován do výnosů organizace. Proto se organizace rozhodla z důvodu dosažení lepší vypovídající schopnosti účetní závěrky a finanční situace účetní jednotky nedodržet ustanovení ČÚS 708 (bod 8.3.) 
a přeúčtovala rozpuštění investičního transferu z výnosů zápisem ze strany MD účtu 672
– Výnosy vybraných místních vládních institucí z transferů na stranu Dal účtu 401 – Jmění účetní jednotky. 
Důvodem této odchylky je snaha o sjednocení pohledu na nutný objem finančních prostředků k prosté reprodukci majetku, kdy fond investic je vytvářen v plné výši odpisů. 
V účetním období od ledna do prosince bylo takto zúčtováno 314.985,96 Kč, tj. 26.248,83 Kč/měsíc.
</t>
    </r>
  </si>
  <si>
    <t>V Prostějově dne 17. 4. 2020</t>
  </si>
  <si>
    <t>Zlepšený hospodářský výsledek za rok 2019 je dosažený sníženými náklady na energie. Topení se reguluje ručně v závislosti na venkovní teplotě.</t>
  </si>
  <si>
    <t>U doplňkové činnosti se daří plnit výnosy a k tomu náležící náklady.</t>
  </si>
  <si>
    <t>Rezervní fond je plně finančně krytý. V konečném zůstatku 2019 je  přeúčtovaná nespotřebovaná záloha na projekt ÚZ 33063 ve výši 1,816.144,50Kč a nespotřebovaná záloha na projekt"Obědy do škol" ve výši 50.128,95. Skutečný použitelný zůstatek rezevního fondu je ve výši 222.666,64 Kč. V roce 2020 se plánuje rekonstrukce jednotlivých kabinetů, rozšíření kapacitních míst, výměnu osvětlení a podlahových krytin.</t>
  </si>
  <si>
    <t>Investiční fond je plně finančně krytý. V roce 2019 se čerpal IF na rekonstrukci strukturované kabeláže, výměnu potrubí a ventilů, výměnu podlahové krytiny. Tyto prostředky slouží jako rezerva ne jen pro potřeby školy, ale také pro potřeby školní jídelny.</t>
  </si>
  <si>
    <t>Fond odměn je plně finančně krytý a slouží jako rezerva při event. překročení prostředků na platy.</t>
  </si>
  <si>
    <t>Fond kulturních a sociálních potřeb je užíván dle Zásad pro hospodaření s FKSP.</t>
  </si>
  <si>
    <t>Organizace neeviduje žádné pohledávky po lhůtě splatnosti.</t>
  </si>
  <si>
    <t>Organizace neeviduje žádné závazky po lhůtě splatnosti.</t>
  </si>
  <si>
    <t>Mobilní trojhranné stoly a židle od Klubu přátel školy při ZŠ E. Valenty Prostějov, z.s., schváleno usnesením RMP č. 9584</t>
  </si>
  <si>
    <t>Učebnice anglického jazka od Klubu přátel školy při ZŠ E. Valenty Prostějov, z.s., schváleno usnesením RMP č. 9637</t>
  </si>
  <si>
    <t>Drobné nádobí a elektrospotřebiče od Klubu přátel školy při ZŠ E. Valenty Prostějov, z.s., schváleno usnesením RMP č. 91155</t>
  </si>
  <si>
    <t xml:space="preserve">částka ±  výnosů v Kč </t>
  </si>
  <si>
    <t xml:space="preserve">částka ±  nákladů v Kč </t>
  </si>
  <si>
    <t>511/300</t>
  </si>
  <si>
    <t>518/390</t>
  </si>
  <si>
    <t>Ostatní služby - servisní prohlídky</t>
  </si>
  <si>
    <t>518/430</t>
  </si>
  <si>
    <t>Ostatní služby - ostatní služby</t>
  </si>
  <si>
    <t>518/442</t>
  </si>
  <si>
    <t>Usnesením RMP č. 9356 - navýšení příspěvku na opravy</t>
  </si>
  <si>
    <t>672/320</t>
  </si>
  <si>
    <t>511/310</t>
  </si>
  <si>
    <t>Schváleno vedoucím OŠKS - převod nákladů z energií</t>
  </si>
  <si>
    <t>502/330</t>
  </si>
  <si>
    <t>Schváleno vedoucím OŠKS - převod nákladů na nákup OEM</t>
  </si>
  <si>
    <t>501/430</t>
  </si>
  <si>
    <t>Schváleno vedoucím OŠKS - převod nákladů na nákup DDHM</t>
  </si>
  <si>
    <t>558/300</t>
  </si>
  <si>
    <t>Schváleno vedoucím OŠKS - převod nákladů na opravy</t>
  </si>
  <si>
    <t>Usnesením RMP č. 9501 - navýšení příspěvku na pomůcky</t>
  </si>
  <si>
    <t>501/340</t>
  </si>
  <si>
    <t>Použití fondů - čerpání rezervního fondu</t>
  </si>
  <si>
    <t>648/320</t>
  </si>
  <si>
    <t>Prodaný materiál - karty, čipy</t>
  </si>
  <si>
    <t>544/000</t>
  </si>
  <si>
    <t>Výnosy z prodaného materiálu - karty, čipy</t>
  </si>
  <si>
    <t>644/000</t>
  </si>
  <si>
    <t>Výnosy z činnosti - spojené s nájemným</t>
  </si>
  <si>
    <t>602/380</t>
  </si>
  <si>
    <t>Výnosy z činnosti - ostatní výnosy z činnosti</t>
  </si>
  <si>
    <t>649/330</t>
  </si>
  <si>
    <t>Ostatní služby - poradenské a právní služby</t>
  </si>
  <si>
    <t>518/380</t>
  </si>
  <si>
    <t>Ostatní služby - OENM - do 999 Kč</t>
  </si>
  <si>
    <t>518/400</t>
  </si>
  <si>
    <t>Ostatní služby - údržba software a licence</t>
  </si>
  <si>
    <t>518/480</t>
  </si>
  <si>
    <t>Usnesením RMP č. 9584 - souhlas s přijetím daru od KPŠ</t>
  </si>
  <si>
    <t>649/310</t>
  </si>
  <si>
    <t>Usnesením RMP č. 9586 - navýšení příspěvku na osvětlení</t>
  </si>
  <si>
    <t>Usnesením RMP č. 9637 - souhlas s přijetím daru od KPŠ</t>
  </si>
  <si>
    <t>Použití fondů - čerpání fondu odměn</t>
  </si>
  <si>
    <t>648/620</t>
  </si>
  <si>
    <t>Mzdové prostředky</t>
  </si>
  <si>
    <t>521/300</t>
  </si>
  <si>
    <t>Použití fondů - čerpání fondu investic</t>
  </si>
  <si>
    <t>648/420</t>
  </si>
  <si>
    <t>Zákonné sociální pojištění - zdrav.poj.</t>
  </si>
  <si>
    <t>524/310</t>
  </si>
  <si>
    <t>527/300</t>
  </si>
  <si>
    <t>Ostatní služby - pronájem bazánu</t>
  </si>
  <si>
    <t>Usnesením RMP č. 9965 - navýšení příspěvku na plavání I.st.</t>
  </si>
  <si>
    <t>502/000</t>
  </si>
  <si>
    <t>Schváleno vedoucím OŠKS - převod nákladů na spotřebu materiálu</t>
  </si>
  <si>
    <t>501/000</t>
  </si>
  <si>
    <t>511/000</t>
  </si>
  <si>
    <t>Schváleno vedoucím OŠKS - převod nákladů na sostatní služby</t>
  </si>
  <si>
    <t>518/000</t>
  </si>
  <si>
    <t>Usnesením RMP č. 91156- snížení závazného ukazatele odpisů</t>
  </si>
  <si>
    <t>551/000</t>
  </si>
  <si>
    <t>Usnesením RMP č. 91156 - navýšení příspěvku na UP</t>
  </si>
  <si>
    <t>Usnesením RMP č. 91155 - souhlas s přijetím daru od KPŠ</t>
  </si>
  <si>
    <t>501/490</t>
  </si>
  <si>
    <t>Prodaný materiál - karty, čipy, čipy docházkový systém</t>
  </si>
  <si>
    <t>Výnosy z prodaného materiálu - karty, čipy, čipy docházkový systém</t>
  </si>
  <si>
    <t>Spotřeba materiálu - tonery</t>
  </si>
  <si>
    <t>Výnosy z prodeje služeb - ŠD</t>
  </si>
  <si>
    <t>602/320</t>
  </si>
  <si>
    <t xml:space="preserve">Ostatní výnosy z činnosti </t>
  </si>
  <si>
    <t>Celkem úpravy finančního plánu</t>
  </si>
  <si>
    <t>Úpravy finančního plánu v doplňkové činnosti</t>
  </si>
  <si>
    <t>Výnosy z pronájmu - tělocvičny</t>
  </si>
  <si>
    <t>603/002</t>
  </si>
  <si>
    <t>Výnosy z pronájmu - byt</t>
  </si>
  <si>
    <t>603/003</t>
  </si>
  <si>
    <t>Spotřeba materiálu - kancelářské potřeby</t>
  </si>
  <si>
    <t>501/010</t>
  </si>
  <si>
    <t xml:space="preserve">Opravy a udžování </t>
  </si>
  <si>
    <t>511/020</t>
  </si>
  <si>
    <t>Ostatní služby - poštovné</t>
  </si>
  <si>
    <t>518/001</t>
  </si>
  <si>
    <t>518/142</t>
  </si>
  <si>
    <t>Mzdové náklady</t>
  </si>
  <si>
    <t>521/001</t>
  </si>
  <si>
    <t>524/001</t>
  </si>
  <si>
    <t>Jiné sociální pojištění</t>
  </si>
  <si>
    <t>525/001</t>
  </si>
  <si>
    <t>527/001</t>
  </si>
  <si>
    <t>Účastníci kontrolního dne doporučili organizaci zapojit rezervní a investiční fond - splněno.</t>
  </si>
  <si>
    <t>Účastníci kontrolního dne, vzhledem k provedené analýze výsledku hospodaření, doporučují ponechat organizaci  ze zlepšeného hospodářského výsledku částku 153.403,- Kč pro příděl do peněžních fondů organizace dle zákona č. 250/2000 Sb., o rozpočtových pravidlech územních rozpočtů, ve znění pozdějších předpisů. Na základě předložených požadavků a potřeb organizace je navrženo převést do fondu odměn částku ve výši 10.000,-Kč a do rezervního fondu převést částku 143.403,- Kč, přičemž tyto prostředky použije organizace prioritně na případnou ztrátu výnosů v hlavní i doplňkové činnosti v souvislosti s krizovou situací v důsledku šíření koronaviru.</t>
  </si>
  <si>
    <t>V Prostějově dne 15. 4. 2020</t>
  </si>
  <si>
    <t>Vyhotovila: Markéta Pižlová</t>
  </si>
  <si>
    <t xml:space="preserve">Čerpání z RF za rok 2019 - pořízení firemního oblečení pro uvaděčku a na pokrytí nákladů akcí spojených s 45. výročím vzniku Ha Divadla v Prostějově.. </t>
  </si>
  <si>
    <t>Zdrojem FI jsou odpisy DHM. FI byl v roce 2019 čerpán na opravu čístících zón v divadle a opravu boxů v přednáškovém sále</t>
  </si>
  <si>
    <t>Do FO byl uložen ZHV z dopňkové činnosti za rok 2018. FO byl použit na odměnu ředitelky organizace dle rozhodnutí zřizovatele.</t>
  </si>
  <si>
    <t>Zdrojem FKSP je 2% zálohový příděl schválených mzdových prostředků. FKSP je používán na příspěvek na stravné, na nákup dárkových poukázek a na kulturní akce pro zamšstnance v hlavním pracovním poměru.</t>
  </si>
  <si>
    <t>žádné</t>
  </si>
  <si>
    <t xml:space="preserve">Navýšení neinvestičného příspěvku od zřizovatele v položce mzdových </t>
  </si>
  <si>
    <t xml:space="preserve">RMPV č. 9011 </t>
  </si>
  <si>
    <t>nákladů z důvodu zvyšování tarifů</t>
  </si>
  <si>
    <t>z 8. 1. 2019</t>
  </si>
  <si>
    <t>Hlavní činnost</t>
  </si>
  <si>
    <t>Úprava nákladových položek plynoucí z přeúčtování nákladů z komerčních</t>
  </si>
  <si>
    <t>pronájmů k 30. 6. 2019</t>
  </si>
  <si>
    <t>Čerpání FO na odměnu ředitelky z DČ</t>
  </si>
  <si>
    <t>RMPV č. 9577</t>
  </si>
  <si>
    <t>z 25. 6. 2019</t>
  </si>
  <si>
    <t xml:space="preserve">Navýšení neinvestičního příspěvku od zřizovatele na opravu majetku - </t>
  </si>
  <si>
    <t>RMPV č. 9587</t>
  </si>
  <si>
    <t>přečalounění židlí</t>
  </si>
  <si>
    <t>Čerpání RF na nákup firemního oblečení pro biletářku - úprava rozpočtu</t>
  </si>
  <si>
    <t>Čerpání IF na přečalounění a opravu boxů v přednáškovém sálu  - úprava</t>
  </si>
  <si>
    <t>rozpočtu</t>
  </si>
  <si>
    <t xml:space="preserve">Navýšení neinvestičního příspěvku od zřizovatele na mzdové prostředky - </t>
  </si>
  <si>
    <t>RMPV č. 9918</t>
  </si>
  <si>
    <t>mimořádné odměny při rekonstrukci ND pro technický personál</t>
  </si>
  <si>
    <t>z 8. 10. 2019</t>
  </si>
  <si>
    <t>Čerpání IF na opravu čistících zón v divadelní části po rekonstrukci ND</t>
  </si>
  <si>
    <t>Navýšení neinvestičního příspěvku od zřizovatele na odpisy majetku - 6ks</t>
  </si>
  <si>
    <t>RMPV č. 91068</t>
  </si>
  <si>
    <t>reflektorů</t>
  </si>
  <si>
    <t>z 19. 11. 2019</t>
  </si>
  <si>
    <t>Čerpání RF na propagaci 45.výročí vzniku HaDivadla v Prostějově</t>
  </si>
  <si>
    <t>Úprava plánu k 19. 12. 2019 se souhlasem OŠKS</t>
  </si>
  <si>
    <t>Souhlas OŠKS</t>
  </si>
  <si>
    <t>sp.zn. 33/2019</t>
  </si>
  <si>
    <t>Úprava rozpočtu - nákladové položky sk. 52 … plynoucí z uzávěrk. prací</t>
  </si>
  <si>
    <t>pronájmů a uzávěrkových operací k 31. 12. 2019</t>
  </si>
  <si>
    <t>Dolpňková činnost</t>
  </si>
  <si>
    <t>Úpravy rozpočtu v hlavní činnosti byly ohlášeny OŠKS</t>
  </si>
  <si>
    <t>Úpravy rozpočtu v dopňkové činnosti jsou plně v kompetenci organizace.</t>
  </si>
  <si>
    <t>Z minulého kontrolního dne nebyla uložena žádná opatření.</t>
  </si>
  <si>
    <t xml:space="preserve">Účastníci kontrolního dne vzhledem k provedené analýze výsledků hospodaření doporučují organizaci přidělit část HV v částce 40 tisíc. Kč do Fondu odměn a zbylou část HV 121 793,36 Kč do RF, </t>
  </si>
  <si>
    <t xml:space="preserve">v souladu se zákonem 250/200 Sb. </t>
  </si>
  <si>
    <t xml:space="preserve">PO vznesla dotaz, zda při investičních opravách v rámci projektu Obnova Národního domu nebyl pořízen majetek, který není považován za opravu a měl by být organizaci svěřen jako DDHM </t>
  </si>
  <si>
    <t xml:space="preserve">(např. myčka nebo kuchyňský nábytek ve spolkovém bufetu). </t>
  </si>
  <si>
    <t>Dosažený hospodářský výsledek je v souladu se schváleným finančním plánem</t>
  </si>
  <si>
    <t>Kladný hospodářský výsledek je tvořen zejména z výnosů z pronájmu.</t>
  </si>
  <si>
    <t>Čerpání na realizaci projektu "Vzdělávejme se společně" ve výši nespotřebované části prostředků k 31.12.2019. V roce 2020 plánujeme čerpání na pokračující obnovu vybavení kabinetů pro pedagogy ve výši 100.000 Kč, převod za účelem posílení fondu investic (plánované pořízení DHM - obnova PC učebny) ve výši 220.000 Kč. Po těchto úpravách bude konečný zůstatek rezervního fondu ve výši 84.990,60 Kč.</t>
  </si>
  <si>
    <t>Spolufinancování akce v roce 2020 UZ 358 - II. etapa oprava příjezdové komunikace ve výši 135.282 Kč. Pořízení DHM - obnova PC učebny ve výši 390.000 Kč v roce 2020. Po zohlednění plánované tvorby a čerpání fondu bude plánovaný konečný zůstatek fondu ve výši 21.247,70 Kč.</t>
  </si>
  <si>
    <t>Není stanoveno.</t>
  </si>
  <si>
    <t>V roce 2020 bude čerpáno na stravování, na rekreaci, sportovní a kulturní akce, peněžité a nepeněžité dary v souladu s plánem čerpání fondu na rok 2020 a platnou legislativou.</t>
  </si>
  <si>
    <t xml:space="preserve"> fy. Women and women, účelem je podpora stravování sociálně znevýhodněných dětí</t>
  </si>
  <si>
    <t>fy. TextilEco a.s., účelem je podpora a rovoj vzdělávání, zejména sportovní činnosti žáků</t>
  </si>
  <si>
    <t>navýšení nákladů - potraviny</t>
  </si>
  <si>
    <t>navýšení výnosů - výnosy za stravné</t>
  </si>
  <si>
    <t>snížení nákladů - kancelářské potřeby</t>
  </si>
  <si>
    <t>snížení nákladů - tonery, cartridge</t>
  </si>
  <si>
    <t>navýšení nákladů - učební pomůcky</t>
  </si>
  <si>
    <t>snížení nákladů - učební pomůcky - ostatní</t>
  </si>
  <si>
    <t>navýšení nákladů - učební pomůcky účel. Určené - Usnesení č. 9501, UZ 378, pomůcky pro žáky 1. tříd</t>
  </si>
  <si>
    <t>27.5.2019/ usn.č.9501</t>
  </si>
  <si>
    <t>navýšení výnosů - účelově určený příspěvek na provoz - Usnesení č. 9501, UZ 378, pomůcky pro žáky 1. tříd</t>
  </si>
  <si>
    <t>snížení položky nákladů - hračky</t>
  </si>
  <si>
    <t>snížení položky nákladů - ŠD</t>
  </si>
  <si>
    <t>snížení položky nákladů - ŠJ spotřební materiál</t>
  </si>
  <si>
    <t>navýšení položky nákladů - čistící a hygienické potřeby</t>
  </si>
  <si>
    <t>navýšení položky nákladů - léky, zdravotnický materiál</t>
  </si>
  <si>
    <t>snížení položky nákladů - knihy, časopisy</t>
  </si>
  <si>
    <t>navýšení položky nákladů - OEM</t>
  </si>
  <si>
    <t>navýšení položky nákladů - materiál na opravy (vnitřní)</t>
  </si>
  <si>
    <t>snížení položky nákladů - propagační materiály</t>
  </si>
  <si>
    <t>navýšení položky nákladů - ostatní</t>
  </si>
  <si>
    <t>navýšení položky výnosů - výnosy za stravné</t>
  </si>
  <si>
    <t>navýšení položky výnosů - výnosy za poplatky v MŠ</t>
  </si>
  <si>
    <t>navýšení položky výnosů - výnosy za poplatky v ŠD</t>
  </si>
  <si>
    <t>navýšení položky výnosů - výnosy ostatní</t>
  </si>
  <si>
    <t>navýšení položky výnosů - výnosy z prodeje (sběr)</t>
  </si>
  <si>
    <t>snížení položky energie - plyn</t>
  </si>
  <si>
    <t>snížení položky energie - elektrická energie</t>
  </si>
  <si>
    <t>navýšení položky energie - vodné a stočné</t>
  </si>
  <si>
    <t xml:space="preserve">snížení položky energie - teplo </t>
  </si>
  <si>
    <t>navýšení položky - odpisy majetku</t>
  </si>
  <si>
    <t>31.12.2019/ usn.č. 91151</t>
  </si>
  <si>
    <t>navýšení položky - odpisy budov</t>
  </si>
  <si>
    <t>navýšení položky - prodané čipy</t>
  </si>
  <si>
    <t>navýšení nákladů - opravy nemovitého majetku nad 100 tis. Kč - I. etapa opravy příjezdové komunikace</t>
  </si>
  <si>
    <t>16.4.2019/ usn.č.9356</t>
  </si>
  <si>
    <t>navýšení výnosů - účelově určený příspěvek na provoz - Usnesení č. 9356, UZ 358, I. etapa opravy příjezdové komunikace</t>
  </si>
  <si>
    <t>snížení položky nákladů - oprava nemovitého majetku do 100 tis. Kč</t>
  </si>
  <si>
    <t>navýšení položky nákladů - oprava nemovitého majetku do 100 tis. Kč</t>
  </si>
  <si>
    <t>navýšení položky nákladů - oprava movitého majetku do 20 tis. Kč</t>
  </si>
  <si>
    <t>snížení položky nákladů - cestovné</t>
  </si>
  <si>
    <t xml:space="preserve">navýšení položky nákladů - cestovné </t>
  </si>
  <si>
    <t>navýšení položky nákladů - náklady na reprezentaci</t>
  </si>
  <si>
    <t>snížení položky nákladů - poštovné</t>
  </si>
  <si>
    <t>snížení položky nákladů - internet a souvis. Poplatky</t>
  </si>
  <si>
    <t>navýšení položky nákladů - bankovní poplatky</t>
  </si>
  <si>
    <t xml:space="preserve">snížení položky nákladů - nájem bazénu </t>
  </si>
  <si>
    <t>snížení položky nákladů - zpracování ekonom. Agend</t>
  </si>
  <si>
    <t>navýšení položky nákladů - konzultační, poradenské a právní služby</t>
  </si>
  <si>
    <t>navýšení položky nákladů - školení a vzdělávání</t>
  </si>
  <si>
    <t>navýšení položky nákladů - DDNM (SW)</t>
  </si>
  <si>
    <t>snížení položky nákladů - telefony (pevná linka)</t>
  </si>
  <si>
    <t>navýšení položky nákladů - mobily</t>
  </si>
  <si>
    <t>snížení položky nákladů - servisní prohlídky</t>
  </si>
  <si>
    <t>navýšení položky nákladů - úklid a údržba dodavatelsky</t>
  </si>
  <si>
    <t>snížení položky nákladů - likvidace odpadů</t>
  </si>
  <si>
    <t>snížení položky nákladů - údržba sw a licence</t>
  </si>
  <si>
    <t>navýšení položky nákladů - servis PC</t>
  </si>
  <si>
    <t>navýšení položky nákladů - ostatní služby (nezařazené)</t>
  </si>
  <si>
    <t>navýšení položky nákladů - praní prádla</t>
  </si>
  <si>
    <t>navýšení položky nákladů - prostředky na platy (FO)</t>
  </si>
  <si>
    <t>30.5.2019/ usn.č.9497</t>
  </si>
  <si>
    <t>navýšení položky nákladů - sociální pojištění (FO)</t>
  </si>
  <si>
    <t>navýšení položky nákladů -zdravotní pojištění (FO)</t>
  </si>
  <si>
    <t xml:space="preserve">navýšení položky nákladů - povinné úrazové pojištění </t>
  </si>
  <si>
    <t>31.12.2019/ usn.č.91151</t>
  </si>
  <si>
    <t>navýšení položky nákladů - základní příděl 2%FKSP</t>
  </si>
  <si>
    <t>navýšení položky nákladů - základní příděl 2% FKSP (FO)</t>
  </si>
  <si>
    <t>navýšení položky nákladů - drobný dlouhodobý hmotný majetek</t>
  </si>
  <si>
    <t>navýšení UZ 703 - náklady spojené s plaváním žáků I.stupně v městských lázních od září do prosince 2019</t>
  </si>
  <si>
    <t>6.11.2019/ usn.č.9965</t>
  </si>
  <si>
    <t>navýšení výnosů - prodej čipu</t>
  </si>
  <si>
    <t xml:space="preserve">navýšení výnosů - čerpání fondu rezervního </t>
  </si>
  <si>
    <t>navýšení výnosů - čerpání fondu odměn</t>
  </si>
  <si>
    <t>navýšení výnosů - čerpání fondu investic</t>
  </si>
  <si>
    <t>snížení položky výnosů - výnosy z prodeje ostatní</t>
  </si>
  <si>
    <t>navýšení položky výnosů - výnosy za poškozené učebnice</t>
  </si>
  <si>
    <t>navýšení položky výnosů - přeúčtování volání mobil</t>
  </si>
  <si>
    <t>navýšení položky výnosů - úroky v bance</t>
  </si>
  <si>
    <t>nebyly uloženy</t>
  </si>
  <si>
    <t>Při čerpání rozpočtu dbát zvýšené opatrnosti z důvodu současné rizikové situace související s onemocněním COVID-19.</t>
  </si>
  <si>
    <t>V Prostějově dne 17.4.2020</t>
  </si>
  <si>
    <r>
      <t>Příspěvková organizace:</t>
    </r>
    <r>
      <rPr>
        <b/>
        <sz val="14"/>
        <rFont val="Times New Roman"/>
        <family val="1"/>
        <charset val="238"/>
      </rPr>
      <t xml:space="preserve"> Základní škola a mateřská škola Prostějov, Palackého tř. 14</t>
    </r>
  </si>
  <si>
    <t>Sportcentrum - dům dětí a mládeže Prostějov, příspěvková organizace</t>
  </si>
  <si>
    <t>Hospodářský výsledek byl pozitivně ovlivněn navýšením úplat za zájmové útvary, které byly dlouhá léta neměnné. Organizace se připravovala na zvýšený hospodářský výsledek, aby mohla čelit problémům s nutnými opravami objektu Olympijská - přípravami odpadů v souvislosti s budováním retenčních nádrží. Výsledek hospodaření mohl být ještě vyšší, bohužel dorazila nečekaně vysoká faktura - přeúčtování energií za užívání objektu Komenská (po dobu rekonstrukce objektu Vápenice)</t>
  </si>
  <si>
    <t>Hospodářský výsledek doplňkové činnost byl negativně ovlivněn zahájením provozu Národního sportovního centra v Prostějově, což způsobilo nečekanou restrukturalizaci nájmů v naší sportovní hale (zmenšil se počet utkání o víkendech), a to i v době, kdy se organizaci podařilo v posledním roce získat nové nájmece. Negativní dopad na výsledek DČ měla rovněž skutečnost, že zrekonstruovaný objekt na Vápenici byl předák k užívání v březnu 2019, což způsobilo, že objekt byl zprovozněn pro nájmy až od září (organizace považovala za nereálné, aby se se svou činností přemístila na 3 měsíce školního roku a tento školní rok dokončila v propůjčeném objektu na Komenské)</t>
  </si>
  <si>
    <t>Rezervní fond plánuje organizace čerpat k dalšímu rozvoji své činnosti a k případnému časovému překlenutí dočasného nesouladu mezi výnosy a náklady.</t>
  </si>
  <si>
    <t>Očekávané čerpání investičního fondu se týká zřízení  5 klimatizačních jednotek v 5 kancelářích v budově Olympijská, rovněž však i na doplnění financování oprav, na které poskytnul zřizovatel neinvestiční příspěvek.</t>
  </si>
  <si>
    <t>Organizace plánuje užití fondu při odměňování za nadstandartní pracovní výkony, přesčasy, ale i při motivaci ke kvalitním pracovním výkonům při běžném provozu.</t>
  </si>
  <si>
    <t xml:space="preserve">Fond FKSP je pravidelně čerpán formou příspěvku na stravné zaměstnanců. Každoročně organizace zaměstnancům hradí poukázky na odběr vitamínových doplňků. Případně je FKSP čerpán na kulturní akce pro zaměstnance. </t>
  </si>
  <si>
    <t>311/0100 - Odběratelé</t>
  </si>
  <si>
    <t>Dlužníkovi byla zaslána upomínka.</t>
  </si>
  <si>
    <t>DT - Výhybkárna a strojírna a. s. - nákup 5 ks šlapacích kár</t>
  </si>
  <si>
    <t>Úprava rozpočtu č. 1 - navýšení neinv. příspěvku na mzdy</t>
  </si>
  <si>
    <t>Úprava rozpočtu č. 2 - navýšení neinvestičního příspěvku na opravy restaurace, TZ posilovny a opravy v sále</t>
  </si>
  <si>
    <t>Úprava finančního plánu 3 - HČ - navýšení rozpočtu o neinvestiční příspěvek na vybavení objektu Vápenice dle usnesení č. 8910 ze dne 9.10.2018</t>
  </si>
  <si>
    <t>Úprava finančního plánu 4 - HČ - navýšení rozpočtu o neinvestiční příspěvek na opravu palubovky - Olympijská</t>
  </si>
  <si>
    <t>Úprava finančního plánu 5 - HČ - přesun fin. prostředků z materiálu na ostatní náklady z činnosti , DČ - přesun fin. v rozpočtu z prostředků na opravy na DDM</t>
  </si>
  <si>
    <t>Úprava finančního plánu 6 - HČ - navýšení rozpočtu o neinvestiční příspěvek na odpisy. Usnesení č. 9419 ze dne 14.5.2019 - revokace</t>
  </si>
  <si>
    <t>Úprava finančního plánu 7- HČ - čerpání daru na nákup kárek na DDC</t>
  </si>
  <si>
    <t>Úprava finančního plánu 8 - HČ - navýšení rozpočtu - čerpání IF na opravu palubovky a stavební dozor při opravě. Čerpání FO ve III. Čtvrtletí 2019.</t>
  </si>
  <si>
    <t>Úprava finančního plánu 10 - HČ - čerpání IF na opravy usnesení č. 9753 ze dne 2.9.2019</t>
  </si>
  <si>
    <t>Úprava finančního plánu 11 - HČ - čerpání FI na opravu fasády a vstupních dveří Vápenice - rozhodnutí č. 9682</t>
  </si>
  <si>
    <t>Úprava finančního plánu 12 - HČ - navýšení neinvestičního příspěvku na nákup discgolfových disků usnesení č. 9915 ze dne 8.10.2019</t>
  </si>
  <si>
    <t>Úprava finančního plánu 13 - HČ - navýšení příspěvku zřizovatele na mzdy usn. č. 9964 ze dne 22.10.2019</t>
  </si>
  <si>
    <t>Úprava finančního plánu 14 - HČ - čerpání z RF na 2x elektro koloběžky</t>
  </si>
  <si>
    <t>Úprava finančního plánu 15 - HČ - čerpání FR na vybavení posilovny</t>
  </si>
  <si>
    <t>Úprava finančního plánu 16 - HČ - čerpání z FO</t>
  </si>
  <si>
    <t>Úprava finančního plánu č.17 - v rámci jednotlivých SÚ načerpání z energií na materiál a opravy, ze služeb na reprezentaci a daň. DČ - z energií na odpisy</t>
  </si>
  <si>
    <t>Z jednání předchozího kontrolního dne vyplynul požadavek na reorganizaci užívání pevných linek. Organizace by byla ráda nezávislá na pevných linkách obecně, realizace této reorganizace se však projeví až napojením EPS i zabezpečovacího zařízení na pult a dořešením technických požadavků IZS v této souvislosti. To se bohužel z důvodu technických úskalí objektu Olympijská nestalo a plánuje se realizovat v roce 2020.</t>
  </si>
  <si>
    <t>Z jednání kontrolního dne vyplynul požadavek na prověření nákladů za sečení a postřiky trávy. Ostatní dotazy byly zodpovězeny na místě.</t>
  </si>
  <si>
    <t>V Prostějově dne 04.05.2020</t>
  </si>
  <si>
    <t>Příspěvková organizace: Sportcentrum - dům dětí a mládeže Prostějov</t>
  </si>
  <si>
    <t>Jesle sídliště Svobody v Prostějově, příspěvková organizace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</si>
</sst>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_ ;\-#,##0.00\ "/>
    <numFmt numFmtId="165" formatCode="dd/mm/yy;@"/>
    <numFmt numFmtId="166" formatCode="#,##0.0000"/>
    <numFmt numFmtId="167" formatCode="_-* #,##0.00\ _K_č_-;\-* #,##0.00\ _K_č_-;_-* &quot;-&quot;??\ _K_č_-;_-@"/>
    <numFmt numFmtId="168" formatCode="dd\.mm\.yyyy"/>
    <numFmt numFmtId="169" formatCode="d\.m\.yyyy"/>
  </numFmts>
  <fonts count="117" x14ac:knownFonts="1">
    <font>
      <sz val="6"/>
      <name val="Times New Roman"/>
      <family val="1"/>
      <charset val="238"/>
    </font>
    <font>
      <sz val="11"/>
      <color theme="1"/>
      <name val="Calibri"/>
      <family val="2"/>
      <charset val="238"/>
      <scheme val="minor"/>
    </font>
    <font>
      <sz val="11"/>
      <color theme="1"/>
      <name val="Calibri"/>
      <family val="2"/>
      <charset val="238"/>
      <scheme val="minor"/>
    </font>
    <font>
      <sz val="5"/>
      <name val="Times New Roman"/>
      <family val="1"/>
      <charset val="238"/>
    </font>
    <font>
      <b/>
      <sz val="12"/>
      <name val="Times New Roman"/>
      <family val="1"/>
      <charset val="238"/>
    </font>
    <font>
      <sz val="6"/>
      <name val="Times New Roman"/>
      <family val="1"/>
      <charset val="238"/>
    </font>
    <font>
      <b/>
      <sz val="6"/>
      <name val="Times New Roman"/>
      <family val="1"/>
      <charset val="238"/>
    </font>
    <font>
      <b/>
      <sz val="6"/>
      <name val="Times New Roman CE"/>
      <family val="1"/>
      <charset val="238"/>
    </font>
    <font>
      <b/>
      <i/>
      <sz val="6"/>
      <name val="Times New Roman CE"/>
      <family val="1"/>
      <charset val="238"/>
    </font>
    <font>
      <b/>
      <i/>
      <sz val="6"/>
      <name val="Times New Roman"/>
      <family val="1"/>
      <charset val="238"/>
    </font>
    <font>
      <b/>
      <sz val="8"/>
      <name val="Times New Roman"/>
      <family val="1"/>
      <charset val="238"/>
    </font>
    <font>
      <sz val="8"/>
      <name val="Times New Roman"/>
      <family val="1"/>
      <charset val="238"/>
    </font>
    <font>
      <b/>
      <sz val="14"/>
      <color theme="1"/>
      <name val="Times New Roman"/>
      <family val="1"/>
      <charset val="238"/>
    </font>
    <font>
      <b/>
      <sz val="8"/>
      <color theme="1"/>
      <name val="Times New Roman"/>
      <family val="1"/>
      <charset val="238"/>
    </font>
    <font>
      <sz val="8"/>
      <color theme="1"/>
      <name val="Times New Roman"/>
      <family val="1"/>
      <charset val="238"/>
    </font>
    <font>
      <b/>
      <sz val="6"/>
      <color theme="1"/>
      <name val="Times New Roman"/>
      <family val="1"/>
      <charset val="238"/>
    </font>
    <font>
      <sz val="6"/>
      <color theme="1"/>
      <name val="Times New Roman"/>
      <family val="1"/>
      <charset val="238"/>
    </font>
    <font>
      <sz val="8"/>
      <color rgb="FFFF0000"/>
      <name val="Times New Roman"/>
      <family val="1"/>
      <charset val="238"/>
    </font>
    <font>
      <sz val="7"/>
      <name val="Times New Roman"/>
      <family val="1"/>
      <charset val="238"/>
    </font>
    <font>
      <sz val="7"/>
      <color rgb="FFFF0000"/>
      <name val="Times New Roman"/>
      <family val="1"/>
      <charset val="238"/>
    </font>
    <font>
      <b/>
      <sz val="7"/>
      <color theme="1"/>
      <name val="Times New Roman"/>
      <family val="1"/>
      <charset val="238"/>
    </font>
    <font>
      <sz val="8"/>
      <color indexed="8"/>
      <name val="Arial"/>
      <family val="2"/>
      <charset val="238"/>
    </font>
    <font>
      <b/>
      <sz val="10"/>
      <color rgb="FFFF0000"/>
      <name val="Times New Roman"/>
      <family val="1"/>
      <charset val="238"/>
    </font>
    <font>
      <sz val="10"/>
      <color theme="1"/>
      <name val="Times New Roman"/>
      <family val="1"/>
      <charset val="238"/>
    </font>
    <font>
      <sz val="10"/>
      <name val="Times New Roman"/>
      <family val="1"/>
      <charset val="238"/>
    </font>
    <font>
      <b/>
      <sz val="10"/>
      <name val="Times New Roman"/>
      <family val="1"/>
      <charset val="238"/>
    </font>
    <font>
      <b/>
      <sz val="6"/>
      <name val="Times New Roman CE"/>
      <charset val="238"/>
    </font>
    <font>
      <b/>
      <sz val="5.5"/>
      <name val="Times New Roman CE"/>
      <family val="1"/>
      <charset val="238"/>
    </font>
    <font>
      <i/>
      <sz val="6"/>
      <name val="Times New Roman"/>
      <family val="1"/>
      <charset val="238"/>
    </font>
    <font>
      <sz val="6"/>
      <name val="Times New Roman CE"/>
      <charset val="238"/>
    </font>
    <font>
      <sz val="9"/>
      <name val="Times New Roman"/>
      <family val="1"/>
      <charset val="238"/>
    </font>
    <font>
      <i/>
      <sz val="9"/>
      <name val="Times New Roman"/>
      <family val="1"/>
      <charset val="238"/>
    </font>
    <font>
      <b/>
      <sz val="7"/>
      <name val="Times New Roman"/>
      <family val="1"/>
      <charset val="238"/>
    </font>
    <font>
      <i/>
      <sz val="8"/>
      <color theme="1"/>
      <name val="Times New Roman"/>
      <family val="1"/>
      <charset val="238"/>
    </font>
    <font>
      <i/>
      <sz val="8"/>
      <name val="Times New Roman"/>
      <family val="1"/>
      <charset val="238"/>
    </font>
    <font>
      <b/>
      <i/>
      <sz val="6"/>
      <name val="Times New Roman CE"/>
      <charset val="238"/>
    </font>
    <font>
      <sz val="8"/>
      <name val="Calibri"/>
      <family val="2"/>
      <charset val="238"/>
    </font>
    <font>
      <sz val="9.6"/>
      <name val="Times New Roman"/>
      <family val="1"/>
      <charset val="238"/>
    </font>
    <font>
      <sz val="9"/>
      <color theme="1"/>
      <name val="Times New Roman"/>
      <family val="1"/>
      <charset val="238"/>
    </font>
    <font>
      <b/>
      <sz val="9"/>
      <color theme="1"/>
      <name val="Times New Roman"/>
      <family val="1"/>
      <charset val="238"/>
    </font>
    <font>
      <sz val="7"/>
      <color theme="1"/>
      <name val="Times New Roman"/>
      <family val="1"/>
      <charset val="238"/>
    </font>
    <font>
      <sz val="7"/>
      <color indexed="8"/>
      <name val="Times New Roman"/>
      <family val="1"/>
      <charset val="238"/>
    </font>
    <font>
      <b/>
      <sz val="7"/>
      <color indexed="8"/>
      <name val="Times New Roman"/>
      <family val="1"/>
      <charset val="238"/>
    </font>
    <font>
      <i/>
      <sz val="6"/>
      <name val="Times New Roman CE"/>
      <charset val="238"/>
    </font>
    <font>
      <i/>
      <sz val="9"/>
      <color theme="1"/>
      <name val="Times New Roman"/>
      <family val="1"/>
      <charset val="238"/>
    </font>
    <font>
      <sz val="9"/>
      <color rgb="FFFF0000"/>
      <name val="Times New Roman"/>
      <family val="1"/>
      <charset val="238"/>
    </font>
    <font>
      <sz val="8"/>
      <color indexed="8"/>
      <name val="Times New Roman"/>
      <family val="1"/>
      <charset val="238"/>
    </font>
    <font>
      <sz val="11"/>
      <color theme="1"/>
      <name val="Times New Roman"/>
      <family val="1"/>
      <charset val="238"/>
    </font>
    <font>
      <b/>
      <sz val="8"/>
      <color indexed="8"/>
      <name val="Times New Roman"/>
      <family val="1"/>
      <charset val="238"/>
    </font>
    <font>
      <b/>
      <sz val="11"/>
      <color theme="1"/>
      <name val="Times New Roman"/>
      <family val="1"/>
      <charset val="238"/>
    </font>
    <font>
      <sz val="9"/>
      <color theme="1"/>
      <name val="Arial"/>
      <family val="2"/>
      <charset val="238"/>
    </font>
    <font>
      <b/>
      <sz val="9"/>
      <name val="Arial"/>
      <family val="2"/>
      <charset val="238"/>
    </font>
    <font>
      <sz val="9"/>
      <name val="Arial"/>
      <family val="2"/>
      <charset val="238"/>
    </font>
    <font>
      <b/>
      <i/>
      <sz val="9"/>
      <name val="Arial"/>
      <family val="2"/>
      <charset val="238"/>
    </font>
    <font>
      <b/>
      <sz val="9"/>
      <name val="Times New Roman"/>
      <family val="1"/>
      <charset val="238"/>
    </font>
    <font>
      <b/>
      <i/>
      <u/>
      <sz val="9"/>
      <name val="Times New Roman"/>
      <family val="1"/>
      <charset val="238"/>
    </font>
    <font>
      <b/>
      <i/>
      <sz val="9"/>
      <name val="Times New Roman"/>
      <family val="1"/>
      <charset val="238"/>
    </font>
    <font>
      <b/>
      <i/>
      <u/>
      <sz val="9"/>
      <color rgb="FFFF0000"/>
      <name val="Times New Roman"/>
      <family val="1"/>
      <charset val="238"/>
    </font>
    <font>
      <b/>
      <sz val="14"/>
      <color rgb="FF000000"/>
      <name val="Times New Roman"/>
      <family val="1"/>
      <charset val="238"/>
    </font>
    <font>
      <sz val="11"/>
      <name val="Arial"/>
      <family val="2"/>
      <charset val="238"/>
    </font>
    <font>
      <b/>
      <sz val="8"/>
      <color rgb="FF000000"/>
      <name val="Times New Roman"/>
      <family val="1"/>
      <charset val="238"/>
    </font>
    <font>
      <i/>
      <sz val="8"/>
      <color rgb="FF000000"/>
      <name val="Times New Roman"/>
      <family val="1"/>
      <charset val="238"/>
    </font>
    <font>
      <sz val="8"/>
      <color rgb="FF000000"/>
      <name val="Times New Roman"/>
      <family val="1"/>
      <charset val="238"/>
    </font>
    <font>
      <sz val="8"/>
      <color rgb="FF000000"/>
      <name val="Arial"/>
      <family val="2"/>
      <charset val="238"/>
    </font>
    <font>
      <b/>
      <sz val="8"/>
      <name val="Arial"/>
      <family val="2"/>
      <charset val="238"/>
    </font>
    <font>
      <b/>
      <sz val="8"/>
      <color theme="1"/>
      <name val="Arial"/>
      <family val="2"/>
      <charset val="238"/>
    </font>
    <font>
      <sz val="11"/>
      <color theme="1"/>
      <name val="Arial"/>
      <family val="2"/>
      <charset val="238"/>
    </font>
    <font>
      <sz val="6"/>
      <color rgb="FFFF0000"/>
      <name val="Times New Roman"/>
      <family val="1"/>
      <charset val="238"/>
    </font>
    <font>
      <b/>
      <sz val="9"/>
      <color indexed="81"/>
      <name val="Tahoma"/>
      <family val="2"/>
      <charset val="238"/>
    </font>
    <font>
      <sz val="9"/>
      <color indexed="81"/>
      <name val="Tahoma"/>
      <family val="2"/>
      <charset val="238"/>
    </font>
    <font>
      <b/>
      <u/>
      <sz val="14"/>
      <color theme="1"/>
      <name val="Times New Roman"/>
      <family val="1"/>
      <charset val="238"/>
    </font>
    <font>
      <b/>
      <sz val="12"/>
      <color theme="1"/>
      <name val="Times New Roman"/>
      <family val="1"/>
      <charset val="238"/>
    </font>
    <font>
      <b/>
      <sz val="8"/>
      <color rgb="FFFF0000"/>
      <name val="Times New Roman"/>
      <family val="1"/>
      <charset val="238"/>
    </font>
    <font>
      <b/>
      <u/>
      <sz val="12"/>
      <color indexed="8"/>
      <name val="Times New Roman"/>
      <family val="1"/>
      <charset val="238"/>
    </font>
    <font>
      <b/>
      <u/>
      <sz val="7"/>
      <color indexed="8"/>
      <name val="Times New Roman"/>
      <family val="1"/>
      <charset val="238"/>
    </font>
    <font>
      <sz val="11"/>
      <color indexed="8"/>
      <name val="Times New Roman"/>
      <family val="1"/>
      <charset val="238"/>
    </font>
    <font>
      <b/>
      <sz val="6"/>
      <color indexed="8"/>
      <name val="Times New Roman"/>
      <family val="1"/>
      <charset val="238"/>
    </font>
    <font>
      <b/>
      <u/>
      <sz val="9"/>
      <color rgb="FF009900"/>
      <name val="Times New Roman"/>
      <family val="1"/>
      <charset val="238"/>
    </font>
    <font>
      <b/>
      <u/>
      <sz val="9"/>
      <color rgb="FF0000FF"/>
      <name val="Times New Roman"/>
      <family val="1"/>
      <charset val="238"/>
    </font>
    <font>
      <sz val="9"/>
      <color indexed="8"/>
      <name val="Times New Roman"/>
      <family val="1"/>
      <charset val="238"/>
    </font>
    <font>
      <sz val="9"/>
      <color rgb="FF009900"/>
      <name val="Times New Roman"/>
      <family val="1"/>
      <charset val="238"/>
    </font>
    <font>
      <b/>
      <sz val="9"/>
      <color indexed="8"/>
      <name val="Times New Roman"/>
      <family val="1"/>
      <charset val="238"/>
    </font>
    <font>
      <b/>
      <u/>
      <sz val="9"/>
      <name val="Times New Roman"/>
      <family val="1"/>
      <charset val="238"/>
    </font>
    <font>
      <b/>
      <sz val="9"/>
      <color rgb="FF00B050"/>
      <name val="Times New Roman"/>
      <family val="1"/>
      <charset val="238"/>
    </font>
    <font>
      <b/>
      <u/>
      <sz val="9"/>
      <color indexed="8"/>
      <name val="Times New Roman"/>
      <family val="1"/>
      <charset val="238"/>
    </font>
    <font>
      <b/>
      <u/>
      <sz val="9"/>
      <color rgb="FF000000"/>
      <name val="Times New Roman"/>
      <family val="1"/>
      <charset val="238"/>
    </font>
    <font>
      <b/>
      <sz val="9"/>
      <color rgb="FF000000"/>
      <name val="Times New Roman"/>
      <family val="1"/>
      <charset val="238"/>
    </font>
    <font>
      <sz val="9"/>
      <color rgb="FF000000"/>
      <name val="Times New Roman"/>
      <family val="1"/>
      <charset val="238"/>
    </font>
    <font>
      <sz val="9"/>
      <color indexed="10"/>
      <name val="Times New Roman"/>
      <family val="1"/>
      <charset val="238"/>
    </font>
    <font>
      <b/>
      <sz val="9"/>
      <color indexed="10"/>
      <name val="Times New Roman"/>
      <family val="1"/>
      <charset val="238"/>
    </font>
    <font>
      <b/>
      <u/>
      <sz val="9"/>
      <color indexed="10"/>
      <name val="Times New Roman"/>
      <family val="1"/>
      <charset val="238"/>
    </font>
    <font>
      <b/>
      <u/>
      <sz val="14"/>
      <name val="Times New Roman"/>
      <family val="1"/>
      <charset val="238"/>
    </font>
    <font>
      <sz val="8"/>
      <color indexed="10"/>
      <name val="Times New Roman"/>
      <family val="1"/>
      <charset val="238"/>
    </font>
    <font>
      <i/>
      <sz val="9"/>
      <color indexed="8"/>
      <name val="Times New Roman"/>
      <family val="1"/>
      <charset val="238"/>
    </font>
    <font>
      <sz val="11"/>
      <color indexed="8"/>
      <name val="Calibri"/>
      <family val="2"/>
      <charset val="238"/>
    </font>
    <font>
      <b/>
      <u/>
      <sz val="12"/>
      <color theme="1"/>
      <name val="Times New Roman"/>
      <family val="1"/>
      <charset val="238"/>
    </font>
    <font>
      <b/>
      <u/>
      <sz val="7"/>
      <color theme="1"/>
      <name val="Times New Roman"/>
      <family val="1"/>
      <charset val="238"/>
    </font>
    <font>
      <u/>
      <sz val="7"/>
      <name val="Times New Roman"/>
      <family val="1"/>
      <charset val="238"/>
    </font>
    <font>
      <b/>
      <u/>
      <sz val="8"/>
      <color theme="1"/>
      <name val="Times New Roman"/>
      <family val="1"/>
      <charset val="238"/>
    </font>
    <font>
      <u/>
      <sz val="8"/>
      <color theme="1"/>
      <name val="Times New Roman"/>
      <family val="1"/>
      <charset val="238"/>
    </font>
    <font>
      <b/>
      <sz val="14"/>
      <name val="Times New Roman"/>
      <family val="1"/>
      <charset val="238"/>
    </font>
    <font>
      <b/>
      <sz val="12"/>
      <name val="Arial"/>
      <family val="2"/>
      <charset val="238"/>
    </font>
    <font>
      <sz val="6"/>
      <name val="Arial"/>
      <family val="2"/>
      <charset val="238"/>
    </font>
    <font>
      <b/>
      <sz val="6"/>
      <name val="Arial"/>
      <family val="2"/>
      <charset val="238"/>
    </font>
    <font>
      <b/>
      <sz val="5.5"/>
      <name val="Arial"/>
      <family val="2"/>
      <charset val="238"/>
    </font>
    <font>
      <b/>
      <i/>
      <sz val="6"/>
      <name val="Arial"/>
      <family val="2"/>
      <charset val="238"/>
    </font>
    <font>
      <b/>
      <sz val="14"/>
      <color theme="1"/>
      <name val="Arial"/>
      <family val="2"/>
      <charset val="238"/>
    </font>
    <font>
      <sz val="8"/>
      <color theme="1"/>
      <name val="Arial"/>
      <family val="2"/>
      <charset val="238"/>
    </font>
    <font>
      <b/>
      <sz val="6"/>
      <color theme="1"/>
      <name val="Arial"/>
      <family val="2"/>
      <charset val="238"/>
    </font>
    <font>
      <sz val="8"/>
      <name val="Arial"/>
      <family val="2"/>
      <charset val="238"/>
    </font>
    <font>
      <sz val="6"/>
      <color theme="1"/>
      <name val="Arial"/>
      <family val="2"/>
      <charset val="238"/>
    </font>
    <font>
      <sz val="8"/>
      <color rgb="FFFF0000"/>
      <name val="Arial"/>
      <family val="2"/>
      <charset val="238"/>
    </font>
    <font>
      <sz val="7"/>
      <name val="Arial"/>
      <family val="2"/>
      <charset val="238"/>
    </font>
    <font>
      <sz val="7"/>
      <color rgb="FFFF0000"/>
      <name val="Arial"/>
      <family val="2"/>
      <charset val="238"/>
    </font>
    <font>
      <b/>
      <sz val="7"/>
      <color theme="1"/>
      <name val="Arial"/>
      <family val="2"/>
      <charset val="238"/>
    </font>
    <font>
      <sz val="10"/>
      <color theme="1"/>
      <name val="Arial"/>
      <family val="2"/>
      <charset val="238"/>
    </font>
    <font>
      <b/>
      <sz val="10"/>
      <color rgb="FFFF0000"/>
      <name val="Arial"/>
      <family val="2"/>
      <charset val="238"/>
    </font>
  </fonts>
  <fills count="2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
      <patternFill patternType="solid">
        <fgColor theme="1"/>
        <bgColor indexed="64"/>
      </patternFill>
    </fill>
    <fill>
      <patternFill patternType="solid">
        <fgColor rgb="FFFFCC00"/>
        <bgColor indexed="64"/>
      </patternFill>
    </fill>
    <fill>
      <patternFill patternType="solid">
        <fgColor theme="6" tint="0.59999389629810485"/>
        <bgColor indexed="64"/>
      </patternFill>
    </fill>
    <fill>
      <patternFill patternType="solid">
        <fgColor rgb="FFFFC000"/>
        <bgColor rgb="FFFFC000"/>
      </patternFill>
    </fill>
    <fill>
      <patternFill patternType="solid">
        <fgColor rgb="FF92D050"/>
        <bgColor rgb="FF92D050"/>
      </patternFill>
    </fill>
    <fill>
      <patternFill patternType="solid">
        <fgColor rgb="FFFFFF00"/>
        <bgColor rgb="FFFFFF00"/>
      </patternFill>
    </fill>
    <fill>
      <patternFill patternType="solid">
        <fgColor rgb="FF7F7F7F"/>
        <bgColor rgb="FF7F7F7F"/>
      </patternFill>
    </fill>
    <fill>
      <patternFill patternType="solid">
        <fgColor rgb="FFFFFFFF"/>
        <bgColor rgb="FFFFFFFF"/>
      </patternFill>
    </fill>
    <fill>
      <patternFill patternType="solid">
        <fgColor indexed="8"/>
        <bgColor indexed="64"/>
      </patternFill>
    </fill>
    <fill>
      <patternFill patternType="solid">
        <fgColor indexed="23"/>
        <bgColor indexed="64"/>
      </patternFill>
    </fill>
    <fill>
      <patternFill patternType="solid">
        <fgColor indexed="50"/>
        <bgColor indexed="64"/>
      </patternFill>
    </fill>
    <fill>
      <patternFill patternType="solid">
        <fgColor theme="4" tint="0.39997558519241921"/>
        <bgColor indexed="64"/>
      </patternFill>
    </fill>
    <fill>
      <patternFill patternType="solid">
        <fgColor rgb="FF92D050"/>
        <bgColor rgb="FFFFFF00"/>
      </patternFill>
    </fill>
  </fills>
  <borders count="140">
    <border>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auto="1"/>
      </right>
      <top style="thin">
        <color indexed="64"/>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style="hair">
        <color auto="1"/>
      </left>
      <right/>
      <top/>
      <bottom/>
      <diagonal/>
    </border>
    <border>
      <left style="hair">
        <color auto="1"/>
      </left>
      <right style="hair">
        <color auto="1"/>
      </right>
      <top/>
      <bottom/>
      <diagonal/>
    </border>
    <border>
      <left/>
      <right/>
      <top style="thin">
        <color indexed="64"/>
      </top>
      <bottom style="hair">
        <color indexed="64"/>
      </bottom>
      <diagonal/>
    </border>
    <border>
      <left/>
      <right style="hair">
        <color auto="1"/>
      </right>
      <top style="thin">
        <color indexed="64"/>
      </top>
      <bottom style="hair">
        <color auto="1"/>
      </bottom>
      <diagonal/>
    </border>
    <border>
      <left/>
      <right/>
      <top style="hair">
        <color auto="1"/>
      </top>
      <bottom style="thin">
        <color indexed="64"/>
      </bottom>
      <diagonal/>
    </border>
    <border>
      <left/>
      <right style="hair">
        <color auto="1"/>
      </right>
      <top style="hair">
        <color auto="1"/>
      </top>
      <bottom style="thin">
        <color indexed="64"/>
      </bottom>
      <diagonal/>
    </border>
    <border>
      <left style="hair">
        <color auto="1"/>
      </left>
      <right/>
      <top style="thin">
        <color indexed="64"/>
      </top>
      <bottom/>
      <diagonal/>
    </border>
    <border>
      <left/>
      <right/>
      <top style="thin">
        <color indexed="64"/>
      </top>
      <bottom/>
      <diagonal/>
    </border>
    <border>
      <left/>
      <right style="hair">
        <color auto="1"/>
      </right>
      <top/>
      <bottom/>
      <diagonal/>
    </border>
    <border>
      <left style="hair">
        <color auto="1"/>
      </left>
      <right/>
      <top style="hair">
        <color auto="1"/>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thin">
        <color indexed="64"/>
      </bottom>
      <diagonal/>
    </border>
    <border>
      <left/>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hair">
        <color auto="1"/>
      </right>
      <top/>
      <bottom/>
      <diagonal/>
    </border>
    <border>
      <left style="thin">
        <color auto="1"/>
      </left>
      <right style="hair">
        <color auto="1"/>
      </right>
      <top style="thin">
        <color indexed="64"/>
      </top>
      <bottom style="hair">
        <color auto="1"/>
      </bottom>
      <diagonal/>
    </border>
    <border>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hair">
        <color rgb="FF000000"/>
      </right>
      <top style="thin">
        <color rgb="FF000000"/>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right/>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right/>
      <top style="hair">
        <color rgb="FF000000"/>
      </top>
      <bottom style="hair">
        <color rgb="FF000000"/>
      </bottom>
      <diagonal/>
    </border>
    <border>
      <left style="thin">
        <color rgb="FF000000"/>
      </left>
      <right/>
      <top/>
      <bottom/>
      <diagonal/>
    </border>
    <border>
      <left style="hair">
        <color rgb="FF000000"/>
      </left>
      <right style="hair">
        <color rgb="FF000000"/>
      </right>
      <top style="thin">
        <color rgb="FF000000"/>
      </top>
      <bottom style="hair">
        <color rgb="FF000000"/>
      </bottom>
      <diagonal/>
    </border>
    <border>
      <left style="hair">
        <color rgb="FF000000"/>
      </left>
      <right/>
      <top/>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thin">
        <color rgb="FF000000"/>
      </bottom>
      <diagonal/>
    </border>
    <border>
      <left/>
      <right/>
      <top/>
      <bottom style="thin">
        <color rgb="FF000000"/>
      </bottom>
      <diagonal/>
    </border>
    <border>
      <left/>
      <right style="hair">
        <color rgb="FF000000"/>
      </right>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diagonal/>
    </border>
    <border>
      <left/>
      <right style="hair">
        <color rgb="FF000000"/>
      </right>
      <top/>
      <bottom/>
      <diagonal/>
    </border>
    <border>
      <left style="hair">
        <color rgb="FF000000"/>
      </left>
      <right/>
      <top style="hair">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thin">
        <color rgb="FF000000"/>
      </right>
      <top/>
      <bottom style="hair">
        <color rgb="FF000000"/>
      </bottom>
      <diagonal/>
    </border>
    <border>
      <left style="thin">
        <color rgb="FF000000"/>
      </left>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top style="hair">
        <color rgb="FF000000"/>
      </top>
      <bottom/>
      <diagonal/>
    </border>
    <border>
      <left style="hair">
        <color rgb="FF000000"/>
      </left>
      <right style="thin">
        <color rgb="FF000000"/>
      </right>
      <top style="hair">
        <color rgb="FF000000"/>
      </top>
      <bottom/>
      <diagonal/>
    </border>
    <border>
      <left style="hair">
        <color auto="1"/>
      </left>
      <right/>
      <top/>
      <bottom style="thin">
        <color indexed="64"/>
      </bottom>
      <diagonal/>
    </border>
    <border>
      <left/>
      <right style="hair">
        <color auto="1"/>
      </right>
      <top/>
      <bottom style="thin">
        <color indexed="64"/>
      </bottom>
      <diagonal/>
    </border>
    <border>
      <left/>
      <right/>
      <top style="thin">
        <color indexed="64"/>
      </top>
      <bottom style="thin">
        <color indexed="64"/>
      </bottom>
      <diagonal/>
    </border>
    <border>
      <left style="hair">
        <color auto="1"/>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hair">
        <color auto="1"/>
      </right>
      <top style="medium">
        <color indexed="64"/>
      </top>
      <bottom style="medium">
        <color indexed="64"/>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auto="1"/>
      </left>
      <right style="hair">
        <color auto="1"/>
      </right>
      <top style="medium">
        <color indexed="64"/>
      </top>
      <bottom style="hair">
        <color auto="1"/>
      </bottom>
      <diagonal/>
    </border>
  </borders>
  <cellStyleXfs count="4">
    <xf numFmtId="4" fontId="0" fillId="0" borderId="0">
      <alignment vertical="top"/>
    </xf>
    <xf numFmtId="3" fontId="3" fillId="0" borderId="0"/>
    <xf numFmtId="0" fontId="2" fillId="0" borderId="0"/>
    <xf numFmtId="0" fontId="1" fillId="0" borderId="0"/>
  </cellStyleXfs>
  <cellXfs count="1786">
    <xf numFmtId="4" fontId="0" fillId="0" borderId="0" xfId="0">
      <alignment vertical="top"/>
    </xf>
    <xf numFmtId="4" fontId="0" fillId="0" borderId="0" xfId="0" applyAlignment="1">
      <alignment horizontal="center" vertical="top"/>
    </xf>
    <xf numFmtId="4" fontId="4" fillId="0" borderId="0" xfId="0" applyFont="1" applyAlignment="1">
      <alignment horizontal="center" vertical="top"/>
    </xf>
    <xf numFmtId="49" fontId="6" fillId="2" borderId="3" xfId="1" applyNumberFormat="1" applyFont="1" applyFill="1" applyBorder="1" applyAlignment="1">
      <alignment horizontal="center"/>
    </xf>
    <xf numFmtId="4" fontId="6" fillId="3" borderId="3" xfId="1" applyNumberFormat="1" applyFont="1" applyFill="1" applyBorder="1"/>
    <xf numFmtId="4" fontId="6" fillId="0" borderId="0" xfId="0" applyFont="1">
      <alignment vertical="top"/>
    </xf>
    <xf numFmtId="4" fontId="5" fillId="0" borderId="0" xfId="0" applyFont="1">
      <alignment vertical="top"/>
    </xf>
    <xf numFmtId="4" fontId="13" fillId="0" borderId="0" xfId="0" applyFont="1" applyAlignment="1"/>
    <xf numFmtId="4" fontId="14" fillId="0" borderId="0" xfId="0" applyFont="1" applyAlignment="1"/>
    <xf numFmtId="4" fontId="15" fillId="0" borderId="0" xfId="0" applyFont="1" applyAlignment="1">
      <alignment horizontal="center"/>
    </xf>
    <xf numFmtId="4" fontId="13" fillId="2" borderId="3" xfId="0" applyFont="1" applyFill="1" applyBorder="1" applyAlignment="1">
      <alignment vertical="center"/>
    </xf>
    <xf numFmtId="4" fontId="16" fillId="0" borderId="0" xfId="0" applyFont="1" applyAlignment="1"/>
    <xf numFmtId="4" fontId="13" fillId="2" borderId="1" xfId="0" applyFont="1" applyFill="1" applyBorder="1" applyAlignment="1">
      <alignment vertical="center"/>
    </xf>
    <xf numFmtId="4" fontId="13" fillId="7" borderId="1" xfId="0" applyFont="1" applyFill="1" applyBorder="1" applyAlignment="1">
      <alignment vertical="center"/>
    </xf>
    <xf numFmtId="4" fontId="13" fillId="0" borderId="2" xfId="0" applyFont="1" applyBorder="1" applyAlignment="1">
      <alignment vertical="center"/>
    </xf>
    <xf numFmtId="4" fontId="13" fillId="0" borderId="13" xfId="0" applyFont="1" applyBorder="1" applyAlignment="1">
      <alignment vertical="center"/>
    </xf>
    <xf numFmtId="4" fontId="13" fillId="7" borderId="3" xfId="0" applyFont="1" applyFill="1" applyBorder="1" applyAlignment="1">
      <alignment vertical="center"/>
    </xf>
    <xf numFmtId="4" fontId="13" fillId="0" borderId="6" xfId="0" applyFont="1" applyBorder="1" applyAlignment="1">
      <alignment vertical="center"/>
    </xf>
    <xf numFmtId="4" fontId="14" fillId="0" borderId="13" xfId="0" applyFont="1" applyBorder="1" applyAlignment="1">
      <alignment vertical="center"/>
    </xf>
    <xf numFmtId="4" fontId="11" fillId="0" borderId="6" xfId="0" applyFont="1" applyBorder="1" applyAlignment="1">
      <alignment vertical="center"/>
    </xf>
    <xf numFmtId="0" fontId="14" fillId="0" borderId="1" xfId="0" applyNumberFormat="1" applyFont="1" applyBorder="1" applyAlignment="1">
      <alignment vertical="center"/>
    </xf>
    <xf numFmtId="4" fontId="11" fillId="0" borderId="2" xfId="0" applyFont="1" applyBorder="1" applyAlignment="1">
      <alignment vertical="center"/>
    </xf>
    <xf numFmtId="0" fontId="14" fillId="0" borderId="2" xfId="0" applyNumberFormat="1" applyFont="1" applyBorder="1" applyAlignment="1">
      <alignment vertical="center"/>
    </xf>
    <xf numFmtId="4" fontId="13" fillId="0" borderId="0" xfId="0" applyFont="1" applyAlignment="1">
      <alignment horizontal="center"/>
    </xf>
    <xf numFmtId="4" fontId="21" fillId="8" borderId="2" xfId="0" applyFont="1" applyFill="1" applyBorder="1" applyAlignment="1">
      <alignment horizontal="left" vertical="center"/>
    </xf>
    <xf numFmtId="14" fontId="21" fillId="8" borderId="2" xfId="0" applyNumberFormat="1" applyFont="1" applyFill="1" applyBorder="1" applyAlignment="1">
      <alignment horizontal="left" vertical="center"/>
    </xf>
    <xf numFmtId="4" fontId="22" fillId="0" borderId="0" xfId="0" applyFont="1" applyAlignment="1"/>
    <xf numFmtId="43" fontId="21" fillId="8" borderId="2" xfId="0" applyNumberFormat="1" applyFont="1" applyFill="1" applyBorder="1" applyAlignment="1">
      <alignment horizontal="left" vertical="center"/>
    </xf>
    <xf numFmtId="4" fontId="24" fillId="0" borderId="0" xfId="0" applyFont="1" applyAlignment="1"/>
    <xf numFmtId="4" fontId="25" fillId="0" borderId="0" xfId="0" applyFont="1" applyAlignment="1"/>
    <xf numFmtId="14" fontId="21" fillId="8" borderId="6" xfId="0" applyNumberFormat="1" applyFont="1" applyFill="1" applyBorder="1" applyAlignment="1">
      <alignment horizontal="left" vertical="center"/>
    </xf>
    <xf numFmtId="3" fontId="6" fillId="0" borderId="3" xfId="0" applyNumberFormat="1" applyFont="1" applyBorder="1">
      <alignment vertical="top"/>
    </xf>
    <xf numFmtId="0" fontId="14" fillId="0" borderId="13" xfId="0" applyNumberFormat="1" applyFont="1" applyBorder="1" applyAlignment="1">
      <alignment vertical="center"/>
    </xf>
    <xf numFmtId="0" fontId="14" fillId="0" borderId="30" xfId="0" applyNumberFormat="1" applyFont="1" applyBorder="1" applyAlignment="1">
      <alignment vertical="center"/>
    </xf>
    <xf numFmtId="3" fontId="6" fillId="0" borderId="0" xfId="1" applyFont="1" applyFill="1" applyBorder="1"/>
    <xf numFmtId="3" fontId="6" fillId="0" borderId="0" xfId="1" applyFont="1" applyFill="1" applyBorder="1" applyAlignment="1">
      <alignment horizontal="center"/>
    </xf>
    <xf numFmtId="49" fontId="6" fillId="0" borderId="0" xfId="1" applyNumberFormat="1" applyFont="1" applyFill="1" applyBorder="1" applyAlignment="1">
      <alignment horizontal="center"/>
    </xf>
    <xf numFmtId="3" fontId="6" fillId="0" borderId="0" xfId="1" applyFont="1" applyFill="1" applyBorder="1" applyAlignment="1"/>
    <xf numFmtId="3" fontId="9" fillId="0" borderId="0" xfId="1" applyFont="1" applyFill="1" applyBorder="1"/>
    <xf numFmtId="4" fontId="9" fillId="0" borderId="0" xfId="1" applyNumberFormat="1" applyFont="1" applyFill="1" applyBorder="1"/>
    <xf numFmtId="4" fontId="15" fillId="3" borderId="3" xfId="0" applyFont="1" applyFill="1" applyBorder="1" applyAlignment="1">
      <alignment horizontal="center"/>
    </xf>
    <xf numFmtId="4" fontId="15" fillId="3" borderId="10" xfId="0" applyFont="1" applyFill="1" applyBorder="1" applyAlignment="1">
      <alignment horizontal="center"/>
    </xf>
    <xf numFmtId="4" fontId="13" fillId="2" borderId="3" xfId="0" applyFont="1" applyFill="1" applyBorder="1" applyAlignment="1">
      <alignment horizontal="left" vertical="center"/>
    </xf>
    <xf numFmtId="4" fontId="12" fillId="0" borderId="0" xfId="0" applyFont="1" applyAlignment="1"/>
    <xf numFmtId="4" fontId="23" fillId="0" borderId="0" xfId="0" applyFont="1" applyAlignment="1"/>
    <xf numFmtId="4" fontId="15" fillId="3" borderId="3" xfId="0" applyFont="1" applyFill="1" applyBorder="1" applyAlignment="1">
      <alignment horizontal="center"/>
    </xf>
    <xf numFmtId="4" fontId="13" fillId="2" borderId="3" xfId="0" applyFont="1" applyFill="1" applyBorder="1" applyAlignment="1">
      <alignment horizontal="left" vertical="center"/>
    </xf>
    <xf numFmtId="4" fontId="15" fillId="3" borderId="10" xfId="0" applyFont="1" applyFill="1" applyBorder="1" applyAlignment="1">
      <alignment horizontal="center"/>
    </xf>
    <xf numFmtId="49" fontId="6" fillId="2" borderId="4" xfId="1" applyNumberFormat="1" applyFont="1" applyFill="1" applyBorder="1" applyAlignment="1">
      <alignment horizontal="center"/>
    </xf>
    <xf numFmtId="3" fontId="7" fillId="3" borderId="38" xfId="1" applyFont="1" applyFill="1" applyBorder="1" applyAlignment="1">
      <alignment horizontal="center"/>
    </xf>
    <xf numFmtId="49" fontId="7" fillId="3" borderId="39" xfId="1" applyNumberFormat="1" applyFont="1" applyFill="1" applyBorder="1" applyAlignment="1">
      <alignment horizontal="center"/>
    </xf>
    <xf numFmtId="3" fontId="7" fillId="3" borderId="38" xfId="1" applyNumberFormat="1" applyFont="1" applyFill="1" applyBorder="1"/>
    <xf numFmtId="3" fontId="7" fillId="3" borderId="3" xfId="1" applyNumberFormat="1" applyFont="1" applyFill="1" applyBorder="1"/>
    <xf numFmtId="3" fontId="7" fillId="3" borderId="39" xfId="1" applyNumberFormat="1" applyFont="1" applyFill="1" applyBorder="1"/>
    <xf numFmtId="3" fontId="7" fillId="3" borderId="11" xfId="1" applyNumberFormat="1" applyFont="1" applyFill="1" applyBorder="1"/>
    <xf numFmtId="3" fontId="7" fillId="0" borderId="38" xfId="1" applyFont="1" applyBorder="1" applyAlignment="1">
      <alignment horizontal="center"/>
    </xf>
    <xf numFmtId="3" fontId="6" fillId="0" borderId="38" xfId="1" applyNumberFormat="1" applyFont="1" applyBorder="1" applyAlignment="1">
      <alignment horizontal="right"/>
    </xf>
    <xf numFmtId="3" fontId="6" fillId="0" borderId="3" xfId="1" applyNumberFormat="1" applyFont="1" applyBorder="1" applyAlignment="1">
      <alignment horizontal="right"/>
    </xf>
    <xf numFmtId="4" fontId="6" fillId="0" borderId="3" xfId="1" applyNumberFormat="1" applyFont="1" applyFill="1" applyBorder="1"/>
    <xf numFmtId="3" fontId="6" fillId="0" borderId="39" xfId="1" applyNumberFormat="1" applyFont="1" applyBorder="1" applyAlignment="1">
      <alignment horizontal="right"/>
    </xf>
    <xf numFmtId="3" fontId="7" fillId="0" borderId="38" xfId="1" applyNumberFormat="1" applyFont="1" applyBorder="1"/>
    <xf numFmtId="3" fontId="6" fillId="0" borderId="3" xfId="1" applyNumberFormat="1" applyFont="1" applyBorder="1"/>
    <xf numFmtId="3" fontId="6" fillId="0" borderId="11" xfId="1" applyNumberFormat="1" applyFont="1" applyBorder="1"/>
    <xf numFmtId="3" fontId="26" fillId="0" borderId="38" xfId="1" applyFont="1" applyBorder="1" applyAlignment="1">
      <alignment horizontal="center"/>
    </xf>
    <xf numFmtId="3" fontId="26" fillId="0" borderId="38" xfId="1" applyNumberFormat="1" applyFont="1" applyBorder="1" applyAlignment="1">
      <alignment horizontal="right"/>
    </xf>
    <xf numFmtId="3" fontId="6" fillId="0" borderId="11" xfId="1" applyNumberFormat="1" applyFont="1" applyBorder="1" applyAlignment="1">
      <alignment horizontal="right"/>
    </xf>
    <xf numFmtId="3" fontId="27" fillId="0" borderId="3" xfId="1" applyFont="1" applyBorder="1" applyAlignment="1">
      <alignment horizontal="left"/>
    </xf>
    <xf numFmtId="3" fontId="26" fillId="0" borderId="3" xfId="1" applyFont="1" applyBorder="1" applyAlignment="1">
      <alignment horizontal="left"/>
    </xf>
    <xf numFmtId="3" fontId="6" fillId="3" borderId="38" xfId="1" applyNumberFormat="1" applyFont="1" applyFill="1" applyBorder="1" applyAlignment="1">
      <alignment horizontal="right"/>
    </xf>
    <xf numFmtId="3" fontId="6" fillId="3" borderId="3" xfId="1" applyNumberFormat="1" applyFont="1" applyFill="1" applyBorder="1" applyAlignment="1">
      <alignment horizontal="right"/>
    </xf>
    <xf numFmtId="3" fontId="6" fillId="3" borderId="39" xfId="1" applyNumberFormat="1" applyFont="1" applyFill="1" applyBorder="1" applyAlignment="1">
      <alignment horizontal="right"/>
    </xf>
    <xf numFmtId="3" fontId="7" fillId="3" borderId="38" xfId="1" applyNumberFormat="1" applyFont="1" applyFill="1" applyBorder="1" applyAlignment="1">
      <alignment horizontal="right"/>
    </xf>
    <xf numFmtId="3" fontId="6" fillId="3" borderId="11" xfId="1" applyNumberFormat="1" applyFont="1" applyFill="1" applyBorder="1" applyAlignment="1">
      <alignment horizontal="right"/>
    </xf>
    <xf numFmtId="3" fontId="7" fillId="0" borderId="38" xfId="1" applyFont="1" applyFill="1" applyBorder="1" applyAlignment="1">
      <alignment horizontal="center"/>
    </xf>
    <xf numFmtId="3" fontId="7" fillId="0" borderId="38" xfId="1" applyNumberFormat="1" applyFont="1" applyBorder="1" applyAlignment="1">
      <alignment horizontal="right"/>
    </xf>
    <xf numFmtId="3" fontId="6" fillId="0" borderId="3" xfId="1" applyNumberFormat="1" applyFont="1" applyFill="1" applyBorder="1"/>
    <xf numFmtId="3" fontId="7" fillId="0" borderId="3" xfId="1" applyFont="1" applyBorder="1" applyAlignment="1">
      <alignment horizontal="left"/>
    </xf>
    <xf numFmtId="3" fontId="7" fillId="0" borderId="38" xfId="1" applyNumberFormat="1" applyFont="1" applyBorder="1" applyAlignment="1"/>
    <xf numFmtId="3" fontId="6" fillId="0" borderId="3" xfId="1" applyNumberFormat="1" applyFont="1" applyBorder="1" applyAlignment="1"/>
    <xf numFmtId="3" fontId="6" fillId="0" borderId="4" xfId="1" applyNumberFormat="1" applyFont="1" applyBorder="1" applyAlignment="1">
      <alignment horizontal="right"/>
    </xf>
    <xf numFmtId="3" fontId="7" fillId="0" borderId="3" xfId="1" applyFont="1" applyFill="1" applyBorder="1" applyAlignment="1">
      <alignment horizontal="left"/>
    </xf>
    <xf numFmtId="4" fontId="9" fillId="0" borderId="3" xfId="1" applyNumberFormat="1" applyFont="1" applyFill="1" applyBorder="1"/>
    <xf numFmtId="3" fontId="6" fillId="0" borderId="3" xfId="1" applyNumberFormat="1" applyFont="1" applyFill="1" applyBorder="1" applyAlignment="1">
      <alignment horizontal="right"/>
    </xf>
    <xf numFmtId="3" fontId="9" fillId="0" borderId="3" xfId="1" applyNumberFormat="1" applyFont="1" applyFill="1" applyBorder="1" applyAlignment="1">
      <alignment horizontal="center"/>
    </xf>
    <xf numFmtId="3" fontId="6" fillId="0" borderId="3" xfId="0" applyNumberFormat="1" applyFont="1" applyBorder="1" applyAlignment="1">
      <alignment horizontal="right" vertical="top"/>
    </xf>
    <xf numFmtId="3" fontId="6" fillId="0" borderId="11" xfId="0" applyNumberFormat="1" applyFont="1" applyBorder="1" applyAlignment="1">
      <alignment horizontal="right" vertical="top"/>
    </xf>
    <xf numFmtId="3" fontId="7" fillId="0" borderId="38" xfId="1" applyNumberFormat="1" applyFont="1" applyFill="1" applyBorder="1"/>
    <xf numFmtId="3" fontId="6" fillId="0" borderId="11" xfId="0" applyNumberFormat="1" applyFont="1" applyBorder="1">
      <alignment vertical="top"/>
    </xf>
    <xf numFmtId="3" fontId="7" fillId="3" borderId="3" xfId="1" applyFont="1" applyFill="1" applyBorder="1" applyAlignment="1">
      <alignment horizontal="left"/>
    </xf>
    <xf numFmtId="4" fontId="9" fillId="3" borderId="3" xfId="1" applyNumberFormat="1" applyFont="1" applyFill="1" applyBorder="1"/>
    <xf numFmtId="3" fontId="8" fillId="0" borderId="38" xfId="1" applyFont="1" applyBorder="1" applyAlignment="1">
      <alignment horizontal="center"/>
    </xf>
    <xf numFmtId="49" fontId="8" fillId="3" borderId="39" xfId="1" applyNumberFormat="1" applyFont="1" applyFill="1" applyBorder="1" applyAlignment="1">
      <alignment horizontal="center"/>
    </xf>
    <xf numFmtId="3" fontId="5" fillId="0" borderId="38" xfId="0" applyNumberFormat="1" applyFont="1" applyBorder="1">
      <alignment vertical="top"/>
    </xf>
    <xf numFmtId="3" fontId="5" fillId="0" borderId="3" xfId="0" applyNumberFormat="1" applyFont="1" applyBorder="1">
      <alignment vertical="top"/>
    </xf>
    <xf numFmtId="3" fontId="5" fillId="0" borderId="39" xfId="0" applyNumberFormat="1" applyFont="1" applyBorder="1">
      <alignment vertical="top"/>
    </xf>
    <xf numFmtId="3" fontId="8" fillId="4" borderId="38" xfId="1" applyNumberFormat="1" applyFont="1" applyFill="1" applyBorder="1" applyAlignment="1"/>
    <xf numFmtId="3" fontId="8" fillId="0" borderId="3" xfId="1" applyNumberFormat="1" applyFont="1" applyFill="1" applyBorder="1" applyAlignment="1"/>
    <xf numFmtId="3" fontId="8" fillId="4" borderId="11" xfId="1" applyNumberFormat="1" applyFont="1" applyFill="1" applyBorder="1" applyAlignment="1"/>
    <xf numFmtId="3" fontId="8" fillId="4" borderId="3" xfId="1" applyNumberFormat="1" applyFont="1" applyFill="1" applyBorder="1" applyAlignment="1"/>
    <xf numFmtId="4" fontId="8" fillId="0" borderId="38" xfId="1" applyNumberFormat="1" applyFont="1" applyBorder="1" applyAlignment="1">
      <alignment horizontal="center"/>
    </xf>
    <xf numFmtId="4" fontId="8" fillId="3" borderId="39" xfId="1" applyNumberFormat="1" applyFont="1" applyFill="1" applyBorder="1" applyAlignment="1">
      <alignment horizontal="center"/>
    </xf>
    <xf numFmtId="4" fontId="8" fillId="4" borderId="38" xfId="1" applyNumberFormat="1" applyFont="1" applyFill="1" applyBorder="1" applyAlignment="1"/>
    <xf numFmtId="4" fontId="8" fillId="4" borderId="11" xfId="1" applyNumberFormat="1" applyFont="1" applyFill="1" applyBorder="1" applyAlignment="1"/>
    <xf numFmtId="3" fontId="8" fillId="0" borderId="42" xfId="1" applyFont="1" applyBorder="1" applyAlignment="1">
      <alignment horizontal="center"/>
    </xf>
    <xf numFmtId="49" fontId="8" fillId="3" borderId="44" xfId="1" applyNumberFormat="1" applyFont="1" applyFill="1" applyBorder="1" applyAlignment="1">
      <alignment horizontal="center"/>
    </xf>
    <xf numFmtId="3" fontId="5" fillId="0" borderId="42" xfId="0" applyNumberFormat="1" applyFont="1" applyBorder="1">
      <alignment vertical="top"/>
    </xf>
    <xf numFmtId="3" fontId="5" fillId="0" borderId="43" xfId="0" applyNumberFormat="1" applyFont="1" applyBorder="1">
      <alignment vertical="top"/>
    </xf>
    <xf numFmtId="4" fontId="9" fillId="0" borderId="43" xfId="1" applyNumberFormat="1" applyFont="1" applyFill="1" applyBorder="1"/>
    <xf numFmtId="3" fontId="5" fillId="0" borderId="44" xfId="0" applyNumberFormat="1" applyFont="1" applyBorder="1">
      <alignment vertical="top"/>
    </xf>
    <xf numFmtId="3" fontId="8" fillId="4" borderId="42" xfId="1" applyNumberFormat="1" applyFont="1" applyFill="1" applyBorder="1" applyAlignment="1"/>
    <xf numFmtId="3" fontId="8" fillId="0" borderId="43" xfId="1" applyNumberFormat="1" applyFont="1" applyFill="1" applyBorder="1" applyAlignment="1"/>
    <xf numFmtId="4" fontId="6" fillId="0" borderId="43" xfId="1" applyNumberFormat="1" applyFont="1" applyFill="1" applyBorder="1"/>
    <xf numFmtId="3" fontId="8" fillId="4" borderId="45" xfId="1" applyNumberFormat="1" applyFont="1" applyFill="1" applyBorder="1" applyAlignment="1"/>
    <xf numFmtId="4" fontId="13" fillId="2" borderId="3" xfId="0" applyNumberFormat="1" applyFont="1" applyFill="1" applyBorder="1" applyAlignment="1">
      <alignment vertical="center"/>
    </xf>
    <xf numFmtId="4" fontId="13" fillId="2" borderId="6" xfId="0" applyNumberFormat="1" applyFont="1" applyFill="1" applyBorder="1" applyAlignment="1">
      <alignment vertical="center"/>
    </xf>
    <xf numFmtId="4" fontId="13" fillId="2" borderId="2" xfId="0" applyNumberFormat="1" applyFont="1" applyFill="1" applyBorder="1" applyAlignment="1">
      <alignment vertical="center"/>
    </xf>
    <xf numFmtId="4" fontId="14" fillId="0" borderId="0" xfId="0" applyNumberFormat="1" applyFont="1" applyAlignment="1"/>
    <xf numFmtId="4" fontId="14" fillId="0" borderId="0" xfId="0" applyFont="1" applyBorder="1" applyAlignment="1"/>
    <xf numFmtId="4" fontId="15" fillId="0" borderId="12" xfId="0" applyFont="1" applyFill="1" applyBorder="1" applyAlignment="1"/>
    <xf numFmtId="4" fontId="15" fillId="0" borderId="0" xfId="0" applyFont="1" applyFill="1" applyBorder="1" applyAlignment="1"/>
    <xf numFmtId="4" fontId="13" fillId="0" borderId="1" xfId="0" applyNumberFormat="1" applyFont="1" applyBorder="1" applyAlignment="1">
      <alignment vertical="center"/>
    </xf>
    <xf numFmtId="4" fontId="17" fillId="0" borderId="21" xfId="0" applyFont="1" applyFill="1" applyBorder="1" applyAlignment="1"/>
    <xf numFmtId="4" fontId="17" fillId="0" borderId="0" xfId="0" applyFont="1" applyFill="1" applyBorder="1" applyAlignment="1"/>
    <xf numFmtId="4" fontId="13" fillId="0" borderId="6" xfId="0" applyFont="1" applyFill="1" applyBorder="1" applyAlignment="1">
      <alignment vertical="center"/>
    </xf>
    <xf numFmtId="4" fontId="13" fillId="0" borderId="6" xfId="0" applyNumberFormat="1" applyFont="1" applyBorder="1" applyAlignment="1">
      <alignment vertical="center"/>
    </xf>
    <xf numFmtId="4" fontId="13" fillId="0" borderId="2" xfId="0" applyNumberFormat="1" applyFont="1" applyFill="1" applyBorder="1" applyAlignment="1">
      <alignment horizontal="right" vertical="center"/>
    </xf>
    <xf numFmtId="4" fontId="14" fillId="0" borderId="21" xfId="0" applyNumberFormat="1" applyFont="1" applyFill="1" applyBorder="1" applyAlignment="1">
      <alignment horizontal="left"/>
    </xf>
    <xf numFmtId="4" fontId="14" fillId="0" borderId="0" xfId="0" applyNumberFormat="1" applyFont="1" applyFill="1" applyBorder="1" applyAlignment="1">
      <alignment horizontal="left"/>
    </xf>
    <xf numFmtId="4" fontId="13" fillId="0" borderId="13" xfId="0" applyNumberFormat="1" applyFont="1" applyBorder="1" applyAlignment="1">
      <alignment vertical="center"/>
    </xf>
    <xf numFmtId="4" fontId="17" fillId="0" borderId="21" xfId="0" applyFont="1" applyFill="1" applyBorder="1" applyAlignment="1">
      <alignment vertical="center" wrapText="1"/>
    </xf>
    <xf numFmtId="4" fontId="17" fillId="0" borderId="0" xfId="0" applyFont="1" applyFill="1" applyBorder="1" applyAlignment="1">
      <alignment vertical="center" wrapText="1"/>
    </xf>
    <xf numFmtId="4" fontId="13" fillId="0" borderId="3" xfId="0" applyNumberFormat="1" applyFont="1" applyBorder="1" applyAlignment="1">
      <alignment vertical="center"/>
    </xf>
    <xf numFmtId="4" fontId="17" fillId="0" borderId="0" xfId="0" applyFont="1" applyFill="1" applyBorder="1" applyAlignment="1">
      <alignment horizontal="left" vertical="center" wrapText="1"/>
    </xf>
    <xf numFmtId="4" fontId="13" fillId="0" borderId="0" xfId="0" applyFont="1" applyFill="1" applyBorder="1" applyAlignment="1">
      <alignment vertical="center"/>
    </xf>
    <xf numFmtId="4" fontId="14" fillId="0" borderId="0" xfId="0" applyFont="1" applyFill="1" applyAlignment="1"/>
    <xf numFmtId="4" fontId="14" fillId="0" borderId="0" xfId="0" applyNumberFormat="1" applyFont="1" applyFill="1" applyAlignment="1"/>
    <xf numFmtId="4" fontId="14" fillId="0" borderId="0" xfId="0" applyFont="1" applyFill="1" applyBorder="1" applyAlignment="1"/>
    <xf numFmtId="4" fontId="15" fillId="3" borderId="3" xfId="0" applyNumberFormat="1" applyFont="1" applyFill="1" applyBorder="1" applyAlignment="1">
      <alignment horizontal="center"/>
    </xf>
    <xf numFmtId="4" fontId="15" fillId="0" borderId="0" xfId="0" applyFont="1" applyFill="1" applyAlignment="1">
      <alignment horizontal="center"/>
    </xf>
    <xf numFmtId="4" fontId="14" fillId="0" borderId="6" xfId="0" applyNumberFormat="1" applyFont="1" applyBorder="1" applyAlignment="1">
      <alignment vertical="center"/>
    </xf>
    <xf numFmtId="4" fontId="14" fillId="0" borderId="2" xfId="0" applyNumberFormat="1" applyFont="1" applyBorder="1" applyAlignment="1">
      <alignment vertical="center"/>
    </xf>
    <xf numFmtId="4" fontId="14" fillId="0" borderId="13" xfId="0" applyNumberFormat="1" applyFont="1" applyBorder="1" applyAlignment="1">
      <alignment vertical="center"/>
    </xf>
    <xf numFmtId="4" fontId="15" fillId="3" borderId="10" xfId="0" applyNumberFormat="1" applyFont="1" applyFill="1" applyBorder="1" applyAlignment="1">
      <alignment horizontal="center"/>
    </xf>
    <xf numFmtId="4" fontId="15" fillId="3" borderId="10" xfId="0" applyNumberFormat="1" applyFont="1" applyFill="1" applyBorder="1" applyAlignment="1">
      <alignment horizontal="center"/>
    </xf>
    <xf numFmtId="4" fontId="11" fillId="0" borderId="2" xfId="0" applyNumberFormat="1" applyFont="1" applyBorder="1" applyAlignment="1">
      <alignment horizontal="left" vertical="center" wrapText="1"/>
    </xf>
    <xf numFmtId="43" fontId="21" fillId="8" borderId="6" xfId="0" applyNumberFormat="1" applyFont="1" applyFill="1" applyBorder="1" applyAlignment="1">
      <alignment horizontal="left" vertical="center"/>
    </xf>
    <xf numFmtId="4" fontId="0" fillId="0" borderId="2" xfId="0" applyBorder="1" applyAlignment="1">
      <alignment horizontal="left" vertical="center"/>
    </xf>
    <xf numFmtId="4" fontId="21" fillId="8" borderId="0" xfId="0" applyFont="1" applyFill="1" applyBorder="1" applyAlignment="1">
      <alignment horizontal="left" vertical="center"/>
    </xf>
    <xf numFmtId="4" fontId="0" fillId="0" borderId="0" xfId="0" applyBorder="1" applyAlignment="1">
      <alignment horizontal="left" vertical="center"/>
    </xf>
    <xf numFmtId="14" fontId="21" fillId="8" borderId="0" xfId="0" applyNumberFormat="1" applyFont="1" applyFill="1" applyBorder="1" applyAlignment="1">
      <alignment horizontal="left" vertical="center"/>
    </xf>
    <xf numFmtId="43" fontId="21" fillId="8" borderId="0" xfId="0" applyNumberFormat="1" applyFont="1" applyFill="1" applyBorder="1" applyAlignment="1">
      <alignment horizontal="left" vertical="center"/>
    </xf>
    <xf numFmtId="3" fontId="7" fillId="0" borderId="3" xfId="1" applyFont="1" applyBorder="1" applyAlignment="1">
      <alignment horizontal="left"/>
    </xf>
    <xf numFmtId="3" fontId="26" fillId="0" borderId="3" xfId="1" applyFont="1" applyBorder="1" applyAlignment="1">
      <alignment horizontal="left"/>
    </xf>
    <xf numFmtId="3" fontId="7" fillId="3" borderId="3" xfId="1" applyFont="1" applyFill="1" applyBorder="1" applyAlignment="1">
      <alignment horizontal="left"/>
    </xf>
    <xf numFmtId="3" fontId="7" fillId="0" borderId="3" xfId="1" applyFont="1" applyFill="1" applyBorder="1" applyAlignment="1">
      <alignment horizontal="left"/>
    </xf>
    <xf numFmtId="4" fontId="15" fillId="3" borderId="3" xfId="0" applyFont="1" applyFill="1" applyBorder="1" applyAlignment="1">
      <alignment horizontal="center"/>
    </xf>
    <xf numFmtId="4" fontId="15" fillId="3" borderId="10" xfId="0" applyNumberFormat="1" applyFont="1" applyFill="1" applyBorder="1" applyAlignment="1">
      <alignment horizontal="center"/>
    </xf>
    <xf numFmtId="4" fontId="15" fillId="3" borderId="10" xfId="0" applyFont="1" applyFill="1" applyBorder="1" applyAlignment="1">
      <alignment horizontal="center"/>
    </xf>
    <xf numFmtId="4" fontId="13" fillId="2" borderId="3" xfId="0" applyFont="1" applyFill="1" applyBorder="1" applyAlignment="1">
      <alignment horizontal="left" vertical="center"/>
    </xf>
    <xf numFmtId="4" fontId="0" fillId="0" borderId="0" xfId="0" applyFont="1">
      <alignment vertical="top"/>
    </xf>
    <xf numFmtId="3" fontId="7" fillId="3" borderId="3" xfId="1" applyFont="1" applyFill="1" applyBorder="1" applyAlignment="1">
      <alignment horizontal="center"/>
    </xf>
    <xf numFmtId="49" fontId="7" fillId="3" borderId="3" xfId="1" applyNumberFormat="1" applyFont="1" applyFill="1" applyBorder="1" applyAlignment="1">
      <alignment horizontal="center"/>
    </xf>
    <xf numFmtId="3" fontId="7" fillId="0" borderId="3" xfId="1" applyFont="1" applyBorder="1" applyAlignment="1">
      <alignment horizontal="center"/>
    </xf>
    <xf numFmtId="49" fontId="7" fillId="0" borderId="3" xfId="1" applyNumberFormat="1" applyFont="1" applyFill="1" applyBorder="1" applyAlignment="1">
      <alignment horizontal="center"/>
    </xf>
    <xf numFmtId="3" fontId="7" fillId="0" borderId="3" xfId="1" applyNumberFormat="1" applyFont="1" applyBorder="1"/>
    <xf numFmtId="3" fontId="26" fillId="0" borderId="3" xfId="1" applyFont="1" applyBorder="1" applyAlignment="1">
      <alignment horizontal="center"/>
    </xf>
    <xf numFmtId="3" fontId="26" fillId="0" borderId="3" xfId="1" applyNumberFormat="1" applyFont="1" applyBorder="1" applyAlignment="1">
      <alignment horizontal="right"/>
    </xf>
    <xf numFmtId="3" fontId="7" fillId="3" borderId="3" xfId="1" applyNumberFormat="1" applyFont="1" applyFill="1" applyBorder="1" applyAlignment="1">
      <alignment horizontal="right"/>
    </xf>
    <xf numFmtId="3" fontId="7" fillId="0" borderId="3" xfId="1" applyNumberFormat="1" applyFont="1" applyBorder="1" applyAlignment="1">
      <alignment horizontal="right"/>
    </xf>
    <xf numFmtId="3" fontId="7" fillId="0" borderId="3" xfId="1" applyNumberFormat="1" applyFont="1" applyBorder="1" applyAlignment="1"/>
    <xf numFmtId="3" fontId="7" fillId="0" borderId="3" xfId="1" applyNumberFormat="1" applyFont="1" applyFill="1" applyBorder="1"/>
    <xf numFmtId="3" fontId="8" fillId="0" borderId="3" xfId="1" applyFont="1" applyBorder="1" applyAlignment="1">
      <alignment horizontal="center"/>
    </xf>
    <xf numFmtId="49" fontId="8" fillId="0" borderId="3" xfId="1" applyNumberFormat="1" applyFont="1" applyBorder="1" applyAlignment="1">
      <alignment horizontal="center"/>
    </xf>
    <xf numFmtId="3" fontId="28" fillId="0" borderId="3" xfId="0" applyNumberFormat="1" applyFont="1" applyBorder="1">
      <alignment vertical="top"/>
    </xf>
    <xf numFmtId="4" fontId="8" fillId="0" borderId="3" xfId="1" applyNumberFormat="1" applyFont="1" applyBorder="1" applyAlignment="1">
      <alignment horizontal="center"/>
    </xf>
    <xf numFmtId="3" fontId="8" fillId="4" borderId="3" xfId="1" applyNumberFormat="1" applyFont="1" applyFill="1" applyBorder="1" applyAlignment="1">
      <alignment horizontal="right"/>
    </xf>
    <xf numFmtId="49" fontId="6" fillId="2" borderId="3" xfId="1" applyNumberFormat="1" applyFont="1" applyFill="1" applyBorder="1" applyAlignment="1">
      <alignment horizontal="center" vertical="center"/>
    </xf>
    <xf numFmtId="3" fontId="6" fillId="0" borderId="3" xfId="1" applyNumberFormat="1" applyFont="1" applyBorder="1" applyProtection="1">
      <protection locked="0"/>
    </xf>
    <xf numFmtId="3" fontId="6" fillId="0" borderId="3" xfId="1" applyNumberFormat="1" applyFont="1" applyBorder="1" applyAlignment="1" applyProtection="1">
      <alignment horizontal="right"/>
      <protection locked="0"/>
    </xf>
    <xf numFmtId="3" fontId="7" fillId="0" borderId="3" xfId="1" applyFont="1" applyFill="1" applyBorder="1" applyAlignment="1">
      <alignment horizontal="center"/>
    </xf>
    <xf numFmtId="3" fontId="6" fillId="0" borderId="11" xfId="1" applyNumberFormat="1" applyFont="1" applyFill="1" applyBorder="1"/>
    <xf numFmtId="3" fontId="6" fillId="0" borderId="1" xfId="1" applyNumberFormat="1" applyFont="1" applyFill="1" applyBorder="1"/>
    <xf numFmtId="3" fontId="6" fillId="0" borderId="2" xfId="1" applyNumberFormat="1" applyFont="1" applyBorder="1" applyAlignment="1">
      <alignment horizontal="right"/>
    </xf>
    <xf numFmtId="3" fontId="6" fillId="0" borderId="3" xfId="1" applyNumberFormat="1" applyFont="1" applyFill="1" applyBorder="1" applyAlignment="1" applyProtection="1">
      <alignment horizontal="right"/>
    </xf>
    <xf numFmtId="3" fontId="6" fillId="0" borderId="3" xfId="1" applyNumberFormat="1" applyFont="1" applyBorder="1" applyAlignment="1" applyProtection="1">
      <alignment horizontal="right"/>
    </xf>
    <xf numFmtId="3" fontId="6" fillId="0" borderId="3" xfId="1" applyNumberFormat="1" applyFont="1" applyFill="1" applyBorder="1" applyProtection="1"/>
    <xf numFmtId="3" fontId="6" fillId="0" borderId="2" xfId="1" applyNumberFormat="1" applyFont="1" applyFill="1" applyBorder="1"/>
    <xf numFmtId="3" fontId="6" fillId="0" borderId="2" xfId="1" applyNumberFormat="1" applyFont="1" applyFill="1" applyBorder="1" applyAlignment="1">
      <alignment horizontal="right"/>
    </xf>
    <xf numFmtId="3" fontId="6" fillId="0" borderId="2" xfId="0" applyNumberFormat="1" applyFont="1" applyBorder="1" applyAlignment="1">
      <alignment horizontal="right" vertical="top"/>
    </xf>
    <xf numFmtId="3" fontId="6" fillId="0" borderId="3" xfId="0" applyNumberFormat="1" applyFont="1" applyBorder="1" applyAlignment="1" applyProtection="1">
      <alignment horizontal="right" vertical="top"/>
    </xf>
    <xf numFmtId="3" fontId="6" fillId="0" borderId="46" xfId="0" applyNumberFormat="1" applyFont="1" applyBorder="1">
      <alignment vertical="top"/>
    </xf>
    <xf numFmtId="3" fontId="6" fillId="0" borderId="3" xfId="0" applyNumberFormat="1" applyFont="1" applyBorder="1" applyProtection="1">
      <alignment vertical="top"/>
    </xf>
    <xf numFmtId="49" fontId="8" fillId="3" borderId="3" xfId="1" applyNumberFormat="1" applyFont="1" applyFill="1" applyBorder="1" applyAlignment="1">
      <alignment horizontal="center"/>
    </xf>
    <xf numFmtId="3" fontId="0" fillId="0" borderId="3" xfId="0" applyNumberFormat="1" applyFont="1" applyBorder="1">
      <alignment vertical="top"/>
    </xf>
    <xf numFmtId="3" fontId="29" fillId="0" borderId="3" xfId="1" applyNumberFormat="1" applyFont="1" applyFill="1" applyBorder="1" applyAlignment="1"/>
    <xf numFmtId="3" fontId="7" fillId="0" borderId="3" xfId="1" applyNumberFormat="1" applyFont="1" applyFill="1" applyBorder="1" applyAlignment="1"/>
    <xf numFmtId="4" fontId="8" fillId="3" borderId="3" xfId="1" applyNumberFormat="1" applyFont="1" applyFill="1" applyBorder="1" applyAlignment="1">
      <alignment horizontal="center"/>
    </xf>
    <xf numFmtId="4" fontId="0" fillId="0" borderId="3" xfId="0" applyNumberFormat="1" applyFont="1" applyBorder="1">
      <alignment vertical="top"/>
    </xf>
    <xf numFmtId="4" fontId="5" fillId="0" borderId="3" xfId="0" applyNumberFormat="1" applyFont="1" applyBorder="1">
      <alignment vertical="top"/>
    </xf>
    <xf numFmtId="4" fontId="12" fillId="0" borderId="0" xfId="0" applyFont="1" applyBorder="1" applyAlignment="1"/>
    <xf numFmtId="4" fontId="23" fillId="0" borderId="0" xfId="0" applyFont="1" applyBorder="1" applyAlignment="1"/>
    <xf numFmtId="4" fontId="13" fillId="0" borderId="0" xfId="0" applyFont="1" applyBorder="1" applyAlignment="1"/>
    <xf numFmtId="4" fontId="15" fillId="0" borderId="0" xfId="0" applyFont="1" applyBorder="1" applyAlignment="1">
      <alignment horizontal="center"/>
    </xf>
    <xf numFmtId="4" fontId="13" fillId="2" borderId="1" xfId="0" applyNumberFormat="1" applyFont="1" applyFill="1" applyBorder="1" applyAlignment="1">
      <alignment vertical="center"/>
    </xf>
    <xf numFmtId="4" fontId="16" fillId="0" borderId="0" xfId="0" applyFont="1" applyBorder="1" applyAlignment="1"/>
    <xf numFmtId="4" fontId="15" fillId="0" borderId="0" xfId="0" applyFont="1" applyFill="1" applyBorder="1" applyAlignment="1">
      <alignment horizontal="center"/>
    </xf>
    <xf numFmtId="4" fontId="33" fillId="0" borderId="6" xfId="0" applyNumberFormat="1" applyFont="1" applyBorder="1" applyAlignment="1">
      <alignment vertical="center"/>
    </xf>
    <xf numFmtId="4" fontId="33" fillId="0" borderId="18" xfId="0" applyNumberFormat="1" applyFont="1" applyBorder="1" applyAlignment="1">
      <alignment vertical="center"/>
    </xf>
    <xf numFmtId="4" fontId="32" fillId="0" borderId="0" xfId="0" applyFont="1" applyBorder="1" applyAlignment="1">
      <alignment vertical="top" wrapText="1"/>
    </xf>
    <xf numFmtId="4" fontId="34" fillId="0" borderId="2" xfId="0" applyNumberFormat="1" applyFont="1" applyBorder="1" applyAlignment="1">
      <alignment horizontal="right" vertical="center" wrapText="1"/>
    </xf>
    <xf numFmtId="4" fontId="34" fillId="0" borderId="13" xfId="0" applyNumberFormat="1" applyFont="1" applyBorder="1" applyAlignment="1">
      <alignment horizontal="right" vertical="center" wrapText="1"/>
    </xf>
    <xf numFmtId="4" fontId="33" fillId="0" borderId="8" xfId="0" applyNumberFormat="1" applyFont="1" applyBorder="1" applyAlignment="1">
      <alignment vertical="center"/>
    </xf>
    <xf numFmtId="4" fontId="32" fillId="0" borderId="0" xfId="0" applyFont="1" applyFill="1" applyBorder="1" applyAlignment="1">
      <alignment vertical="center" wrapText="1"/>
    </xf>
    <xf numFmtId="4" fontId="34" fillId="0" borderId="6" xfId="0" applyNumberFormat="1" applyFont="1" applyBorder="1" applyAlignment="1">
      <alignment horizontal="right" vertical="center" wrapText="1"/>
    </xf>
    <xf numFmtId="4" fontId="33" fillId="0" borderId="2" xfId="0" applyNumberFormat="1" applyFont="1" applyBorder="1" applyAlignment="1">
      <alignment vertical="center"/>
    </xf>
    <xf numFmtId="4" fontId="11" fillId="0" borderId="15" xfId="0" applyFont="1" applyBorder="1" applyAlignment="1">
      <alignment horizontal="left" vertical="top" wrapText="1"/>
    </xf>
    <xf numFmtId="2" fontId="11" fillId="0" borderId="15" xfId="0" applyNumberFormat="1" applyFont="1" applyBorder="1" applyAlignment="1">
      <alignment horizontal="right" vertical="center" wrapText="1"/>
    </xf>
    <xf numFmtId="4" fontId="15" fillId="3" borderId="3" xfId="0" applyNumberFormat="1" applyFont="1" applyFill="1" applyBorder="1" applyAlignment="1">
      <alignment horizontal="center"/>
    </xf>
    <xf numFmtId="4" fontId="14" fillId="0" borderId="1" xfId="0" applyNumberFormat="1" applyFont="1" applyBorder="1" applyAlignment="1">
      <alignment vertical="top" wrapText="1"/>
    </xf>
    <xf numFmtId="4" fontId="14" fillId="0" borderId="1" xfId="0" applyNumberFormat="1" applyFont="1" applyBorder="1" applyAlignment="1">
      <alignment vertical="center"/>
    </xf>
    <xf numFmtId="4" fontId="13" fillId="0" borderId="0" xfId="0" applyFont="1" applyBorder="1" applyAlignment="1">
      <alignment horizontal="center"/>
    </xf>
    <xf numFmtId="49" fontId="30" fillId="0" borderId="2" xfId="0" applyNumberFormat="1" applyFont="1" applyBorder="1" applyAlignment="1">
      <alignment horizontal="center" vertical="center" wrapText="1"/>
    </xf>
    <xf numFmtId="49" fontId="30" fillId="0" borderId="1" xfId="0" applyNumberFormat="1" applyFont="1" applyBorder="1" applyAlignment="1">
      <alignment horizontal="center" vertical="center" wrapText="1"/>
    </xf>
    <xf numFmtId="4" fontId="31" fillId="0" borderId="14" xfId="0" applyNumberFormat="1" applyFont="1" applyBorder="1" applyAlignment="1">
      <alignment horizontal="right" vertical="center" wrapText="1"/>
    </xf>
    <xf numFmtId="49" fontId="30" fillId="0" borderId="13" xfId="0" applyNumberFormat="1" applyFont="1" applyBorder="1" applyAlignment="1">
      <alignment horizontal="center" vertical="center" wrapText="1"/>
    </xf>
    <xf numFmtId="49" fontId="30" fillId="0" borderId="6" xfId="0" applyNumberFormat="1" applyFont="1" applyBorder="1" applyAlignment="1">
      <alignment horizontal="center" vertical="center" wrapText="1"/>
    </xf>
    <xf numFmtId="4" fontId="31" fillId="0" borderId="19" xfId="0" applyNumberFormat="1" applyFont="1" applyBorder="1" applyAlignment="1">
      <alignment horizontal="right" vertical="center" wrapText="1"/>
    </xf>
    <xf numFmtId="4" fontId="30" fillId="0" borderId="0" xfId="0" applyFont="1" applyBorder="1" applyAlignment="1">
      <alignment horizontal="left" vertical="center" wrapText="1"/>
    </xf>
    <xf numFmtId="49" fontId="30" fillId="0" borderId="0" xfId="0" applyNumberFormat="1" applyFont="1" applyBorder="1" applyAlignment="1">
      <alignment horizontal="center" vertical="center" wrapText="1"/>
    </xf>
    <xf numFmtId="4" fontId="31" fillId="0" borderId="0" xfId="0" applyNumberFormat="1" applyFont="1" applyBorder="1" applyAlignment="1">
      <alignment horizontal="right" vertical="center" wrapText="1"/>
    </xf>
    <xf numFmtId="49" fontId="30" fillId="0" borderId="8" xfId="0" applyNumberFormat="1" applyFont="1" applyBorder="1" applyAlignment="1">
      <alignment horizontal="center" vertical="center" wrapText="1"/>
    </xf>
    <xf numFmtId="4" fontId="31" fillId="0" borderId="1" xfId="0" applyNumberFormat="1" applyFont="1" applyBorder="1" applyAlignment="1">
      <alignment horizontal="right" vertical="center" wrapText="1"/>
    </xf>
    <xf numFmtId="4" fontId="31" fillId="0" borderId="2" xfId="0" applyNumberFormat="1" applyFont="1" applyBorder="1" applyAlignment="1">
      <alignment horizontal="right" vertical="center" wrapText="1"/>
    </xf>
    <xf numFmtId="4" fontId="31" fillId="0" borderId="6" xfId="0" applyNumberFormat="1" applyFont="1" applyBorder="1" applyAlignment="1">
      <alignment horizontal="right" vertical="center" wrapText="1"/>
    </xf>
    <xf numFmtId="49" fontId="30" fillId="0" borderId="30" xfId="0" applyNumberFormat="1" applyFont="1" applyBorder="1" applyAlignment="1">
      <alignment horizontal="center" vertical="center" wrapText="1"/>
    </xf>
    <xf numFmtId="4" fontId="31" fillId="0" borderId="13" xfId="0" applyNumberFormat="1" applyFont="1" applyBorder="1" applyAlignment="1">
      <alignment horizontal="right" vertical="center" wrapText="1"/>
    </xf>
    <xf numFmtId="4" fontId="14" fillId="0" borderId="0" xfId="0" applyFont="1" applyBorder="1" applyAlignment="1">
      <alignment horizontal="left" vertical="center" wrapText="1"/>
    </xf>
    <xf numFmtId="4" fontId="14" fillId="0" borderId="0" xfId="0" applyNumberFormat="1" applyFont="1" applyBorder="1" applyAlignment="1">
      <alignment horizontal="center" vertical="center" wrapText="1"/>
    </xf>
    <xf numFmtId="4" fontId="14" fillId="0" borderId="0" xfId="0" applyNumberFormat="1" applyFont="1" applyBorder="1" applyAlignment="1">
      <alignment vertical="center" wrapText="1"/>
    </xf>
    <xf numFmtId="4" fontId="14" fillId="0" borderId="0" xfId="0" applyFont="1" applyAlignment="1">
      <alignment vertical="center"/>
    </xf>
    <xf numFmtId="4" fontId="22" fillId="0" borderId="0" xfId="0" applyFont="1" applyBorder="1" applyAlignment="1"/>
    <xf numFmtId="4" fontId="6" fillId="0" borderId="3" xfId="1" applyNumberFormat="1" applyFont="1" applyBorder="1" applyAlignment="1">
      <alignment horizontal="right"/>
    </xf>
    <xf numFmtId="2" fontId="8" fillId="0" borderId="3" xfId="1" applyNumberFormat="1" applyFont="1" applyFill="1" applyBorder="1" applyAlignment="1"/>
    <xf numFmtId="4" fontId="8" fillId="0" borderId="3" xfId="1" applyNumberFormat="1" applyFont="1" applyFill="1" applyBorder="1" applyAlignment="1"/>
    <xf numFmtId="3" fontId="6" fillId="0" borderId="39" xfId="1" applyNumberFormat="1" applyFont="1" applyBorder="1"/>
    <xf numFmtId="3" fontId="6" fillId="0" borderId="38" xfId="1" applyNumberFormat="1" applyFont="1" applyBorder="1"/>
    <xf numFmtId="3" fontId="6" fillId="0" borderId="39" xfId="1" applyNumberFormat="1" applyFont="1" applyFill="1" applyBorder="1" applyAlignment="1">
      <alignment horizontal="right"/>
    </xf>
    <xf numFmtId="3" fontId="6" fillId="0" borderId="38" xfId="1" applyNumberFormat="1" applyFont="1" applyFill="1" applyBorder="1"/>
    <xf numFmtId="3" fontId="6" fillId="0" borderId="39" xfId="1" applyNumberFormat="1" applyFont="1" applyFill="1" applyBorder="1"/>
    <xf numFmtId="3" fontId="6" fillId="0" borderId="38" xfId="1" applyNumberFormat="1" applyFont="1" applyBorder="1" applyAlignment="1"/>
    <xf numFmtId="3" fontId="6" fillId="0" borderId="39" xfId="1" applyNumberFormat="1" applyFont="1" applyBorder="1" applyAlignment="1"/>
    <xf numFmtId="3" fontId="6" fillId="0" borderId="38" xfId="1" applyNumberFormat="1" applyFont="1" applyFill="1" applyBorder="1" applyAlignment="1">
      <alignment horizontal="right"/>
    </xf>
    <xf numFmtId="3" fontId="9" fillId="0" borderId="38" xfId="1" applyNumberFormat="1" applyFont="1" applyFill="1" applyBorder="1" applyAlignment="1">
      <alignment horizontal="center"/>
    </xf>
    <xf numFmtId="3" fontId="9" fillId="0" borderId="39" xfId="1" applyNumberFormat="1" applyFont="1" applyFill="1" applyBorder="1" applyAlignment="1">
      <alignment horizontal="center"/>
    </xf>
    <xf numFmtId="3" fontId="6" fillId="0" borderId="39" xfId="0" applyNumberFormat="1" applyFont="1" applyBorder="1" applyAlignment="1">
      <alignment horizontal="right" vertical="top"/>
    </xf>
    <xf numFmtId="3" fontId="6" fillId="0" borderId="38" xfId="0" applyNumberFormat="1" applyFont="1" applyBorder="1" applyAlignment="1">
      <alignment horizontal="right" vertical="top"/>
    </xf>
    <xf numFmtId="3" fontId="6" fillId="0" borderId="38" xfId="0" applyNumberFormat="1" applyFont="1" applyBorder="1">
      <alignment vertical="top"/>
    </xf>
    <xf numFmtId="3" fontId="6" fillId="0" borderId="39" xfId="0" applyNumberFormat="1" applyFont="1" applyBorder="1">
      <alignment vertical="top"/>
    </xf>
    <xf numFmtId="3" fontId="8" fillId="0" borderId="38" xfId="1" applyNumberFormat="1" applyFont="1" applyFill="1" applyBorder="1" applyAlignment="1"/>
    <xf numFmtId="3" fontId="8" fillId="0" borderId="39" xfId="1" applyNumberFormat="1" applyFont="1" applyFill="1" applyBorder="1" applyAlignment="1"/>
    <xf numFmtId="4" fontId="5" fillId="0" borderId="38" xfId="0" applyNumberFormat="1" applyFont="1" applyBorder="1">
      <alignment vertical="top"/>
    </xf>
    <xf numFmtId="4" fontId="8" fillId="0" borderId="38" xfId="1" applyNumberFormat="1" applyFont="1" applyFill="1" applyBorder="1" applyAlignment="1">
      <alignment horizontal="left" indent="3"/>
    </xf>
    <xf numFmtId="4" fontId="5" fillId="0" borderId="42" xfId="0" applyNumberFormat="1" applyFont="1" applyBorder="1">
      <alignment vertical="top"/>
    </xf>
    <xf numFmtId="4" fontId="5" fillId="0" borderId="43" xfId="0" applyNumberFormat="1" applyFont="1" applyBorder="1">
      <alignment vertical="top"/>
    </xf>
    <xf numFmtId="3" fontId="8" fillId="0" borderId="42" xfId="1" applyNumberFormat="1" applyFont="1" applyFill="1" applyBorder="1" applyAlignment="1"/>
    <xf numFmtId="3" fontId="8" fillId="0" borderId="44" xfId="1" applyNumberFormat="1" applyFont="1" applyFill="1" applyBorder="1" applyAlignment="1"/>
    <xf numFmtId="4" fontId="8" fillId="0" borderId="42" xfId="1" applyNumberFormat="1" applyFont="1" applyFill="1" applyBorder="1" applyAlignment="1"/>
    <xf numFmtId="4" fontId="7" fillId="3" borderId="3" xfId="1" applyNumberFormat="1" applyFont="1" applyFill="1" applyBorder="1"/>
    <xf numFmtId="3" fontId="7" fillId="0" borderId="3" xfId="1" applyNumberFormat="1" applyFont="1" applyBorder="1" applyProtection="1"/>
    <xf numFmtId="3" fontId="6" fillId="0" borderId="3" xfId="1" applyNumberFormat="1" applyFont="1" applyBorder="1" applyProtection="1"/>
    <xf numFmtId="3" fontId="26" fillId="0" borderId="3" xfId="1" applyNumberFormat="1" applyFont="1" applyBorder="1" applyAlignment="1" applyProtection="1">
      <alignment horizontal="right"/>
    </xf>
    <xf numFmtId="3" fontId="7" fillId="0" borderId="3" xfId="1" applyNumberFormat="1" applyFont="1" applyBorder="1" applyAlignment="1" applyProtection="1">
      <alignment horizontal="right"/>
    </xf>
    <xf numFmtId="3" fontId="7" fillId="0" borderId="3" xfId="1" applyNumberFormat="1" applyFont="1" applyBorder="1" applyAlignment="1" applyProtection="1"/>
    <xf numFmtId="3" fontId="6" fillId="0" borderId="3" xfId="1" applyNumberFormat="1" applyFont="1" applyBorder="1" applyAlignment="1" applyProtection="1"/>
    <xf numFmtId="3" fontId="7" fillId="0" borderId="3" xfId="1" applyNumberFormat="1" applyFont="1" applyFill="1" applyBorder="1" applyProtection="1"/>
    <xf numFmtId="4" fontId="0" fillId="0" borderId="0" xfId="0" applyAlignment="1">
      <alignment horizontal="center" vertical="top"/>
    </xf>
    <xf numFmtId="4" fontId="0" fillId="0" borderId="0" xfId="0" applyAlignment="1">
      <alignment vertical="top"/>
    </xf>
    <xf numFmtId="49" fontId="6" fillId="9" borderId="3" xfId="1" applyNumberFormat="1" applyFont="1" applyFill="1" applyBorder="1" applyAlignment="1">
      <alignment horizontal="center"/>
    </xf>
    <xf numFmtId="3" fontId="7" fillId="10" borderId="38" xfId="1" applyFont="1" applyFill="1" applyBorder="1" applyAlignment="1">
      <alignment horizontal="center"/>
    </xf>
    <xf numFmtId="49" fontId="7" fillId="10" borderId="39" xfId="1" applyNumberFormat="1" applyFont="1" applyFill="1" applyBorder="1" applyAlignment="1">
      <alignment horizontal="center"/>
    </xf>
    <xf numFmtId="3" fontId="7" fillId="10" borderId="38" xfId="1" applyNumberFormat="1" applyFont="1" applyFill="1" applyBorder="1"/>
    <xf numFmtId="3" fontId="7" fillId="10" borderId="3" xfId="1" applyNumberFormat="1" applyFont="1" applyFill="1" applyBorder="1"/>
    <xf numFmtId="4" fontId="6" fillId="10" borderId="3" xfId="1" applyNumberFormat="1" applyFont="1" applyFill="1" applyBorder="1"/>
    <xf numFmtId="3" fontId="7" fillId="10" borderId="39" xfId="1" applyNumberFormat="1" applyFont="1" applyFill="1" applyBorder="1"/>
    <xf numFmtId="3" fontId="7" fillId="10" borderId="11" xfId="1" applyNumberFormat="1" applyFont="1" applyFill="1" applyBorder="1"/>
    <xf numFmtId="3" fontId="6" fillId="10" borderId="38" xfId="1" applyNumberFormat="1" applyFont="1" applyFill="1" applyBorder="1" applyAlignment="1">
      <alignment horizontal="right"/>
    </xf>
    <xf numFmtId="3" fontId="6" fillId="10" borderId="3" xfId="1" applyNumberFormat="1" applyFont="1" applyFill="1" applyBorder="1" applyAlignment="1">
      <alignment horizontal="right"/>
    </xf>
    <xf numFmtId="3" fontId="6" fillId="10" borderId="39" xfId="1" applyNumberFormat="1" applyFont="1" applyFill="1" applyBorder="1" applyAlignment="1">
      <alignment horizontal="right"/>
    </xf>
    <xf numFmtId="3" fontId="7" fillId="10" borderId="38" xfId="1" applyNumberFormat="1" applyFont="1" applyFill="1" applyBorder="1" applyAlignment="1">
      <alignment horizontal="right"/>
    </xf>
    <xf numFmtId="3" fontId="6" fillId="10" borderId="11" xfId="1" applyNumberFormat="1" applyFont="1" applyFill="1" applyBorder="1" applyAlignment="1">
      <alignment horizontal="right"/>
    </xf>
    <xf numFmtId="3" fontId="6" fillId="0" borderId="11" xfId="1" applyNumberFormat="1" applyFont="1" applyFill="1" applyBorder="1" applyAlignment="1">
      <alignment horizontal="right"/>
    </xf>
    <xf numFmtId="49" fontId="8" fillId="10" borderId="39" xfId="1" applyNumberFormat="1" applyFont="1" applyFill="1" applyBorder="1" applyAlignment="1">
      <alignment horizontal="center"/>
    </xf>
    <xf numFmtId="3" fontId="8" fillId="8" borderId="3" xfId="1" applyNumberFormat="1" applyFont="1" applyFill="1" applyBorder="1" applyAlignment="1">
      <alignment horizontal="right"/>
    </xf>
    <xf numFmtId="3" fontId="8" fillId="8" borderId="11" xfId="1" applyNumberFormat="1" applyFont="1" applyFill="1" applyBorder="1" applyAlignment="1">
      <alignment horizontal="right"/>
    </xf>
    <xf numFmtId="3" fontId="8" fillId="8" borderId="38" xfId="1" applyNumberFormat="1" applyFont="1" applyFill="1" applyBorder="1" applyAlignment="1"/>
    <xf numFmtId="3" fontId="8" fillId="8" borderId="3" xfId="1" applyNumberFormat="1" applyFont="1" applyFill="1" applyBorder="1" applyAlignment="1"/>
    <xf numFmtId="3" fontId="8" fillId="8" borderId="39" xfId="1" applyNumberFormat="1" applyFont="1" applyFill="1" applyBorder="1" applyAlignment="1"/>
    <xf numFmtId="4" fontId="8" fillId="10" borderId="39" xfId="1" applyNumberFormat="1" applyFont="1" applyFill="1" applyBorder="1" applyAlignment="1">
      <alignment horizontal="center"/>
    </xf>
    <xf numFmtId="4" fontId="28" fillId="0" borderId="38" xfId="0" applyNumberFormat="1" applyFont="1" applyBorder="1">
      <alignment vertical="top"/>
    </xf>
    <xf numFmtId="3" fontId="35" fillId="8" borderId="11" xfId="1" applyNumberFormat="1" applyFont="1" applyFill="1" applyBorder="1" applyAlignment="1">
      <alignment horizontal="right"/>
    </xf>
    <xf numFmtId="4" fontId="8" fillId="8" borderId="38" xfId="1" applyNumberFormat="1" applyFont="1" applyFill="1" applyBorder="1" applyAlignment="1"/>
    <xf numFmtId="4" fontId="8" fillId="8" borderId="3" xfId="1" applyNumberFormat="1" applyFont="1" applyFill="1" applyBorder="1" applyAlignment="1"/>
    <xf numFmtId="4" fontId="8" fillId="8" borderId="39" xfId="1" applyNumberFormat="1" applyFont="1" applyFill="1" applyBorder="1" applyAlignment="1"/>
    <xf numFmtId="49" fontId="8" fillId="10" borderId="44" xfId="1" applyNumberFormat="1" applyFont="1" applyFill="1" applyBorder="1" applyAlignment="1">
      <alignment horizontal="center"/>
    </xf>
    <xf numFmtId="3" fontId="28" fillId="0" borderId="42" xfId="0" applyNumberFormat="1" applyFont="1" applyBorder="1">
      <alignment vertical="top"/>
    </xf>
    <xf numFmtId="3" fontId="8" fillId="8" borderId="45" xfId="1" applyNumberFormat="1" applyFont="1" applyFill="1" applyBorder="1" applyAlignment="1">
      <alignment horizontal="right"/>
    </xf>
    <xf numFmtId="3" fontId="8" fillId="8" borderId="42" xfId="1" applyNumberFormat="1" applyFont="1" applyFill="1" applyBorder="1" applyAlignment="1"/>
    <xf numFmtId="3" fontId="8" fillId="8" borderId="43" xfId="1" applyNumberFormat="1" applyFont="1" applyFill="1" applyBorder="1" applyAlignment="1"/>
    <xf numFmtId="3" fontId="8" fillId="8" borderId="44" xfId="1" applyNumberFormat="1" applyFont="1" applyFill="1" applyBorder="1" applyAlignment="1"/>
    <xf numFmtId="4" fontId="18" fillId="0" borderId="6" xfId="0" applyFont="1" applyBorder="1" applyAlignment="1">
      <alignment vertical="center"/>
    </xf>
    <xf numFmtId="4" fontId="13" fillId="3" borderId="3" xfId="0" applyFont="1" applyFill="1" applyBorder="1" applyAlignment="1">
      <alignment horizontal="center" vertical="center" wrapText="1"/>
    </xf>
    <xf numFmtId="4" fontId="38" fillId="0" borderId="0" xfId="0" applyFont="1" applyAlignment="1"/>
    <xf numFmtId="4" fontId="39" fillId="0" borderId="1" xfId="0" applyFont="1" applyBorder="1" applyAlignment="1">
      <alignment vertical="center" wrapText="1"/>
    </xf>
    <xf numFmtId="4" fontId="39" fillId="0" borderId="6" xfId="0" applyFont="1" applyBorder="1" applyAlignment="1">
      <alignment horizontal="left" vertical="center" wrapText="1"/>
    </xf>
    <xf numFmtId="4" fontId="20" fillId="0" borderId="6" xfId="0" applyFont="1" applyBorder="1" applyAlignment="1">
      <alignment horizontal="center" vertical="center" wrapText="1"/>
    </xf>
    <xf numFmtId="14" fontId="20" fillId="0" borderId="6" xfId="0" applyNumberFormat="1" applyFont="1" applyBorder="1" applyAlignment="1">
      <alignment horizontal="center" vertical="center" wrapText="1"/>
    </xf>
    <xf numFmtId="4" fontId="39" fillId="0" borderId="46" xfId="0" applyFont="1" applyBorder="1" applyAlignment="1">
      <alignment vertical="center" wrapText="1"/>
    </xf>
    <xf numFmtId="4" fontId="39" fillId="0" borderId="46" xfId="0" applyFont="1" applyBorder="1" applyAlignment="1">
      <alignment horizontal="left" vertical="center" wrapText="1"/>
    </xf>
    <xf numFmtId="4" fontId="20" fillId="0" borderId="46" xfId="0" applyFont="1" applyBorder="1" applyAlignment="1">
      <alignment horizontal="center" vertical="center" wrapText="1"/>
    </xf>
    <xf numFmtId="14" fontId="20" fillId="0" borderId="46" xfId="0" applyNumberFormat="1" applyFont="1" applyBorder="1" applyAlignment="1">
      <alignment horizontal="center" vertical="center" wrapText="1"/>
    </xf>
    <xf numFmtId="3" fontId="20" fillId="0" borderId="46" xfId="0" applyNumberFormat="1" applyFont="1" applyBorder="1" applyAlignment="1">
      <alignment horizontal="center" vertical="center" wrapText="1"/>
    </xf>
    <xf numFmtId="3" fontId="20" fillId="0" borderId="6" xfId="0" applyNumberFormat="1" applyFont="1" applyBorder="1" applyAlignment="1">
      <alignment horizontal="center" vertical="center" wrapText="1"/>
    </xf>
    <xf numFmtId="4" fontId="11" fillId="0" borderId="0" xfId="0" applyFont="1" applyAlignment="1"/>
    <xf numFmtId="4" fontId="12" fillId="0" borderId="0" xfId="0" applyFont="1" applyAlignment="1"/>
    <xf numFmtId="4" fontId="40" fillId="0" borderId="57" xfId="0" applyFont="1" applyFill="1" applyBorder="1" applyAlignment="1">
      <alignment horizontal="center" vertical="center" wrapText="1"/>
    </xf>
    <xf numFmtId="4" fontId="40" fillId="0" borderId="57" xfId="0" applyNumberFormat="1" applyFont="1" applyFill="1" applyBorder="1" applyAlignment="1">
      <alignment horizontal="right" vertical="center" wrapText="1"/>
    </xf>
    <xf numFmtId="4" fontId="40" fillId="0" borderId="59" xfId="0" applyFont="1" applyFill="1" applyBorder="1" applyAlignment="1">
      <alignment horizontal="center" vertical="center" wrapText="1"/>
    </xf>
    <xf numFmtId="4" fontId="40" fillId="0" borderId="59" xfId="0" applyNumberFormat="1" applyFont="1" applyFill="1" applyBorder="1" applyAlignment="1">
      <alignment horizontal="right" vertical="center" wrapText="1"/>
    </xf>
    <xf numFmtId="14" fontId="40" fillId="0" borderId="59" xfId="0" applyNumberFormat="1" applyFont="1" applyFill="1" applyBorder="1" applyAlignment="1">
      <alignment horizontal="center" vertical="center" wrapText="1"/>
    </xf>
    <xf numFmtId="4" fontId="40" fillId="0" borderId="62" xfId="0" applyFont="1" applyFill="1" applyBorder="1" applyAlignment="1">
      <alignment horizontal="center" vertical="center" wrapText="1"/>
    </xf>
    <xf numFmtId="4" fontId="40" fillId="0" borderId="5" xfId="0" applyNumberFormat="1" applyFont="1" applyFill="1" applyBorder="1" applyAlignment="1">
      <alignment horizontal="right" vertical="center" wrapText="1"/>
    </xf>
    <xf numFmtId="4" fontId="20" fillId="0" borderId="5" xfId="0" applyFont="1" applyFill="1" applyBorder="1" applyAlignment="1">
      <alignment horizontal="center" vertical="center" wrapText="1"/>
    </xf>
    <xf numFmtId="14" fontId="40" fillId="0" borderId="5" xfId="0" applyNumberFormat="1" applyFont="1" applyFill="1" applyBorder="1" applyAlignment="1">
      <alignment horizontal="center" vertical="center" wrapText="1"/>
    </xf>
    <xf numFmtId="14" fontId="40" fillId="0" borderId="57" xfId="0" applyNumberFormat="1" applyFont="1" applyFill="1" applyBorder="1" applyAlignment="1">
      <alignment horizontal="center" vertical="center" wrapText="1"/>
    </xf>
    <xf numFmtId="14" fontId="20" fillId="0" borderId="5" xfId="0" applyNumberFormat="1" applyFont="1" applyFill="1" applyBorder="1" applyAlignment="1">
      <alignment horizontal="center" vertical="center" wrapText="1"/>
    </xf>
    <xf numFmtId="4" fontId="40" fillId="0" borderId="65" xfId="0" applyFont="1" applyFill="1" applyBorder="1" applyAlignment="1">
      <alignment horizontal="center" vertical="center" wrapText="1"/>
    </xf>
    <xf numFmtId="4" fontId="40" fillId="0" borderId="65" xfId="0" applyNumberFormat="1" applyFont="1" applyFill="1" applyBorder="1" applyAlignment="1">
      <alignment horizontal="right" vertical="center" wrapText="1"/>
    </xf>
    <xf numFmtId="14" fontId="20" fillId="0" borderId="65" xfId="0" applyNumberFormat="1" applyFont="1" applyFill="1" applyBorder="1" applyAlignment="1">
      <alignment horizontal="center" vertical="center" wrapText="1"/>
    </xf>
    <xf numFmtId="14" fontId="40" fillId="0" borderId="65" xfId="0" applyNumberFormat="1" applyFont="1" applyFill="1" applyBorder="1" applyAlignment="1">
      <alignment horizontal="center" vertical="center" wrapText="1"/>
    </xf>
    <xf numFmtId="4" fontId="41" fillId="0" borderId="65" xfId="0" applyFont="1" applyBorder="1" applyAlignment="1">
      <alignment horizontal="center" vertical="center" wrapText="1"/>
    </xf>
    <xf numFmtId="164" fontId="41" fillId="0" borderId="65" xfId="0" applyNumberFormat="1" applyFont="1" applyBorder="1" applyAlignment="1">
      <alignment horizontal="right" vertical="center" wrapText="1"/>
    </xf>
    <xf numFmtId="165" fontId="41" fillId="0" borderId="65" xfId="0" applyNumberFormat="1" applyFont="1" applyBorder="1" applyAlignment="1">
      <alignment horizontal="center" vertical="center" wrapText="1"/>
    </xf>
    <xf numFmtId="164" fontId="41" fillId="0" borderId="5" xfId="0" applyNumberFormat="1" applyFont="1" applyBorder="1" applyAlignment="1">
      <alignment horizontal="right" vertical="center" wrapText="1"/>
    </xf>
    <xf numFmtId="165" fontId="42" fillId="0" borderId="5" xfId="0" applyNumberFormat="1" applyFont="1" applyBorder="1" applyAlignment="1">
      <alignment horizontal="center" vertical="center" wrapText="1"/>
    </xf>
    <xf numFmtId="165" fontId="41" fillId="0" borderId="5" xfId="0" applyNumberFormat="1" applyFont="1" applyBorder="1" applyAlignment="1">
      <alignment horizontal="center" vertical="center" wrapText="1"/>
    </xf>
    <xf numFmtId="4" fontId="41" fillId="4" borderId="57" xfId="0" applyFont="1" applyFill="1" applyBorder="1" applyAlignment="1">
      <alignment horizontal="center" vertical="center" wrapText="1"/>
    </xf>
    <xf numFmtId="164" fontId="41" fillId="0" borderId="57" xfId="0" applyNumberFormat="1" applyFont="1" applyBorder="1" applyAlignment="1">
      <alignment horizontal="right" vertical="center" wrapText="1"/>
    </xf>
    <xf numFmtId="165" fontId="41" fillId="0" borderId="57" xfId="0" applyNumberFormat="1" applyFont="1" applyBorder="1" applyAlignment="1">
      <alignment horizontal="center" vertical="center" wrapText="1"/>
    </xf>
    <xf numFmtId="4" fontId="41" fillId="0" borderId="5" xfId="0" applyFont="1" applyBorder="1" applyAlignment="1">
      <alignment horizontal="center" vertical="center" wrapText="1"/>
    </xf>
    <xf numFmtId="4" fontId="41" fillId="0" borderId="62" xfId="0" applyFont="1" applyBorder="1" applyAlignment="1">
      <alignment horizontal="center" vertical="center" wrapText="1"/>
    </xf>
    <xf numFmtId="4" fontId="41" fillId="0" borderId="66" xfId="0" applyFont="1" applyBorder="1" applyAlignment="1">
      <alignment horizontal="center" vertical="center" wrapText="1"/>
    </xf>
    <xf numFmtId="4" fontId="41" fillId="0" borderId="10" xfId="0" applyFont="1" applyBorder="1" applyAlignment="1">
      <alignment horizontal="center" vertical="center" wrapText="1"/>
    </xf>
    <xf numFmtId="4" fontId="41" fillId="0" borderId="57" xfId="0" applyNumberFormat="1" applyFont="1" applyBorder="1" applyAlignment="1">
      <alignment horizontal="right" vertical="center" wrapText="1"/>
    </xf>
    <xf numFmtId="4" fontId="41" fillId="0" borderId="57" xfId="0" applyNumberFormat="1" applyFont="1" applyBorder="1" applyAlignment="1">
      <alignment vertical="center" wrapText="1"/>
    </xf>
    <xf numFmtId="4" fontId="41" fillId="0" borderId="59" xfId="0" applyFont="1" applyBorder="1" applyAlignment="1">
      <alignment horizontal="center" vertical="center" wrapText="1"/>
    </xf>
    <xf numFmtId="4" fontId="41" fillId="0" borderId="59" xfId="0" applyNumberFormat="1" applyFont="1" applyBorder="1" applyAlignment="1">
      <alignment horizontal="right" vertical="center" wrapText="1"/>
    </xf>
    <xf numFmtId="4" fontId="41" fillId="0" borderId="59" xfId="0" applyNumberFormat="1" applyFont="1" applyBorder="1" applyAlignment="1">
      <alignment vertical="center" wrapText="1"/>
    </xf>
    <xf numFmtId="165" fontId="41" fillId="0" borderId="59" xfId="0" applyNumberFormat="1" applyFont="1" applyBorder="1" applyAlignment="1">
      <alignment horizontal="center" vertical="center" wrapText="1"/>
    </xf>
    <xf numFmtId="4" fontId="41" fillId="0" borderId="5" xfId="0" applyNumberFormat="1" applyFont="1" applyBorder="1" applyAlignment="1">
      <alignment horizontal="right" vertical="center" wrapText="1"/>
    </xf>
    <xf numFmtId="4" fontId="41" fillId="0" borderId="5" xfId="0" applyFont="1" applyBorder="1" applyAlignment="1">
      <alignment vertical="center" wrapText="1"/>
    </xf>
    <xf numFmtId="164" fontId="41" fillId="0" borderId="57" xfId="0" applyNumberFormat="1" applyFont="1" applyBorder="1" applyAlignment="1">
      <alignment vertical="center" wrapText="1"/>
    </xf>
    <xf numFmtId="4" fontId="41" fillId="0" borderId="67" xfId="0" applyFont="1" applyBorder="1" applyAlignment="1">
      <alignment horizontal="center" vertical="center" wrapText="1"/>
    </xf>
    <xf numFmtId="164" fontId="41" fillId="0" borderId="5" xfId="0" applyNumberFormat="1" applyFont="1" applyBorder="1" applyAlignment="1">
      <alignment vertical="center" wrapText="1"/>
    </xf>
    <xf numFmtId="164" fontId="41" fillId="0" borderId="68" xfId="0" applyNumberFormat="1" applyFont="1" applyBorder="1" applyAlignment="1">
      <alignment horizontal="right" vertical="center" wrapText="1"/>
    </xf>
    <xf numFmtId="4" fontId="41" fillId="0" borderId="12" xfId="0" applyFont="1" applyBorder="1" applyAlignment="1">
      <alignment horizontal="left" vertical="center" wrapText="1"/>
    </xf>
    <xf numFmtId="4" fontId="42" fillId="0" borderId="58" xfId="0" applyFont="1" applyBorder="1" applyAlignment="1">
      <alignment horizontal="left" vertical="center" wrapText="1"/>
    </xf>
    <xf numFmtId="164" fontId="41" fillId="0" borderId="69" xfId="0" applyNumberFormat="1" applyFont="1" applyBorder="1" applyAlignment="1">
      <alignment horizontal="right" vertical="center" wrapText="1"/>
    </xf>
    <xf numFmtId="164" fontId="41" fillId="0" borderId="59" xfId="0" applyNumberFormat="1" applyFont="1" applyBorder="1" applyAlignment="1">
      <alignment vertical="center" wrapText="1"/>
    </xf>
    <xf numFmtId="164" fontId="41" fillId="0" borderId="59" xfId="0" applyNumberFormat="1" applyFont="1" applyBorder="1" applyAlignment="1">
      <alignment horizontal="right" vertical="center" wrapText="1"/>
    </xf>
    <xf numFmtId="164" fontId="42" fillId="0" borderId="5" xfId="0" applyNumberFormat="1" applyFont="1" applyBorder="1" applyAlignment="1">
      <alignment vertical="center" wrapText="1"/>
    </xf>
    <xf numFmtId="4" fontId="41" fillId="0" borderId="57" xfId="0" applyFont="1" applyBorder="1" applyAlignment="1">
      <alignment horizontal="center" vertical="center" wrapText="1"/>
    </xf>
    <xf numFmtId="164" fontId="41" fillId="0" borderId="10" xfId="0" applyNumberFormat="1" applyFont="1" applyBorder="1" applyAlignment="1">
      <alignment horizontal="right" vertical="center" wrapText="1"/>
    </xf>
    <xf numFmtId="164" fontId="41" fillId="0" borderId="10" xfId="0" applyNumberFormat="1" applyFont="1" applyBorder="1" applyAlignment="1">
      <alignment vertical="center" wrapText="1"/>
    </xf>
    <xf numFmtId="165" fontId="41" fillId="0" borderId="10" xfId="0" applyNumberFormat="1" applyFont="1" applyBorder="1" applyAlignment="1">
      <alignment horizontal="center" vertical="center" wrapText="1"/>
    </xf>
    <xf numFmtId="164" fontId="41" fillId="0" borderId="61" xfId="0" applyNumberFormat="1" applyFont="1" applyBorder="1" applyAlignment="1">
      <alignment horizontal="right" vertical="center" wrapText="1"/>
    </xf>
    <xf numFmtId="164" fontId="41" fillId="0" borderId="56" xfId="0" applyNumberFormat="1" applyFont="1" applyBorder="1" applyAlignment="1">
      <alignment horizontal="right" vertical="center" wrapText="1"/>
    </xf>
    <xf numFmtId="164" fontId="41" fillId="0" borderId="69" xfId="0" applyNumberFormat="1" applyFont="1" applyBorder="1" applyAlignment="1">
      <alignment vertical="center" wrapText="1"/>
    </xf>
    <xf numFmtId="164" fontId="41" fillId="4" borderId="69" xfId="0" applyNumberFormat="1" applyFont="1" applyFill="1" applyBorder="1" applyAlignment="1">
      <alignment vertical="center" wrapText="1"/>
    </xf>
    <xf numFmtId="4" fontId="41" fillId="0" borderId="58" xfId="0" applyFont="1" applyBorder="1" applyAlignment="1">
      <alignment horizontal="left" vertical="center" wrapText="1"/>
    </xf>
    <xf numFmtId="164" fontId="41" fillId="0" borderId="67" xfId="0" applyNumberFormat="1" applyFont="1" applyBorder="1" applyAlignment="1">
      <alignment horizontal="right" vertical="center" wrapText="1"/>
    </xf>
    <xf numFmtId="164" fontId="41" fillId="0" borderId="67" xfId="0" applyNumberFormat="1" applyFont="1" applyBorder="1" applyAlignment="1">
      <alignment vertical="center" wrapText="1"/>
    </xf>
    <xf numFmtId="165" fontId="41" fillId="0" borderId="67" xfId="0" applyNumberFormat="1" applyFont="1" applyBorder="1" applyAlignment="1">
      <alignment horizontal="center" vertical="center" wrapText="1"/>
    </xf>
    <xf numFmtId="4" fontId="41" fillId="0" borderId="53" xfId="0" applyFont="1" applyBorder="1" applyAlignment="1">
      <alignment horizontal="center" vertical="center" wrapText="1"/>
    </xf>
    <xf numFmtId="164" fontId="41" fillId="0" borderId="65" xfId="0" applyNumberFormat="1" applyFont="1" applyBorder="1" applyAlignment="1">
      <alignment vertical="center" wrapText="1"/>
    </xf>
    <xf numFmtId="4" fontId="41" fillId="0" borderId="54" xfId="0" applyFont="1" applyBorder="1" applyAlignment="1">
      <alignment horizontal="center" vertical="center" wrapText="1"/>
    </xf>
    <xf numFmtId="4" fontId="41" fillId="0" borderId="55" xfId="0" applyFont="1" applyBorder="1" applyAlignment="1">
      <alignment horizontal="center" vertical="center" wrapText="1"/>
    </xf>
    <xf numFmtId="4" fontId="41" fillId="0" borderId="60" xfId="0" applyFont="1" applyBorder="1" applyAlignment="1">
      <alignment horizontal="center" vertical="center" wrapText="1"/>
    </xf>
    <xf numFmtId="4" fontId="41" fillId="0" borderId="0" xfId="0" applyFont="1" applyBorder="1" applyAlignment="1">
      <alignment horizontal="center" vertical="center" wrapText="1"/>
    </xf>
    <xf numFmtId="4" fontId="41" fillId="4" borderId="53" xfId="0" applyFont="1" applyFill="1" applyBorder="1" applyAlignment="1">
      <alignment horizontal="center" vertical="center" wrapText="1"/>
    </xf>
    <xf numFmtId="164" fontId="41" fillId="4" borderId="57" xfId="0" applyNumberFormat="1" applyFont="1" applyFill="1" applyBorder="1" applyAlignment="1">
      <alignment horizontal="right" vertical="center" wrapText="1"/>
    </xf>
    <xf numFmtId="164" fontId="41" fillId="4" borderId="57" xfId="0" applyNumberFormat="1" applyFont="1" applyFill="1" applyBorder="1" applyAlignment="1">
      <alignment vertical="center" wrapText="1"/>
    </xf>
    <xf numFmtId="165" fontId="41" fillId="4" borderId="57" xfId="0" applyNumberFormat="1" applyFont="1" applyFill="1" applyBorder="1" applyAlignment="1">
      <alignment horizontal="center" vertical="center" wrapText="1"/>
    </xf>
    <xf numFmtId="4" fontId="41" fillId="4" borderId="12" xfId="0" applyFont="1" applyFill="1" applyBorder="1" applyAlignment="1">
      <alignment horizontal="left" vertical="center" wrapText="1"/>
    </xf>
    <xf numFmtId="4" fontId="41" fillId="4" borderId="58" xfId="0" applyFont="1" applyFill="1" applyBorder="1" applyAlignment="1">
      <alignment horizontal="left" vertical="center" wrapText="1"/>
    </xf>
    <xf numFmtId="4" fontId="41" fillId="4" borderId="63" xfId="0" applyFont="1" applyFill="1" applyBorder="1" applyAlignment="1">
      <alignment horizontal="center" vertical="center" wrapText="1"/>
    </xf>
    <xf numFmtId="164" fontId="41" fillId="4" borderId="65" xfId="0" applyNumberFormat="1" applyFont="1" applyFill="1" applyBorder="1" applyAlignment="1">
      <alignment horizontal="right" vertical="center" wrapText="1"/>
    </xf>
    <xf numFmtId="164" fontId="41" fillId="4" borderId="65" xfId="0" applyNumberFormat="1" applyFont="1" applyFill="1" applyBorder="1" applyAlignment="1">
      <alignment vertical="center" wrapText="1"/>
    </xf>
    <xf numFmtId="165" fontId="41" fillId="4" borderId="65" xfId="0" applyNumberFormat="1" applyFont="1" applyFill="1" applyBorder="1" applyAlignment="1">
      <alignment horizontal="center" vertical="center" wrapText="1"/>
    </xf>
    <xf numFmtId="4" fontId="41" fillId="4" borderId="70" xfId="0" applyFont="1" applyFill="1" applyBorder="1" applyAlignment="1">
      <alignment horizontal="center" vertical="center" wrapText="1"/>
    </xf>
    <xf numFmtId="164" fontId="41" fillId="4" borderId="5" xfId="0" applyNumberFormat="1" applyFont="1" applyFill="1" applyBorder="1" applyAlignment="1">
      <alignment horizontal="right" vertical="center" wrapText="1"/>
    </xf>
    <xf numFmtId="164" fontId="41" fillId="4" borderId="5" xfId="0" applyNumberFormat="1" applyFont="1" applyFill="1" applyBorder="1" applyAlignment="1">
      <alignment vertical="center" wrapText="1"/>
    </xf>
    <xf numFmtId="165" fontId="41" fillId="4" borderId="5" xfId="0" applyNumberFormat="1" applyFont="1" applyFill="1" applyBorder="1" applyAlignment="1">
      <alignment horizontal="center" vertical="center" wrapText="1"/>
    </xf>
    <xf numFmtId="4" fontId="41" fillId="0" borderId="12" xfId="0" applyFont="1" applyBorder="1" applyAlignment="1">
      <alignment horizontal="center" vertical="center" wrapText="1"/>
    </xf>
    <xf numFmtId="4" fontId="41" fillId="0" borderId="20" xfId="0" applyFont="1" applyBorder="1" applyAlignment="1">
      <alignment horizontal="center" vertical="center" wrapText="1"/>
    </xf>
    <xf numFmtId="4" fontId="41" fillId="0" borderId="72" xfId="0" applyFont="1" applyBorder="1" applyAlignment="1">
      <alignment horizontal="left" vertical="center" wrapText="1"/>
    </xf>
    <xf numFmtId="4" fontId="41" fillId="0" borderId="69" xfId="0" applyFont="1" applyBorder="1" applyAlignment="1">
      <alignment horizontal="left" vertical="center" wrapText="1"/>
    </xf>
    <xf numFmtId="4" fontId="41" fillId="0" borderId="72" xfId="0" applyFont="1" applyBorder="1" applyAlignment="1">
      <alignment horizontal="center" vertical="center" wrapText="1"/>
    </xf>
    <xf numFmtId="4" fontId="41" fillId="0" borderId="60" xfId="0" applyFont="1" applyBorder="1" applyAlignment="1">
      <alignment horizontal="left" vertical="center" wrapText="1"/>
    </xf>
    <xf numFmtId="4" fontId="41" fillId="0" borderId="61" xfId="0" applyFont="1" applyBorder="1" applyAlignment="1">
      <alignment horizontal="left" vertical="center" wrapText="1"/>
    </xf>
    <xf numFmtId="4" fontId="41" fillId="0" borderId="69" xfId="0" applyFont="1" applyBorder="1" applyAlignment="1">
      <alignment horizontal="center" vertical="center" wrapText="1"/>
    </xf>
    <xf numFmtId="4" fontId="20" fillId="11" borderId="4" xfId="0" applyFont="1" applyFill="1" applyBorder="1" applyAlignment="1">
      <alignment vertical="center" wrapText="1"/>
    </xf>
    <xf numFmtId="4" fontId="20" fillId="2" borderId="3" xfId="0" applyNumberFormat="1" applyFont="1" applyFill="1" applyBorder="1" applyAlignment="1">
      <alignment horizontal="right" vertical="center" wrapText="1"/>
    </xf>
    <xf numFmtId="4" fontId="20" fillId="2" borderId="11" xfId="0" applyNumberFormat="1" applyFont="1" applyFill="1" applyBorder="1" applyAlignment="1">
      <alignment horizontal="right" vertical="center" wrapText="1"/>
    </xf>
    <xf numFmtId="165" fontId="42" fillId="0" borderId="0" xfId="0" applyNumberFormat="1" applyFont="1" applyBorder="1" applyAlignment="1">
      <alignment horizontal="center" vertical="center" wrapText="1"/>
    </xf>
    <xf numFmtId="165" fontId="41" fillId="0" borderId="0" xfId="0" applyNumberFormat="1" applyFont="1" applyBorder="1" applyAlignment="1">
      <alignment horizontal="center" vertical="center" wrapText="1"/>
    </xf>
    <xf numFmtId="4" fontId="23" fillId="0" borderId="0" xfId="0" applyFont="1" applyAlignment="1">
      <alignment horizontal="center"/>
    </xf>
    <xf numFmtId="3" fontId="6" fillId="4" borderId="3" xfId="1" applyNumberFormat="1" applyFont="1" applyFill="1" applyBorder="1"/>
    <xf numFmtId="3" fontId="6" fillId="4" borderId="3" xfId="1" applyNumberFormat="1" applyFont="1" applyFill="1" applyBorder="1" applyAlignment="1">
      <alignment horizontal="right"/>
    </xf>
    <xf numFmtId="3" fontId="43" fillId="4" borderId="3" xfId="1" applyNumberFormat="1" applyFont="1" applyFill="1" applyBorder="1" applyAlignment="1">
      <alignment horizontal="center" vertical="center"/>
    </xf>
    <xf numFmtId="3" fontId="43" fillId="4" borderId="43" xfId="1" applyNumberFormat="1" applyFont="1" applyFill="1" applyBorder="1" applyAlignment="1">
      <alignment horizontal="center" vertical="center"/>
    </xf>
    <xf numFmtId="3" fontId="8" fillId="4" borderId="43" xfId="1" applyNumberFormat="1" applyFont="1" applyFill="1" applyBorder="1" applyAlignment="1"/>
    <xf numFmtId="4" fontId="15" fillId="3" borderId="3" xfId="0" applyFont="1" applyFill="1" applyBorder="1" applyAlignment="1">
      <alignment horizontal="center"/>
    </xf>
    <xf numFmtId="4" fontId="13" fillId="2" borderId="3" xfId="0" applyFont="1" applyFill="1" applyBorder="1" applyAlignment="1">
      <alignment horizontal="left" vertical="center"/>
    </xf>
    <xf numFmtId="4" fontId="21" fillId="8" borderId="2" xfId="0" applyFont="1" applyFill="1" applyBorder="1" applyAlignment="1">
      <alignment horizontal="left" vertical="center"/>
    </xf>
    <xf numFmtId="4" fontId="14" fillId="0" borderId="0" xfId="0" applyFont="1" applyBorder="1" applyAlignment="1">
      <alignment horizontal="left" vertical="center" wrapText="1"/>
    </xf>
    <xf numFmtId="4" fontId="15" fillId="3" borderId="11" xfId="0" applyFont="1" applyFill="1" applyBorder="1" applyAlignment="1">
      <alignment horizontal="center"/>
    </xf>
    <xf numFmtId="4" fontId="15" fillId="3" borderId="3" xfId="0" applyNumberFormat="1" applyFont="1" applyFill="1" applyBorder="1" applyAlignment="1">
      <alignment horizontal="center"/>
    </xf>
    <xf numFmtId="4" fontId="12" fillId="0" borderId="0" xfId="0" applyFont="1" applyAlignment="1"/>
    <xf numFmtId="3" fontId="6" fillId="0" borderId="38" xfId="1" applyNumberFormat="1" applyFont="1" applyFill="1" applyBorder="1" applyAlignment="1"/>
    <xf numFmtId="3" fontId="6" fillId="0" borderId="3" xfId="1" applyNumberFormat="1" applyFont="1" applyFill="1" applyBorder="1" applyAlignment="1"/>
    <xf numFmtId="3" fontId="6" fillId="0" borderId="39" xfId="1" applyNumberFormat="1" applyFont="1" applyFill="1" applyBorder="1" applyAlignment="1"/>
    <xf numFmtId="3" fontId="28" fillId="0" borderId="38" xfId="0" applyNumberFormat="1" applyFont="1" applyBorder="1">
      <alignment vertical="top"/>
    </xf>
    <xf numFmtId="4" fontId="28" fillId="0" borderId="3" xfId="0" applyNumberFormat="1" applyFont="1" applyBorder="1">
      <alignment vertical="top"/>
    </xf>
    <xf numFmtId="166" fontId="28" fillId="0" borderId="3" xfId="0" applyNumberFormat="1" applyFont="1" applyBorder="1">
      <alignment vertical="top"/>
    </xf>
    <xf numFmtId="4" fontId="5" fillId="0" borderId="39" xfId="0" applyNumberFormat="1" applyFont="1" applyBorder="1">
      <alignment vertical="top"/>
    </xf>
    <xf numFmtId="4" fontId="8" fillId="0" borderId="38" xfId="1" applyNumberFormat="1" applyFont="1" applyFill="1" applyBorder="1" applyAlignment="1"/>
    <xf numFmtId="166" fontId="8" fillId="0" borderId="3" xfId="1" applyNumberFormat="1" applyFont="1" applyFill="1" applyBorder="1" applyAlignment="1"/>
    <xf numFmtId="4" fontId="8" fillId="0" borderId="39" xfId="1" applyNumberFormat="1" applyFont="1" applyFill="1" applyBorder="1" applyAlignment="1"/>
    <xf numFmtId="3" fontId="28" fillId="0" borderId="43" xfId="0" applyNumberFormat="1" applyFont="1" applyBorder="1">
      <alignment vertical="top"/>
    </xf>
    <xf numFmtId="4" fontId="44" fillId="0" borderId="6" xfId="0" applyNumberFormat="1" applyFont="1" applyBorder="1" applyAlignment="1">
      <alignment horizontal="right" vertical="center" wrapText="1"/>
    </xf>
    <xf numFmtId="4" fontId="44" fillId="0" borderId="6" xfId="0" applyNumberFormat="1" applyFont="1" applyBorder="1" applyAlignment="1">
      <alignment vertical="center"/>
    </xf>
    <xf numFmtId="4" fontId="44" fillId="0" borderId="2" xfId="0" applyNumberFormat="1" applyFont="1" applyBorder="1" applyAlignment="1">
      <alignment vertical="center"/>
    </xf>
    <xf numFmtId="4" fontId="44" fillId="0" borderId="2" xfId="0" applyNumberFormat="1" applyFont="1" applyBorder="1" applyAlignment="1">
      <alignment horizontal="right" vertical="center" wrapText="1"/>
    </xf>
    <xf numFmtId="4" fontId="44" fillId="0" borderId="13" xfId="0" applyNumberFormat="1" applyFont="1" applyBorder="1" applyAlignment="1">
      <alignment vertical="center"/>
    </xf>
    <xf numFmtId="4" fontId="44" fillId="2" borderId="13" xfId="0" applyNumberFormat="1" applyFont="1" applyFill="1" applyBorder="1" applyAlignment="1">
      <alignment horizontal="right" vertical="center" wrapText="1"/>
    </xf>
    <xf numFmtId="4" fontId="44" fillId="2" borderId="3" xfId="0" applyNumberFormat="1" applyFont="1" applyFill="1" applyBorder="1" applyAlignment="1">
      <alignment vertical="center"/>
    </xf>
    <xf numFmtId="4" fontId="39" fillId="0" borderId="10" xfId="0" applyNumberFormat="1" applyFont="1" applyFill="1" applyBorder="1" applyAlignment="1">
      <alignment horizontal="right" vertical="center" wrapText="1"/>
    </xf>
    <xf numFmtId="4" fontId="14" fillId="0" borderId="2" xfId="0" applyNumberFormat="1" applyFont="1" applyBorder="1" applyAlignment="1">
      <alignment vertical="center" wrapText="1"/>
    </xf>
    <xf numFmtId="14" fontId="46" fillId="8" borderId="6" xfId="0" applyNumberFormat="1" applyFont="1" applyFill="1" applyBorder="1" applyAlignment="1">
      <alignment horizontal="left" vertical="center"/>
    </xf>
    <xf numFmtId="43" fontId="46" fillId="8" borderId="6" xfId="0" applyNumberFormat="1" applyFont="1" applyFill="1" applyBorder="1" applyAlignment="1">
      <alignment horizontal="left" vertical="center"/>
    </xf>
    <xf numFmtId="14" fontId="46" fillId="8" borderId="2" xfId="0" applyNumberFormat="1" applyFont="1" applyFill="1" applyBorder="1" applyAlignment="1">
      <alignment horizontal="left" vertical="center"/>
    </xf>
    <xf numFmtId="43" fontId="46" fillId="8" borderId="2" xfId="0" applyNumberFormat="1" applyFont="1" applyFill="1" applyBorder="1" applyAlignment="1">
      <alignment horizontal="left" vertical="center"/>
    </xf>
    <xf numFmtId="14" fontId="48" fillId="2" borderId="2" xfId="0" applyNumberFormat="1" applyFont="1" applyFill="1" applyBorder="1" applyAlignment="1">
      <alignment horizontal="left" vertical="center"/>
    </xf>
    <xf numFmtId="43" fontId="48" fillId="2" borderId="2" xfId="0" applyNumberFormat="1" applyFont="1" applyFill="1" applyBorder="1" applyAlignment="1">
      <alignment horizontal="left" vertical="center"/>
    </xf>
    <xf numFmtId="4" fontId="50" fillId="0" borderId="0" xfId="0" applyFont="1" applyAlignment="1">
      <alignment horizontal="center" vertical="top"/>
    </xf>
    <xf numFmtId="4" fontId="50" fillId="0" borderId="0" xfId="0" applyFont="1" applyAlignment="1">
      <alignment vertical="top"/>
    </xf>
    <xf numFmtId="4" fontId="51" fillId="0" borderId="0" xfId="0" applyFont="1" applyAlignment="1">
      <alignment horizontal="center" vertical="top"/>
    </xf>
    <xf numFmtId="3" fontId="51" fillId="0" borderId="0" xfId="1" applyFont="1" applyFill="1" applyBorder="1"/>
    <xf numFmtId="3" fontId="51" fillId="0" borderId="0" xfId="1" applyFont="1" applyFill="1" applyBorder="1" applyAlignment="1">
      <alignment horizontal="center"/>
    </xf>
    <xf numFmtId="49" fontId="51" fillId="0" borderId="0" xfId="1" applyNumberFormat="1" applyFont="1" applyFill="1" applyBorder="1" applyAlignment="1">
      <alignment horizontal="center"/>
    </xf>
    <xf numFmtId="3" fontId="51" fillId="0" borderId="0" xfId="1" applyFont="1" applyFill="1" applyBorder="1" applyAlignment="1"/>
    <xf numFmtId="3" fontId="53" fillId="0" borderId="0" xfId="1" applyFont="1" applyFill="1" applyBorder="1"/>
    <xf numFmtId="4" fontId="53" fillId="0" borderId="0" xfId="1" applyNumberFormat="1" applyFont="1" applyFill="1" applyBorder="1"/>
    <xf numFmtId="4" fontId="51" fillId="0" borderId="0" xfId="0" applyFont="1" applyAlignment="1">
      <alignment vertical="top"/>
    </xf>
    <xf numFmtId="4" fontId="52" fillId="0" borderId="0" xfId="0" applyFont="1" applyAlignment="1">
      <alignment vertical="top"/>
    </xf>
    <xf numFmtId="4" fontId="50" fillId="0" borderId="0" xfId="0" applyFont="1" applyFill="1" applyAlignment="1">
      <alignment vertical="top"/>
    </xf>
    <xf numFmtId="49" fontId="54" fillId="2" borderId="3" xfId="1" applyNumberFormat="1" applyFont="1" applyFill="1" applyBorder="1" applyAlignment="1">
      <alignment horizontal="center"/>
    </xf>
    <xf numFmtId="3" fontId="54" fillId="10" borderId="4" xfId="1" applyFont="1" applyFill="1" applyBorder="1" applyAlignment="1">
      <alignment horizontal="center"/>
    </xf>
    <xf numFmtId="49" fontId="54" fillId="10" borderId="5" xfId="1" applyNumberFormat="1" applyFont="1" applyFill="1" applyBorder="1" applyAlignment="1">
      <alignment horizontal="center"/>
    </xf>
    <xf numFmtId="3" fontId="54" fillId="10" borderId="3" xfId="1" applyNumberFormat="1" applyFont="1" applyFill="1" applyBorder="1"/>
    <xf numFmtId="4" fontId="54" fillId="10" borderId="3" xfId="1" applyNumberFormat="1" applyFont="1" applyFill="1" applyBorder="1"/>
    <xf numFmtId="3" fontId="54" fillId="10" borderId="4" xfId="1" applyNumberFormat="1" applyFont="1" applyFill="1" applyBorder="1"/>
    <xf numFmtId="3" fontId="54" fillId="0" borderId="53" xfId="1" applyFont="1" applyBorder="1" applyAlignment="1">
      <alignment horizontal="center"/>
    </xf>
    <xf numFmtId="49" fontId="54" fillId="10" borderId="57" xfId="1" applyNumberFormat="1" applyFont="1" applyFill="1" applyBorder="1" applyAlignment="1">
      <alignment horizontal="center"/>
    </xf>
    <xf numFmtId="3" fontId="54" fillId="0" borderId="51" xfId="1" applyNumberFormat="1" applyFont="1" applyBorder="1" applyAlignment="1">
      <alignment horizontal="right"/>
    </xf>
    <xf numFmtId="4" fontId="54" fillId="0" borderId="1" xfId="1" applyNumberFormat="1" applyFont="1" applyBorder="1" applyAlignment="1">
      <alignment horizontal="right"/>
    </xf>
    <xf numFmtId="4" fontId="54" fillId="0" borderId="1" xfId="1" applyNumberFormat="1" applyFont="1" applyFill="1" applyBorder="1"/>
    <xf numFmtId="3" fontId="54" fillId="0" borderId="7" xfId="1" applyNumberFormat="1" applyFont="1" applyBorder="1" applyAlignment="1">
      <alignment horizontal="right"/>
    </xf>
    <xf numFmtId="3" fontId="54" fillId="0" borderId="51" xfId="1" applyNumberFormat="1" applyFont="1" applyFill="1" applyBorder="1"/>
    <xf numFmtId="4" fontId="54" fillId="0" borderId="51" xfId="1" applyNumberFormat="1" applyFont="1" applyFill="1" applyBorder="1"/>
    <xf numFmtId="3" fontId="55" fillId="0" borderId="46" xfId="1" applyNumberFormat="1" applyFont="1" applyFill="1" applyBorder="1" applyAlignment="1">
      <alignment horizontal="right"/>
    </xf>
    <xf numFmtId="3" fontId="54" fillId="0" borderId="1" xfId="1" applyNumberFormat="1" applyFont="1" applyFill="1" applyBorder="1"/>
    <xf numFmtId="3" fontId="54" fillId="0" borderId="72" xfId="1" applyFont="1" applyBorder="1" applyAlignment="1">
      <alignment horizontal="center"/>
    </xf>
    <xf numFmtId="49" fontId="54" fillId="10" borderId="59" xfId="1" applyNumberFormat="1" applyFont="1" applyFill="1" applyBorder="1" applyAlignment="1">
      <alignment horizontal="center"/>
    </xf>
    <xf numFmtId="3" fontId="54" fillId="0" borderId="48" xfId="1" applyNumberFormat="1" applyFont="1" applyBorder="1" applyAlignment="1">
      <alignment horizontal="right"/>
    </xf>
    <xf numFmtId="4" fontId="54" fillId="0" borderId="2" xfId="1" applyNumberFormat="1" applyFont="1" applyBorder="1" applyAlignment="1">
      <alignment horizontal="right"/>
    </xf>
    <xf numFmtId="4" fontId="54" fillId="0" borderId="2" xfId="1" applyNumberFormat="1" applyFont="1" applyFill="1" applyBorder="1"/>
    <xf numFmtId="3" fontId="54" fillId="0" borderId="8" xfId="1" applyNumberFormat="1" applyFont="1" applyBorder="1" applyAlignment="1">
      <alignment horizontal="right"/>
    </xf>
    <xf numFmtId="3" fontId="54" fillId="0" borderId="48" xfId="1" applyNumberFormat="1" applyFont="1" applyFill="1" applyBorder="1" applyAlignment="1">
      <alignment horizontal="right"/>
    </xf>
    <xf numFmtId="4" fontId="54" fillId="0" borderId="48" xfId="1" applyNumberFormat="1" applyFont="1" applyFill="1" applyBorder="1" applyAlignment="1">
      <alignment horizontal="right"/>
    </xf>
    <xf numFmtId="4" fontId="54" fillId="0" borderId="2" xfId="1" applyNumberFormat="1" applyFont="1" applyFill="1" applyBorder="1" applyAlignment="1">
      <alignment horizontal="right"/>
    </xf>
    <xf numFmtId="3" fontId="54" fillId="0" borderId="2" xfId="1" applyNumberFormat="1" applyFont="1" applyFill="1" applyBorder="1" applyAlignment="1">
      <alignment horizontal="right"/>
    </xf>
    <xf numFmtId="3" fontId="54" fillId="0" borderId="73" xfId="1" applyNumberFormat="1" applyFont="1" applyFill="1" applyBorder="1" applyAlignment="1">
      <alignment horizontal="right"/>
    </xf>
    <xf numFmtId="3" fontId="54" fillId="0" borderId="54" xfId="1" applyFont="1" applyBorder="1" applyAlignment="1">
      <alignment horizontal="center"/>
    </xf>
    <xf numFmtId="3" fontId="54" fillId="0" borderId="76" xfId="1" applyFont="1" applyBorder="1" applyAlignment="1">
      <alignment horizontal="left"/>
    </xf>
    <xf numFmtId="3" fontId="54" fillId="0" borderId="77" xfId="1" applyFont="1" applyBorder="1" applyAlignment="1">
      <alignment horizontal="left"/>
    </xf>
    <xf numFmtId="49" fontId="54" fillId="10" borderId="66" xfId="1" applyNumberFormat="1" applyFont="1" applyFill="1" applyBorder="1" applyAlignment="1">
      <alignment horizontal="center"/>
    </xf>
    <xf numFmtId="3" fontId="54" fillId="0" borderId="76" xfId="1" applyNumberFormat="1" applyFont="1" applyBorder="1" applyAlignment="1">
      <alignment horizontal="right"/>
    </xf>
    <xf numFmtId="4" fontId="54" fillId="0" borderId="46" xfId="1" applyNumberFormat="1" applyFont="1" applyBorder="1" applyAlignment="1">
      <alignment horizontal="right"/>
    </xf>
    <xf numFmtId="4" fontId="54" fillId="0" borderId="46" xfId="1" applyNumberFormat="1" applyFont="1" applyFill="1" applyBorder="1"/>
    <xf numFmtId="3" fontId="54" fillId="0" borderId="9" xfId="1" applyNumberFormat="1" applyFont="1" applyBorder="1" applyAlignment="1">
      <alignment horizontal="right"/>
    </xf>
    <xf numFmtId="3" fontId="54" fillId="0" borderId="76" xfId="1" applyNumberFormat="1" applyFont="1" applyFill="1" applyBorder="1" applyAlignment="1">
      <alignment horizontal="right"/>
    </xf>
    <xf numFmtId="4" fontId="54" fillId="0" borderId="76" xfId="1" applyNumberFormat="1" applyFont="1" applyFill="1" applyBorder="1" applyAlignment="1">
      <alignment horizontal="right"/>
    </xf>
    <xf numFmtId="4" fontId="54" fillId="0" borderId="46" xfId="1" applyNumberFormat="1" applyFont="1" applyFill="1" applyBorder="1" applyAlignment="1">
      <alignment horizontal="right"/>
    </xf>
    <xf numFmtId="3" fontId="54" fillId="0" borderId="46" xfId="1" applyNumberFormat="1" applyFont="1" applyFill="1" applyBorder="1" applyAlignment="1">
      <alignment horizontal="right"/>
    </xf>
    <xf numFmtId="3" fontId="54" fillId="0" borderId="77" xfId="1" applyNumberFormat="1" applyFont="1" applyFill="1" applyBorder="1" applyAlignment="1">
      <alignment horizontal="right"/>
    </xf>
    <xf numFmtId="49" fontId="54" fillId="10" borderId="3" xfId="1" applyNumberFormat="1" applyFont="1" applyFill="1" applyBorder="1" applyAlignment="1">
      <alignment horizontal="center"/>
    </xf>
    <xf numFmtId="3" fontId="54" fillId="10" borderId="3" xfId="1" applyNumberFormat="1" applyFont="1" applyFill="1" applyBorder="1" applyAlignment="1">
      <alignment horizontal="right"/>
    </xf>
    <xf numFmtId="4" fontId="54" fillId="10" borderId="3" xfId="1" applyNumberFormat="1" applyFont="1" applyFill="1" applyBorder="1" applyAlignment="1">
      <alignment horizontal="right"/>
    </xf>
    <xf numFmtId="3" fontId="54" fillId="12" borderId="4" xfId="1" applyNumberFormat="1" applyFont="1" applyFill="1" applyBorder="1" applyAlignment="1">
      <alignment horizontal="right"/>
    </xf>
    <xf numFmtId="3" fontId="54" fillId="12" borderId="3" xfId="1" applyNumberFormat="1" applyFont="1" applyFill="1" applyBorder="1" applyAlignment="1">
      <alignment horizontal="right"/>
    </xf>
    <xf numFmtId="4" fontId="54" fillId="12" borderId="3" xfId="1" applyNumberFormat="1" applyFont="1" applyFill="1" applyBorder="1" applyAlignment="1">
      <alignment horizontal="right"/>
    </xf>
    <xf numFmtId="4" fontId="54" fillId="12" borderId="3" xfId="1" applyNumberFormat="1" applyFont="1" applyFill="1" applyBorder="1"/>
    <xf numFmtId="3" fontId="54" fillId="10" borderId="4" xfId="1" applyNumberFormat="1" applyFont="1" applyFill="1" applyBorder="1" applyAlignment="1">
      <alignment horizontal="right"/>
    </xf>
    <xf numFmtId="3" fontId="54" fillId="12" borderId="3" xfId="1" applyNumberFormat="1" applyFont="1" applyFill="1" applyBorder="1"/>
    <xf numFmtId="3" fontId="54" fillId="12" borderId="4" xfId="1" applyNumberFormat="1" applyFont="1" applyFill="1" applyBorder="1"/>
    <xf numFmtId="3" fontId="54" fillId="0" borderId="53" xfId="1" applyFont="1" applyFill="1" applyBorder="1" applyAlignment="1">
      <alignment horizontal="center"/>
    </xf>
    <xf numFmtId="49" fontId="54" fillId="10" borderId="65" xfId="1" applyNumberFormat="1" applyFont="1" applyFill="1" applyBorder="1" applyAlignment="1">
      <alignment horizontal="center"/>
    </xf>
    <xf numFmtId="3" fontId="54" fillId="0" borderId="51" xfId="1" applyNumberFormat="1" applyFont="1" applyFill="1" applyBorder="1" applyAlignment="1">
      <alignment horizontal="right"/>
    </xf>
    <xf numFmtId="4" fontId="54" fillId="0" borderId="51" xfId="1" applyNumberFormat="1" applyFont="1" applyFill="1" applyBorder="1" applyAlignment="1">
      <alignment horizontal="right"/>
    </xf>
    <xf numFmtId="3" fontId="54" fillId="0" borderId="48" xfId="1" applyFont="1" applyBorder="1" applyAlignment="1">
      <alignment horizontal="left"/>
    </xf>
    <xf numFmtId="3" fontId="54" fillId="0" borderId="73" xfId="1" applyFont="1" applyBorder="1" applyAlignment="1">
      <alignment horizontal="left"/>
    </xf>
    <xf numFmtId="3" fontId="54" fillId="0" borderId="48" xfId="1" applyNumberFormat="1" applyFont="1" applyFill="1" applyBorder="1" applyAlignment="1"/>
    <xf numFmtId="4" fontId="54" fillId="0" borderId="48" xfId="1" applyNumberFormat="1" applyFont="1" applyFill="1" applyBorder="1" applyAlignment="1"/>
    <xf numFmtId="4" fontId="54" fillId="0" borderId="2" xfId="1" applyNumberFormat="1" applyFont="1" applyFill="1" applyBorder="1" applyAlignment="1"/>
    <xf numFmtId="3" fontId="54" fillId="0" borderId="2" xfId="1" applyNumberFormat="1" applyFont="1" applyFill="1" applyBorder="1" applyAlignment="1"/>
    <xf numFmtId="3" fontId="54" fillId="0" borderId="72" xfId="1" applyFont="1" applyFill="1" applyBorder="1" applyAlignment="1">
      <alignment horizontal="center"/>
    </xf>
    <xf numFmtId="3" fontId="54" fillId="0" borderId="48" xfId="1" applyFont="1" applyFill="1" applyBorder="1" applyAlignment="1">
      <alignment horizontal="left"/>
    </xf>
    <xf numFmtId="3" fontId="54" fillId="0" borderId="73" xfId="1" applyFont="1" applyFill="1" applyBorder="1" applyAlignment="1">
      <alignment horizontal="left"/>
    </xf>
    <xf numFmtId="4" fontId="54" fillId="0" borderId="48" xfId="1" applyNumberFormat="1" applyFont="1" applyFill="1" applyBorder="1"/>
    <xf numFmtId="3" fontId="54" fillId="0" borderId="48" xfId="1" applyNumberFormat="1" applyFont="1" applyFill="1" applyBorder="1"/>
    <xf numFmtId="3" fontId="54" fillId="0" borderId="2" xfId="1" applyNumberFormat="1" applyFont="1" applyFill="1" applyBorder="1"/>
    <xf numFmtId="4" fontId="56" fillId="0" borderId="2" xfId="1" applyNumberFormat="1" applyFont="1" applyFill="1" applyBorder="1"/>
    <xf numFmtId="3" fontId="54" fillId="0" borderId="48" xfId="1" applyNumberFormat="1" applyFont="1" applyFill="1" applyBorder="1" applyAlignment="1">
      <alignment horizontal="center"/>
    </xf>
    <xf numFmtId="4" fontId="54" fillId="0" borderId="2" xfId="1" applyNumberFormat="1" applyFont="1" applyFill="1" applyBorder="1" applyAlignment="1">
      <alignment horizontal="center"/>
    </xf>
    <xf numFmtId="3" fontId="54" fillId="0" borderId="8" xfId="1" applyNumberFormat="1" applyFont="1" applyFill="1" applyBorder="1" applyAlignment="1">
      <alignment horizontal="right"/>
    </xf>
    <xf numFmtId="3" fontId="56" fillId="0" borderId="48" xfId="1" applyNumberFormat="1" applyFont="1" applyFill="1" applyBorder="1" applyAlignment="1">
      <alignment horizontal="center"/>
    </xf>
    <xf numFmtId="3" fontId="56" fillId="0" borderId="2" xfId="1" applyNumberFormat="1" applyFont="1" applyFill="1" applyBorder="1" applyAlignment="1">
      <alignment horizontal="center"/>
    </xf>
    <xf numFmtId="4" fontId="56" fillId="0" borderId="2" xfId="1" applyNumberFormat="1" applyFont="1" applyFill="1" applyBorder="1" applyAlignment="1">
      <alignment horizontal="center"/>
    </xf>
    <xf numFmtId="3" fontId="56" fillId="0" borderId="73" xfId="1" applyNumberFormat="1" applyFont="1" applyFill="1" applyBorder="1" applyAlignment="1">
      <alignment horizontal="center"/>
    </xf>
    <xf numFmtId="4" fontId="54" fillId="0" borderId="2" xfId="0" applyNumberFormat="1" applyFont="1" applyFill="1" applyBorder="1" applyAlignment="1">
      <alignment horizontal="right" vertical="top"/>
    </xf>
    <xf numFmtId="3" fontId="57" fillId="0" borderId="2" xfId="0" applyNumberFormat="1" applyFont="1" applyFill="1" applyBorder="1" applyAlignment="1">
      <alignment horizontal="right" vertical="top"/>
    </xf>
    <xf numFmtId="3" fontId="54" fillId="0" borderId="8" xfId="0" applyNumberFormat="1" applyFont="1" applyFill="1" applyBorder="1" applyAlignment="1">
      <alignment horizontal="right" vertical="top"/>
    </xf>
    <xf numFmtId="4" fontId="54" fillId="0" borderId="48" xfId="0" applyNumberFormat="1" applyFont="1" applyFill="1" applyBorder="1" applyAlignment="1">
      <alignment horizontal="right" vertical="top"/>
    </xf>
    <xf numFmtId="3" fontId="54" fillId="0" borderId="48" xfId="0" applyNumberFormat="1" applyFont="1" applyFill="1" applyBorder="1" applyAlignment="1">
      <alignment vertical="top"/>
    </xf>
    <xf numFmtId="3" fontId="54" fillId="0" borderId="2" xfId="0" applyNumberFormat="1" applyFont="1" applyFill="1" applyBorder="1" applyAlignment="1">
      <alignment vertical="top"/>
    </xf>
    <xf numFmtId="4" fontId="54" fillId="0" borderId="2" xfId="0" applyNumberFormat="1" applyFont="1" applyFill="1" applyBorder="1" applyAlignment="1">
      <alignment vertical="top"/>
    </xf>
    <xf numFmtId="3" fontId="54" fillId="0" borderId="73" xfId="0" applyNumberFormat="1" applyFont="1" applyFill="1" applyBorder="1" applyAlignment="1">
      <alignment vertical="top"/>
    </xf>
    <xf numFmtId="3" fontId="54" fillId="0" borderId="54" xfId="1" applyFont="1" applyFill="1" applyBorder="1" applyAlignment="1">
      <alignment horizontal="center"/>
    </xf>
    <xf numFmtId="3" fontId="54" fillId="0" borderId="76" xfId="1" applyFont="1" applyFill="1" applyBorder="1" applyAlignment="1">
      <alignment horizontal="left"/>
    </xf>
    <xf numFmtId="3" fontId="54" fillId="0" borderId="77" xfId="1" applyFont="1" applyFill="1" applyBorder="1" applyAlignment="1">
      <alignment horizontal="left"/>
    </xf>
    <xf numFmtId="49" fontId="54" fillId="10" borderId="67" xfId="1" applyNumberFormat="1" applyFont="1" applyFill="1" applyBorder="1" applyAlignment="1">
      <alignment horizontal="center"/>
    </xf>
    <xf numFmtId="4" fontId="56" fillId="0" borderId="46" xfId="1" applyNumberFormat="1" applyFont="1" applyFill="1" applyBorder="1"/>
    <xf numFmtId="3" fontId="54" fillId="0" borderId="76" xfId="1" applyNumberFormat="1" applyFont="1" applyFill="1" applyBorder="1"/>
    <xf numFmtId="4" fontId="54" fillId="0" borderId="46" xfId="0" applyNumberFormat="1" applyFont="1" applyFill="1" applyBorder="1" applyAlignment="1">
      <alignment vertical="top"/>
    </xf>
    <xf numFmtId="3" fontId="54" fillId="0" borderId="46" xfId="0" applyNumberFormat="1" applyFont="1" applyFill="1" applyBorder="1" applyAlignment="1">
      <alignment vertical="top"/>
    </xf>
    <xf numFmtId="3" fontId="54" fillId="0" borderId="9" xfId="0" applyNumberFormat="1" applyFont="1" applyFill="1" applyBorder="1" applyAlignment="1">
      <alignment vertical="top"/>
    </xf>
    <xf numFmtId="4" fontId="54" fillId="0" borderId="76" xfId="0" applyNumberFormat="1" applyFont="1" applyBorder="1" applyAlignment="1">
      <alignment vertical="top"/>
    </xf>
    <xf numFmtId="3" fontId="54" fillId="0" borderId="76" xfId="0" applyNumberFormat="1" applyFont="1" applyBorder="1" applyAlignment="1">
      <alignment vertical="top"/>
    </xf>
    <xf numFmtId="3" fontId="54" fillId="0" borderId="77" xfId="0" applyNumberFormat="1" applyFont="1" applyFill="1" applyBorder="1" applyAlignment="1">
      <alignment vertical="top"/>
    </xf>
    <xf numFmtId="3" fontId="54" fillId="10" borderId="55" xfId="1" applyFont="1" applyFill="1" applyBorder="1" applyAlignment="1">
      <alignment horizontal="left"/>
    </xf>
    <xf numFmtId="3" fontId="54" fillId="10" borderId="56" xfId="1" applyFont="1" applyFill="1" applyBorder="1" applyAlignment="1">
      <alignment horizontal="left"/>
    </xf>
    <xf numFmtId="4" fontId="56" fillId="10" borderId="78" xfId="1" applyNumberFormat="1" applyFont="1" applyFill="1" applyBorder="1"/>
    <xf numFmtId="4" fontId="54" fillId="10" borderId="78" xfId="1" applyNumberFormat="1" applyFont="1" applyFill="1" applyBorder="1"/>
    <xf numFmtId="3" fontId="56" fillId="0" borderId="53" xfId="1" applyFont="1" applyBorder="1" applyAlignment="1">
      <alignment horizontal="center"/>
    </xf>
    <xf numFmtId="49" fontId="56" fillId="10" borderId="65" xfId="1" applyNumberFormat="1" applyFont="1" applyFill="1" applyBorder="1" applyAlignment="1">
      <alignment horizontal="center"/>
    </xf>
    <xf numFmtId="3" fontId="30" fillId="0" borderId="49" xfId="0" applyNumberFormat="1" applyFont="1" applyFill="1" applyBorder="1" applyAlignment="1">
      <alignment vertical="top"/>
    </xf>
    <xf numFmtId="3" fontId="30" fillId="0" borderId="6" xfId="0" applyNumberFormat="1" applyFont="1" applyFill="1" applyBorder="1" applyAlignment="1">
      <alignment vertical="top"/>
    </xf>
    <xf numFmtId="3" fontId="54" fillId="0" borderId="6" xfId="0" applyNumberFormat="1" applyFont="1" applyFill="1" applyBorder="1" applyAlignment="1">
      <alignment vertical="top"/>
    </xf>
    <xf numFmtId="4" fontId="56" fillId="0" borderId="1" xfId="1" applyNumberFormat="1" applyFont="1" applyFill="1" applyBorder="1"/>
    <xf numFmtId="3" fontId="30" fillId="0" borderId="79" xfId="0" applyNumberFormat="1" applyFont="1" applyFill="1" applyBorder="1" applyAlignment="1">
      <alignment vertical="top"/>
    </xf>
    <xf numFmtId="4" fontId="30" fillId="0" borderId="49" xfId="0" applyNumberFormat="1" applyFont="1" applyFill="1" applyBorder="1" applyAlignment="1">
      <alignment vertical="top"/>
    </xf>
    <xf numFmtId="4" fontId="56" fillId="0" borderId="72" xfId="1" applyNumberFormat="1" applyFont="1" applyBorder="1" applyAlignment="1">
      <alignment horizontal="center"/>
    </xf>
    <xf numFmtId="4" fontId="56" fillId="10" borderId="59" xfId="1" applyNumberFormat="1" applyFont="1" applyFill="1" applyBorder="1" applyAlignment="1">
      <alignment horizontal="center"/>
    </xf>
    <xf numFmtId="4" fontId="30" fillId="0" borderId="48" xfId="0" applyNumberFormat="1" applyFont="1" applyFill="1" applyBorder="1" applyAlignment="1">
      <alignment vertical="top"/>
    </xf>
    <xf numFmtId="4" fontId="30" fillId="0" borderId="2" xfId="0" applyNumberFormat="1" applyFont="1" applyFill="1" applyBorder="1" applyAlignment="1">
      <alignment vertical="top"/>
    </xf>
    <xf numFmtId="4" fontId="30" fillId="0" borderId="73" xfId="0" applyNumberFormat="1" applyFont="1" applyFill="1" applyBorder="1" applyAlignment="1">
      <alignment vertical="top"/>
    </xf>
    <xf numFmtId="3" fontId="56" fillId="0" borderId="54" xfId="1" applyFont="1" applyBorder="1" applyAlignment="1">
      <alignment horizontal="center"/>
    </xf>
    <xf numFmtId="49" fontId="56" fillId="10" borderId="67" xfId="1" applyNumberFormat="1" applyFont="1" applyFill="1" applyBorder="1" applyAlignment="1">
      <alignment horizontal="center"/>
    </xf>
    <xf numFmtId="4" fontId="30" fillId="0" borderId="76" xfId="0" applyNumberFormat="1" applyFont="1" applyFill="1" applyBorder="1" applyAlignment="1">
      <alignment vertical="top"/>
    </xf>
    <xf numFmtId="4" fontId="30" fillId="0" borderId="46" xfId="0" applyNumberFormat="1" applyFont="1" applyFill="1" applyBorder="1" applyAlignment="1">
      <alignment vertical="top"/>
    </xf>
    <xf numFmtId="4" fontId="30" fillId="0" borderId="77" xfId="0" applyNumberFormat="1" applyFont="1" applyFill="1" applyBorder="1" applyAlignment="1">
      <alignment vertical="top"/>
    </xf>
    <xf numFmtId="3" fontId="7" fillId="3" borderId="4" xfId="1" applyNumberFormat="1" applyFont="1" applyFill="1" applyBorder="1"/>
    <xf numFmtId="3" fontId="7" fillId="0" borderId="11" xfId="1" applyNumberFormat="1" applyFont="1" applyBorder="1"/>
    <xf numFmtId="3" fontId="6" fillId="0" borderId="4" xfId="1" applyNumberFormat="1" applyFont="1" applyBorder="1"/>
    <xf numFmtId="3" fontId="26" fillId="0" borderId="11" xfId="1" applyNumberFormat="1" applyFont="1" applyBorder="1" applyAlignment="1">
      <alignment horizontal="right"/>
    </xf>
    <xf numFmtId="3" fontId="6" fillId="3" borderId="4" xfId="1" applyNumberFormat="1" applyFont="1" applyFill="1" applyBorder="1" applyAlignment="1">
      <alignment horizontal="right"/>
    </xf>
    <xf numFmtId="3" fontId="6" fillId="0" borderId="4" xfId="1" applyNumberFormat="1" applyFont="1" applyFill="1" applyBorder="1"/>
    <xf numFmtId="3" fontId="7" fillId="0" borderId="11" xfId="1" applyNumberFormat="1" applyFont="1" applyBorder="1" applyAlignment="1">
      <alignment horizontal="right"/>
    </xf>
    <xf numFmtId="3" fontId="6" fillId="0" borderId="4" xfId="1" applyNumberFormat="1" applyFont="1" applyFill="1" applyBorder="1" applyAlignment="1">
      <alignment horizontal="right"/>
    </xf>
    <xf numFmtId="3" fontId="6" fillId="13" borderId="38" xfId="1" applyNumberFormat="1" applyFont="1" applyFill="1" applyBorder="1" applyAlignment="1">
      <alignment horizontal="right"/>
    </xf>
    <xf numFmtId="3" fontId="6" fillId="13" borderId="3" xfId="1" applyNumberFormat="1" applyFont="1" applyFill="1" applyBorder="1" applyAlignment="1">
      <alignment horizontal="right"/>
    </xf>
    <xf numFmtId="4" fontId="6" fillId="13" borderId="3" xfId="1" applyNumberFormat="1" applyFont="1" applyFill="1" applyBorder="1"/>
    <xf numFmtId="3" fontId="6" fillId="13" borderId="4" xfId="1" applyNumberFormat="1" applyFont="1" applyFill="1" applyBorder="1" applyAlignment="1">
      <alignment horizontal="right"/>
    </xf>
    <xf numFmtId="3" fontId="7" fillId="13" borderId="38" xfId="1" applyNumberFormat="1" applyFont="1" applyFill="1" applyBorder="1" applyAlignment="1">
      <alignment horizontal="right"/>
    </xf>
    <xf numFmtId="3" fontId="7" fillId="13" borderId="11" xfId="1" applyNumberFormat="1" applyFont="1" applyFill="1" applyBorder="1" applyAlignment="1">
      <alignment horizontal="right"/>
    </xf>
    <xf numFmtId="3" fontId="6" fillId="13" borderId="39" xfId="1" applyNumberFormat="1" applyFont="1" applyFill="1" applyBorder="1" applyAlignment="1">
      <alignment horizontal="right"/>
    </xf>
    <xf numFmtId="3" fontId="6" fillId="13" borderId="11" xfId="1" applyNumberFormat="1" applyFont="1" applyFill="1" applyBorder="1" applyAlignment="1">
      <alignment horizontal="right"/>
    </xf>
    <xf numFmtId="3" fontId="7" fillId="13" borderId="38" xfId="1" applyNumberFormat="1" applyFont="1" applyFill="1" applyBorder="1" applyAlignment="1"/>
    <xf numFmtId="3" fontId="7" fillId="13" borderId="11" xfId="1" applyNumberFormat="1" applyFont="1" applyFill="1" applyBorder="1" applyAlignment="1"/>
    <xf numFmtId="3" fontId="6" fillId="13" borderId="38" xfId="1" applyNumberFormat="1" applyFont="1" applyFill="1" applyBorder="1" applyAlignment="1"/>
    <xf numFmtId="3" fontId="6" fillId="13" borderId="11" xfId="1" applyNumberFormat="1" applyFont="1" applyFill="1" applyBorder="1" applyAlignment="1"/>
    <xf numFmtId="3" fontId="6" fillId="13" borderId="3" xfId="1" applyNumberFormat="1" applyFont="1" applyFill="1" applyBorder="1" applyAlignment="1"/>
    <xf numFmtId="3" fontId="6" fillId="13" borderId="39" xfId="1" applyNumberFormat="1" applyFont="1" applyFill="1" applyBorder="1" applyAlignment="1"/>
    <xf numFmtId="4" fontId="9" fillId="13" borderId="3" xfId="1" applyNumberFormat="1" applyFont="1" applyFill="1" applyBorder="1"/>
    <xf numFmtId="3" fontId="6" fillId="13" borderId="38" xfId="1" applyNumberFormat="1" applyFont="1" applyFill="1" applyBorder="1" applyAlignment="1">
      <alignment horizontal="center"/>
    </xf>
    <xf numFmtId="3" fontId="6" fillId="13" borderId="11" xfId="1" applyNumberFormat="1" applyFont="1" applyFill="1" applyBorder="1" applyAlignment="1">
      <alignment horizontal="center"/>
    </xf>
    <xf numFmtId="3" fontId="6" fillId="13" borderId="3" xfId="1" applyNumberFormat="1" applyFont="1" applyFill="1" applyBorder="1" applyAlignment="1">
      <alignment horizontal="center"/>
    </xf>
    <xf numFmtId="3" fontId="6" fillId="13" borderId="39" xfId="1" applyNumberFormat="1" applyFont="1" applyFill="1" applyBorder="1" applyAlignment="1">
      <alignment horizontal="center"/>
    </xf>
    <xf numFmtId="3" fontId="9" fillId="0" borderId="11" xfId="1" applyNumberFormat="1" applyFont="1" applyFill="1" applyBorder="1" applyAlignment="1">
      <alignment horizontal="center"/>
    </xf>
    <xf numFmtId="3" fontId="9" fillId="13" borderId="38" xfId="1" applyNumberFormat="1" applyFont="1" applyFill="1" applyBorder="1" applyAlignment="1">
      <alignment horizontal="center"/>
    </xf>
    <xf numFmtId="3" fontId="9" fillId="13" borderId="11" xfId="1" applyNumberFormat="1" applyFont="1" applyFill="1" applyBorder="1" applyAlignment="1">
      <alignment horizontal="center"/>
    </xf>
    <xf numFmtId="3" fontId="9" fillId="13" borderId="3" xfId="1" applyNumberFormat="1" applyFont="1" applyFill="1" applyBorder="1" applyAlignment="1">
      <alignment horizontal="center"/>
    </xf>
    <xf numFmtId="3" fontId="6" fillId="0" borderId="39" xfId="1" applyNumberFormat="1" applyFont="1" applyFill="1" applyBorder="1" applyAlignment="1">
      <alignment horizontal="center"/>
    </xf>
    <xf numFmtId="3" fontId="6" fillId="0" borderId="4" xfId="0" applyNumberFormat="1" applyFont="1" applyBorder="1" applyAlignment="1">
      <alignment horizontal="right" vertical="top"/>
    </xf>
    <xf numFmtId="3" fontId="6" fillId="0" borderId="4" xfId="0" applyNumberFormat="1" applyFont="1" applyBorder="1">
      <alignment vertical="top"/>
    </xf>
    <xf numFmtId="3" fontId="9" fillId="0" borderId="4" xfId="0" applyNumberFormat="1" applyFont="1" applyBorder="1">
      <alignment vertical="top"/>
    </xf>
    <xf numFmtId="3" fontId="8" fillId="0" borderId="11" xfId="1" applyNumberFormat="1" applyFont="1" applyFill="1" applyBorder="1" applyAlignment="1"/>
    <xf numFmtId="3" fontId="8" fillId="0" borderId="45" xfId="1" applyNumberFormat="1" applyFont="1" applyFill="1" applyBorder="1" applyAlignment="1"/>
    <xf numFmtId="3" fontId="9" fillId="0" borderId="43" xfId="0" applyNumberFormat="1" applyFont="1" applyBorder="1">
      <alignment vertical="top"/>
    </xf>
    <xf numFmtId="3" fontId="8" fillId="0" borderId="80" xfId="1" applyNumberFormat="1" applyFont="1" applyFill="1" applyBorder="1" applyAlignment="1"/>
    <xf numFmtId="3" fontId="8" fillId="0" borderId="81" xfId="1" applyNumberFormat="1" applyFont="1" applyFill="1" applyBorder="1" applyAlignment="1"/>
    <xf numFmtId="4" fontId="6" fillId="0" borderId="81" xfId="1" applyNumberFormat="1" applyFont="1" applyFill="1" applyBorder="1"/>
    <xf numFmtId="3" fontId="8" fillId="0" borderId="82" xfId="1" applyNumberFormat="1" applyFont="1" applyFill="1" applyBorder="1" applyAlignment="1"/>
    <xf numFmtId="3" fontId="9" fillId="0" borderId="83" xfId="0" applyNumberFormat="1" applyFont="1" applyBorder="1">
      <alignment vertical="top"/>
    </xf>
    <xf numFmtId="3" fontId="6" fillId="3" borderId="3" xfId="1" applyNumberFormat="1" applyFont="1" applyFill="1" applyBorder="1"/>
    <xf numFmtId="3" fontId="9" fillId="0" borderId="3" xfId="1" applyNumberFormat="1" applyFont="1" applyFill="1" applyBorder="1"/>
    <xf numFmtId="3" fontId="9" fillId="3" borderId="3" xfId="1" applyNumberFormat="1" applyFont="1" applyFill="1" applyBorder="1"/>
    <xf numFmtId="3" fontId="26" fillId="0" borderId="39" xfId="1" applyNumberFormat="1" applyFont="1" applyFill="1" applyBorder="1" applyAlignment="1"/>
    <xf numFmtId="3" fontId="9" fillId="0" borderId="43" xfId="1" applyNumberFormat="1" applyFont="1" applyFill="1" applyBorder="1"/>
    <xf numFmtId="3" fontId="6" fillId="0" borderId="43" xfId="1" applyNumberFormat="1" applyFont="1" applyFill="1" applyBorder="1"/>
    <xf numFmtId="3" fontId="26" fillId="0" borderId="44" xfId="1" applyNumberFormat="1" applyFont="1" applyFill="1" applyBorder="1" applyAlignment="1"/>
    <xf numFmtId="14" fontId="14" fillId="0" borderId="0" xfId="0" applyNumberFormat="1" applyFont="1" applyAlignment="1">
      <alignment horizontal="center"/>
    </xf>
    <xf numFmtId="4" fontId="0" fillId="0" borderId="0" xfId="0">
      <alignment vertical="top"/>
    </xf>
    <xf numFmtId="4" fontId="0" fillId="0" borderId="0" xfId="0" applyAlignment="1">
      <alignment horizontal="center" vertical="top"/>
    </xf>
    <xf numFmtId="4" fontId="4" fillId="0" borderId="0" xfId="0" applyFont="1" applyAlignment="1">
      <alignment horizontal="center" vertical="top"/>
    </xf>
    <xf numFmtId="3" fontId="6" fillId="0" borderId="0" xfId="1" applyFont="1" applyFill="1" applyBorder="1"/>
    <xf numFmtId="3" fontId="6" fillId="0" borderId="0" xfId="1" applyFont="1" applyFill="1" applyBorder="1" applyAlignment="1">
      <alignment horizontal="center"/>
    </xf>
    <xf numFmtId="49" fontId="6" fillId="0" borderId="0" xfId="1" applyNumberFormat="1" applyFont="1" applyFill="1" applyBorder="1" applyAlignment="1">
      <alignment horizontal="center"/>
    </xf>
    <xf numFmtId="3" fontId="6" fillId="0" borderId="0" xfId="1" applyFont="1" applyFill="1" applyBorder="1" applyAlignment="1"/>
    <xf numFmtId="3" fontId="9" fillId="0" borderId="0" xfId="1" applyFont="1" applyFill="1" applyBorder="1"/>
    <xf numFmtId="4" fontId="9" fillId="0" borderId="0" xfId="1" applyNumberFormat="1" applyFont="1" applyFill="1" applyBorder="1"/>
    <xf numFmtId="49" fontId="6" fillId="2" borderId="3" xfId="1" applyNumberFormat="1" applyFont="1" applyFill="1" applyBorder="1" applyAlignment="1">
      <alignment horizontal="center"/>
    </xf>
    <xf numFmtId="4" fontId="6" fillId="3" borderId="3" xfId="1" applyNumberFormat="1" applyFont="1" applyFill="1" applyBorder="1"/>
    <xf numFmtId="4" fontId="6" fillId="0" borderId="0" xfId="0" applyFont="1">
      <alignment vertical="top"/>
    </xf>
    <xf numFmtId="4" fontId="5" fillId="0" borderId="0" xfId="0" applyFont="1">
      <alignment vertical="top"/>
    </xf>
    <xf numFmtId="3" fontId="7" fillId="3" borderId="3" xfId="1" applyNumberFormat="1" applyFont="1" applyFill="1" applyBorder="1"/>
    <xf numFmtId="3" fontId="6" fillId="3" borderId="3" xfId="1" applyNumberFormat="1" applyFont="1" applyFill="1" applyBorder="1" applyAlignment="1">
      <alignment horizontal="right"/>
    </xf>
    <xf numFmtId="3" fontId="8" fillId="0" borderId="3" xfId="1" applyNumberFormat="1" applyFont="1" applyFill="1" applyBorder="1" applyAlignment="1"/>
    <xf numFmtId="3" fontId="7" fillId="3" borderId="3" xfId="1" applyFont="1" applyFill="1" applyBorder="1" applyAlignment="1">
      <alignment horizontal="left"/>
    </xf>
    <xf numFmtId="3" fontId="6" fillId="0" borderId="3" xfId="1" applyNumberFormat="1" applyFont="1" applyBorder="1" applyAlignment="1">
      <alignment horizontal="right"/>
    </xf>
    <xf numFmtId="4" fontId="6" fillId="0" borderId="3" xfId="1" applyNumberFormat="1" applyFont="1" applyFill="1" applyBorder="1"/>
    <xf numFmtId="3" fontId="6" fillId="0" borderId="3" xfId="1" applyNumberFormat="1" applyFont="1" applyBorder="1"/>
    <xf numFmtId="3" fontId="27" fillId="0" borderId="3" xfId="1" applyFont="1" applyBorder="1" applyAlignment="1">
      <alignment horizontal="left"/>
    </xf>
    <xf numFmtId="3" fontId="26" fillId="0" borderId="3" xfId="1" applyFont="1" applyBorder="1" applyAlignment="1">
      <alignment horizontal="left"/>
    </xf>
    <xf numFmtId="3" fontId="6" fillId="0" borderId="3" xfId="1" applyNumberFormat="1" applyFont="1" applyFill="1" applyBorder="1"/>
    <xf numFmtId="3" fontId="6" fillId="0" borderId="3" xfId="1" applyNumberFormat="1" applyFont="1" applyFill="1" applyBorder="1" applyAlignment="1">
      <alignment horizontal="right"/>
    </xf>
    <xf numFmtId="3" fontId="7" fillId="0" borderId="3" xfId="1" applyFont="1" applyBorder="1" applyAlignment="1">
      <alignment horizontal="left"/>
    </xf>
    <xf numFmtId="3" fontId="6" fillId="0" borderId="3" xfId="1" applyNumberFormat="1" applyFont="1" applyBorder="1" applyAlignment="1"/>
    <xf numFmtId="3" fontId="7" fillId="0" borderId="3" xfId="1" applyFont="1" applyFill="1" applyBorder="1" applyAlignment="1">
      <alignment horizontal="left"/>
    </xf>
    <xf numFmtId="4" fontId="9" fillId="0" borderId="3" xfId="1" applyNumberFormat="1" applyFont="1" applyFill="1" applyBorder="1"/>
    <xf numFmtId="3" fontId="9" fillId="0" borderId="3" xfId="1" applyNumberFormat="1" applyFont="1" applyFill="1" applyBorder="1" applyAlignment="1">
      <alignment horizontal="center"/>
    </xf>
    <xf numFmtId="3" fontId="6" fillId="0" borderId="3" xfId="0" applyNumberFormat="1" applyFont="1" applyBorder="1" applyAlignment="1">
      <alignment horizontal="right" vertical="top"/>
    </xf>
    <xf numFmtId="3" fontId="6" fillId="0" borderId="3" xfId="0" applyNumberFormat="1" applyFont="1" applyBorder="1">
      <alignment vertical="top"/>
    </xf>
    <xf numFmtId="4" fontId="9" fillId="3" borderId="3" xfId="1" applyNumberFormat="1" applyFont="1" applyFill="1" applyBorder="1"/>
    <xf numFmtId="3" fontId="5" fillId="0" borderId="3" xfId="0" applyNumberFormat="1" applyFont="1" applyBorder="1">
      <alignment vertical="top"/>
    </xf>
    <xf numFmtId="3" fontId="7" fillId="3" borderId="38" xfId="1" applyNumberFormat="1" applyFont="1" applyFill="1" applyBorder="1"/>
    <xf numFmtId="3" fontId="7" fillId="3" borderId="39" xfId="1" applyNumberFormat="1" applyFont="1" applyFill="1" applyBorder="1"/>
    <xf numFmtId="3" fontId="6" fillId="0" borderId="38" xfId="1" applyNumberFormat="1" applyFont="1" applyBorder="1" applyAlignment="1">
      <alignment horizontal="right"/>
    </xf>
    <xf numFmtId="3" fontId="6" fillId="0" borderId="39" xfId="1" applyNumberFormat="1" applyFont="1" applyBorder="1" applyAlignment="1">
      <alignment horizontal="right"/>
    </xf>
    <xf numFmtId="3" fontId="6" fillId="3" borderId="38" xfId="1" applyNumberFormat="1" applyFont="1" applyFill="1" applyBorder="1" applyAlignment="1">
      <alignment horizontal="right"/>
    </xf>
    <xf numFmtId="3" fontId="6" fillId="3" borderId="39" xfId="1" applyNumberFormat="1" applyFont="1" applyFill="1" applyBorder="1" applyAlignment="1">
      <alignment horizontal="right"/>
    </xf>
    <xf numFmtId="3" fontId="5" fillId="0" borderId="38" xfId="0" applyNumberFormat="1" applyFont="1" applyBorder="1">
      <alignment vertical="top"/>
    </xf>
    <xf numFmtId="3" fontId="5" fillId="0" borderId="39" xfId="0" applyNumberFormat="1" applyFont="1" applyBorder="1">
      <alignment vertical="top"/>
    </xf>
    <xf numFmtId="3" fontId="5" fillId="0" borderId="42" xfId="0" applyNumberFormat="1" applyFont="1" applyBorder="1">
      <alignment vertical="top"/>
    </xf>
    <xf numFmtId="3" fontId="5" fillId="0" borderId="43" xfId="0" applyNumberFormat="1" applyFont="1" applyBorder="1">
      <alignment vertical="top"/>
    </xf>
    <xf numFmtId="4" fontId="9" fillId="0" borderId="43" xfId="1" applyNumberFormat="1" applyFont="1" applyFill="1" applyBorder="1"/>
    <xf numFmtId="3" fontId="5" fillId="0" borderId="44" xfId="0" applyNumberFormat="1" applyFont="1" applyBorder="1">
      <alignment vertical="top"/>
    </xf>
    <xf numFmtId="3" fontId="7" fillId="0" borderId="38" xfId="1" applyNumberFormat="1" applyFont="1" applyBorder="1"/>
    <xf numFmtId="3" fontId="6" fillId="0" borderId="39" xfId="1" applyNumberFormat="1" applyFont="1" applyBorder="1"/>
    <xf numFmtId="3" fontId="26" fillId="0" borderId="38" xfId="1" applyNumberFormat="1" applyFont="1" applyBorder="1" applyAlignment="1">
      <alignment horizontal="right"/>
    </xf>
    <xf numFmtId="3" fontId="7" fillId="3" borderId="38" xfId="1" applyNumberFormat="1" applyFont="1" applyFill="1" applyBorder="1" applyAlignment="1">
      <alignment horizontal="right"/>
    </xf>
    <xf numFmtId="3" fontId="7" fillId="0" borderId="38" xfId="1" applyNumberFormat="1" applyFont="1" applyBorder="1" applyAlignment="1">
      <alignment horizontal="right"/>
    </xf>
    <xf numFmtId="3" fontId="6" fillId="0" borderId="39" xfId="1" applyNumberFormat="1" applyFont="1" applyFill="1" applyBorder="1" applyAlignment="1">
      <alignment horizontal="right"/>
    </xf>
    <xf numFmtId="3" fontId="7" fillId="0" borderId="38" xfId="1" applyNumberFormat="1" applyFont="1" applyBorder="1" applyAlignment="1"/>
    <xf numFmtId="3" fontId="6" fillId="0" borderId="39" xfId="0" applyNumberFormat="1" applyFont="1" applyBorder="1" applyAlignment="1">
      <alignment horizontal="right" vertical="top"/>
    </xf>
    <xf numFmtId="3" fontId="7" fillId="0" borderId="38" xfId="1" applyNumberFormat="1" applyFont="1" applyFill="1" applyBorder="1"/>
    <xf numFmtId="3" fontId="6" fillId="0" borderId="39" xfId="0" applyNumberFormat="1" applyFont="1" applyBorder="1">
      <alignment vertical="top"/>
    </xf>
    <xf numFmtId="3" fontId="8" fillId="0" borderId="38" xfId="1" applyNumberFormat="1" applyFont="1" applyFill="1" applyBorder="1" applyAlignment="1"/>
    <xf numFmtId="3" fontId="8" fillId="0" borderId="39" xfId="1" applyNumberFormat="1" applyFont="1" applyFill="1" applyBorder="1" applyAlignment="1"/>
    <xf numFmtId="3" fontId="8" fillId="0" borderId="42" xfId="1" applyNumberFormat="1" applyFont="1" applyFill="1" applyBorder="1" applyAlignment="1"/>
    <xf numFmtId="3" fontId="8" fillId="0" borderId="43" xfId="1" applyNumberFormat="1" applyFont="1" applyFill="1" applyBorder="1" applyAlignment="1"/>
    <xf numFmtId="4" fontId="6" fillId="0" borderId="43" xfId="1" applyNumberFormat="1" applyFont="1" applyFill="1" applyBorder="1"/>
    <xf numFmtId="3" fontId="8" fillId="0" borderId="44" xfId="1" applyNumberFormat="1" applyFont="1" applyFill="1" applyBorder="1" applyAlignment="1"/>
    <xf numFmtId="3" fontId="6" fillId="0" borderId="38" xfId="1" applyNumberFormat="1" applyFont="1" applyBorder="1"/>
    <xf numFmtId="3" fontId="6" fillId="0" borderId="38" xfId="1" applyNumberFormat="1" applyFont="1" applyFill="1" applyBorder="1"/>
    <xf numFmtId="3" fontId="6" fillId="0" borderId="39" xfId="1" applyNumberFormat="1" applyFont="1" applyFill="1" applyBorder="1"/>
    <xf numFmtId="3" fontId="6" fillId="0" borderId="38" xfId="1" applyNumberFormat="1" applyFont="1" applyFill="1" applyBorder="1" applyAlignment="1">
      <alignment horizontal="right"/>
    </xf>
    <xf numFmtId="3" fontId="6" fillId="0" borderId="38" xfId="0" applyNumberFormat="1" applyFont="1" applyBorder="1" applyAlignment="1">
      <alignment horizontal="right" vertical="top"/>
    </xf>
    <xf numFmtId="3" fontId="6" fillId="0" borderId="38" xfId="0" applyNumberFormat="1" applyFont="1" applyBorder="1">
      <alignment vertical="top"/>
    </xf>
    <xf numFmtId="3" fontId="6" fillId="0" borderId="38" xfId="1" applyNumberFormat="1" applyFont="1" applyBorder="1" applyAlignment="1"/>
    <xf numFmtId="3" fontId="6" fillId="0" borderId="39" xfId="1" applyNumberFormat="1" applyFont="1" applyBorder="1" applyAlignment="1"/>
    <xf numFmtId="3" fontId="9" fillId="0" borderId="38" xfId="1" applyNumberFormat="1" applyFont="1" applyFill="1" applyBorder="1" applyAlignment="1">
      <alignment horizontal="center"/>
    </xf>
    <xf numFmtId="3" fontId="9" fillId="0" borderId="39" xfId="1" applyNumberFormat="1" applyFont="1" applyFill="1" applyBorder="1" applyAlignment="1">
      <alignment horizontal="center"/>
    </xf>
    <xf numFmtId="3" fontId="7" fillId="3" borderId="38" xfId="1" applyFont="1" applyFill="1" applyBorder="1" applyAlignment="1">
      <alignment horizontal="center"/>
    </xf>
    <xf numFmtId="49" fontId="7" fillId="3" borderId="39" xfId="1" applyNumberFormat="1" applyFont="1" applyFill="1" applyBorder="1" applyAlignment="1">
      <alignment horizontal="center"/>
    </xf>
    <xf numFmtId="3" fontId="7" fillId="0" borderId="38" xfId="1" applyFont="1" applyBorder="1" applyAlignment="1">
      <alignment horizontal="center"/>
    </xf>
    <xf numFmtId="3" fontId="26" fillId="0" borderId="38" xfId="1" applyFont="1" applyBorder="1" applyAlignment="1">
      <alignment horizontal="center"/>
    </xf>
    <xf numFmtId="3" fontId="7" fillId="0" borderId="38" xfId="1" applyFont="1" applyFill="1" applyBorder="1" applyAlignment="1">
      <alignment horizontal="center"/>
    </xf>
    <xf numFmtId="3" fontId="8" fillId="0" borderId="38" xfId="1" applyFont="1" applyBorder="1" applyAlignment="1">
      <alignment horizontal="center"/>
    </xf>
    <xf numFmtId="49" fontId="8" fillId="3" borderId="39" xfId="1" applyNumberFormat="1" applyFont="1" applyFill="1" applyBorder="1" applyAlignment="1">
      <alignment horizontal="center"/>
    </xf>
    <xf numFmtId="4" fontId="8" fillId="0" borderId="38" xfId="1" applyNumberFormat="1" applyFont="1" applyBorder="1" applyAlignment="1">
      <alignment horizontal="center"/>
    </xf>
    <xf numFmtId="4" fontId="8" fillId="3" borderId="39" xfId="1" applyNumberFormat="1" applyFont="1" applyFill="1" applyBorder="1" applyAlignment="1">
      <alignment horizontal="center"/>
    </xf>
    <xf numFmtId="3" fontId="8" fillId="0" borderId="42" xfId="1" applyFont="1" applyBorder="1" applyAlignment="1">
      <alignment horizontal="center"/>
    </xf>
    <xf numFmtId="49" fontId="8" fillId="3" borderId="44" xfId="1" applyNumberFormat="1" applyFont="1" applyFill="1" applyBorder="1" applyAlignment="1">
      <alignment horizontal="center"/>
    </xf>
    <xf numFmtId="14" fontId="46" fillId="8" borderId="6" xfId="0" applyNumberFormat="1" applyFont="1" applyFill="1" applyBorder="1" applyAlignment="1">
      <alignment horizontal="center" vertical="center"/>
    </xf>
    <xf numFmtId="14" fontId="46" fillId="8" borderId="2" xfId="0" applyNumberFormat="1" applyFont="1" applyFill="1" applyBorder="1" applyAlignment="1">
      <alignment horizontal="center" vertical="center"/>
    </xf>
    <xf numFmtId="3" fontId="6" fillId="0" borderId="3" xfId="1" applyFont="1" applyBorder="1"/>
    <xf numFmtId="3" fontId="6" fillId="0" borderId="3" xfId="1" applyFont="1" applyBorder="1" applyAlignment="1">
      <alignment horizontal="right"/>
    </xf>
    <xf numFmtId="3" fontId="6" fillId="0" borderId="39" xfId="1" applyFont="1" applyBorder="1"/>
    <xf numFmtId="3" fontId="6" fillId="0" borderId="39" xfId="1" applyFont="1" applyBorder="1" applyAlignment="1">
      <alignment horizontal="right"/>
    </xf>
    <xf numFmtId="3" fontId="0" fillId="0" borderId="38" xfId="0" applyNumberFormat="1" applyFont="1" applyBorder="1">
      <alignment vertical="top"/>
    </xf>
    <xf numFmtId="3" fontId="0" fillId="0" borderId="39" xfId="0" applyNumberFormat="1" applyFont="1" applyBorder="1">
      <alignment vertical="top"/>
    </xf>
    <xf numFmtId="3" fontId="7" fillId="0" borderId="38" xfId="1" applyNumberFormat="1" applyFont="1" applyFill="1" applyBorder="1" applyAlignment="1"/>
    <xf numFmtId="3" fontId="7" fillId="0" borderId="39" xfId="1" applyNumberFormat="1" applyFont="1" applyFill="1" applyBorder="1" applyAlignment="1"/>
    <xf numFmtId="3" fontId="0" fillId="0" borderId="42" xfId="0" applyNumberFormat="1" applyFont="1" applyBorder="1">
      <alignment vertical="top"/>
    </xf>
    <xf numFmtId="3" fontId="0" fillId="0" borderId="43" xfId="0" applyNumberFormat="1" applyFont="1" applyBorder="1">
      <alignment vertical="top"/>
    </xf>
    <xf numFmtId="3" fontId="0" fillId="0" borderId="44" xfId="0" applyNumberFormat="1" applyFont="1" applyBorder="1">
      <alignment vertical="top"/>
    </xf>
    <xf numFmtId="3" fontId="7" fillId="0" borderId="42" xfId="1" applyNumberFormat="1" applyFont="1" applyFill="1" applyBorder="1" applyAlignment="1"/>
    <xf numFmtId="3" fontId="7" fillId="0" borderId="43" xfId="1" applyNumberFormat="1" applyFont="1" applyFill="1" applyBorder="1" applyAlignment="1"/>
    <xf numFmtId="3" fontId="7" fillId="0" borderId="44" xfId="1" applyNumberFormat="1" applyFont="1" applyFill="1" applyBorder="1" applyAlignment="1"/>
    <xf numFmtId="4" fontId="58" fillId="0" borderId="0" xfId="0" applyFont="1" applyAlignment="1"/>
    <xf numFmtId="4" fontId="0" fillId="0" borderId="0" xfId="0" applyFont="1" applyAlignment="1"/>
    <xf numFmtId="4" fontId="15" fillId="15" borderId="86" xfId="0" applyFont="1" applyFill="1" applyBorder="1" applyAlignment="1">
      <alignment horizontal="center"/>
    </xf>
    <xf numFmtId="4" fontId="13" fillId="16" borderId="86" xfId="0" applyNumberFormat="1" applyFont="1" applyFill="1" applyBorder="1" applyAlignment="1">
      <alignment vertical="center"/>
    </xf>
    <xf numFmtId="4" fontId="60" fillId="16" borderId="92" xfId="0" applyNumberFormat="1" applyFont="1" applyFill="1" applyBorder="1" applyAlignment="1">
      <alignment vertical="center"/>
    </xf>
    <xf numFmtId="4" fontId="60" fillId="16" borderId="96" xfId="0" applyNumberFormat="1" applyFont="1" applyFill="1" applyBorder="1" applyAlignment="1">
      <alignment vertical="center"/>
    </xf>
    <xf numFmtId="4" fontId="15" fillId="0" borderId="99" xfId="0" applyFont="1" applyBorder="1" applyAlignment="1"/>
    <xf numFmtId="4" fontId="15" fillId="0" borderId="0" xfId="0" applyFont="1" applyAlignment="1"/>
    <xf numFmtId="4" fontId="13" fillId="16" borderId="100" xfId="0" applyFont="1" applyFill="1" applyBorder="1" applyAlignment="1">
      <alignment vertical="center"/>
    </xf>
    <xf numFmtId="4" fontId="13" fillId="17" borderId="100" xfId="0" applyFont="1" applyFill="1" applyBorder="1" applyAlignment="1">
      <alignment vertical="center"/>
    </xf>
    <xf numFmtId="4" fontId="60" fillId="0" borderId="100" xfId="0" applyNumberFormat="1" applyFont="1" applyBorder="1" applyAlignment="1">
      <alignment vertical="center"/>
    </xf>
    <xf numFmtId="4" fontId="17" fillId="0" borderId="101" xfId="0" applyFont="1" applyBorder="1" applyAlignment="1"/>
    <xf numFmtId="4" fontId="17" fillId="0" borderId="0" xfId="0" applyFont="1" applyAlignment="1"/>
    <xf numFmtId="4" fontId="13" fillId="0" borderId="92" xfId="0" applyFont="1" applyBorder="1" applyAlignment="1">
      <alignment vertical="center"/>
    </xf>
    <xf numFmtId="4" fontId="60" fillId="0" borderId="92" xfId="0" applyNumberFormat="1" applyFont="1" applyBorder="1" applyAlignment="1">
      <alignment vertical="center"/>
    </xf>
    <xf numFmtId="4" fontId="13" fillId="0" borderId="96" xfId="0" applyFont="1" applyBorder="1" applyAlignment="1">
      <alignment vertical="center"/>
    </xf>
    <xf numFmtId="4" fontId="60" fillId="0" borderId="96" xfId="0" applyNumberFormat="1" applyFont="1" applyBorder="1" applyAlignment="1">
      <alignment horizontal="right" vertical="center"/>
    </xf>
    <xf numFmtId="4" fontId="14" fillId="0" borderId="101" xfId="0" applyNumberFormat="1" applyFont="1" applyBorder="1" applyAlignment="1">
      <alignment horizontal="left"/>
    </xf>
    <xf numFmtId="4" fontId="14" fillId="0" borderId="0" xfId="0" applyNumberFormat="1" applyFont="1" applyAlignment="1">
      <alignment horizontal="left"/>
    </xf>
    <xf numFmtId="4" fontId="13" fillId="0" borderId="102" xfId="0" applyFont="1" applyBorder="1" applyAlignment="1">
      <alignment vertical="center"/>
    </xf>
    <xf numFmtId="4" fontId="60" fillId="0" borderId="102" xfId="0" applyNumberFormat="1" applyFont="1" applyBorder="1" applyAlignment="1">
      <alignment vertical="center"/>
    </xf>
    <xf numFmtId="4" fontId="17" fillId="0" borderId="101" xfId="0" applyFont="1" applyBorder="1" applyAlignment="1">
      <alignment vertical="center" wrapText="1"/>
    </xf>
    <xf numFmtId="4" fontId="17" fillId="0" borderId="0" xfId="0" applyFont="1" applyAlignment="1">
      <alignment vertical="center" wrapText="1"/>
    </xf>
    <xf numFmtId="4" fontId="13" fillId="16" borderId="86" xfId="0" applyFont="1" applyFill="1" applyBorder="1" applyAlignment="1">
      <alignment horizontal="left" vertical="center"/>
    </xf>
    <xf numFmtId="4" fontId="13" fillId="17" borderId="86" xfId="0" applyFont="1" applyFill="1" applyBorder="1" applyAlignment="1">
      <alignment vertical="center"/>
    </xf>
    <xf numFmtId="4" fontId="13" fillId="0" borderId="86" xfId="0" applyNumberFormat="1" applyFont="1" applyBorder="1" applyAlignment="1">
      <alignment vertical="center"/>
    </xf>
    <xf numFmtId="4" fontId="17" fillId="0" borderId="0" xfId="0" applyFont="1" applyAlignment="1">
      <alignment horizontal="left" vertical="center" wrapText="1"/>
    </xf>
    <xf numFmtId="4" fontId="13" fillId="0" borderId="0" xfId="0" applyFont="1" applyAlignment="1">
      <alignment vertical="center"/>
    </xf>
    <xf numFmtId="4" fontId="15" fillId="15" borderId="86" xfId="0" applyNumberFormat="1" applyFont="1" applyFill="1" applyBorder="1" applyAlignment="1">
      <alignment horizontal="center"/>
    </xf>
    <xf numFmtId="4" fontId="62" fillId="0" borderId="92" xfId="0" applyNumberFormat="1" applyFont="1" applyBorder="1" applyAlignment="1">
      <alignment vertical="center"/>
    </xf>
    <xf numFmtId="4" fontId="14" fillId="0" borderId="92" xfId="0" applyNumberFormat="1" applyFont="1" applyBorder="1" applyAlignment="1">
      <alignment vertical="center"/>
    </xf>
    <xf numFmtId="4" fontId="62" fillId="0" borderId="96" xfId="0" applyNumberFormat="1" applyFont="1" applyBorder="1" applyAlignment="1">
      <alignment vertical="center"/>
    </xf>
    <xf numFmtId="4" fontId="14" fillId="0" borderId="96" xfId="0" applyNumberFormat="1" applyFont="1" applyBorder="1" applyAlignment="1">
      <alignment vertical="center"/>
    </xf>
    <xf numFmtId="4" fontId="62" fillId="0" borderId="102" xfId="0" applyNumberFormat="1" applyFont="1" applyBorder="1" applyAlignment="1">
      <alignment vertical="center"/>
    </xf>
    <xf numFmtId="4" fontId="13" fillId="16" borderId="86" xfId="0" applyFont="1" applyFill="1" applyBorder="1" applyAlignment="1">
      <alignment vertical="center"/>
    </xf>
    <xf numFmtId="4" fontId="11" fillId="0" borderId="92" xfId="0" applyFont="1" applyBorder="1" applyAlignment="1">
      <alignment vertical="center"/>
    </xf>
    <xf numFmtId="4" fontId="14" fillId="0" borderId="100" xfId="0" applyFont="1" applyBorder="1" applyAlignment="1">
      <alignment vertical="center"/>
    </xf>
    <xf numFmtId="4" fontId="14" fillId="0" borderId="102" xfId="0" applyFont="1" applyBorder="1" applyAlignment="1">
      <alignment vertical="center"/>
    </xf>
    <xf numFmtId="4" fontId="14" fillId="0" borderId="102" xfId="0" applyNumberFormat="1" applyFont="1" applyBorder="1" applyAlignment="1">
      <alignment vertical="center"/>
    </xf>
    <xf numFmtId="4" fontId="14" fillId="0" borderId="110" xfId="0" applyFont="1" applyBorder="1" applyAlignment="1">
      <alignment vertical="center"/>
    </xf>
    <xf numFmtId="4" fontId="14" fillId="0" borderId="96" xfId="0" applyFont="1" applyBorder="1" applyAlignment="1">
      <alignment vertical="center"/>
    </xf>
    <xf numFmtId="4" fontId="15" fillId="15" borderId="112" xfId="0" applyFont="1" applyFill="1" applyBorder="1" applyAlignment="1">
      <alignment horizontal="center"/>
    </xf>
    <xf numFmtId="4" fontId="15" fillId="15" borderId="112" xfId="0" applyNumberFormat="1" applyFont="1" applyFill="1" applyBorder="1" applyAlignment="1">
      <alignment horizontal="center"/>
    </xf>
    <xf numFmtId="4" fontId="63" fillId="18" borderId="0" xfId="0" applyFont="1" applyFill="1" applyAlignment="1">
      <alignment horizontal="left" vertical="center"/>
    </xf>
    <xf numFmtId="14" fontId="63" fillId="18" borderId="0" xfId="0" applyNumberFormat="1" applyFont="1" applyFill="1" applyAlignment="1">
      <alignment horizontal="left" vertical="center"/>
    </xf>
    <xf numFmtId="167" fontId="63" fillId="18" borderId="0" xfId="0" applyNumberFormat="1" applyFont="1" applyFill="1" applyAlignment="1">
      <alignment horizontal="left" vertical="center"/>
    </xf>
    <xf numFmtId="4" fontId="64" fillId="15" borderId="86" xfId="0" applyFont="1" applyFill="1" applyBorder="1" applyAlignment="1">
      <alignment horizontal="center" wrapText="1"/>
    </xf>
    <xf numFmtId="167" fontId="64" fillId="15" borderId="86" xfId="0" applyNumberFormat="1" applyFont="1" applyFill="1" applyBorder="1" applyAlignment="1">
      <alignment horizontal="center" wrapText="1"/>
    </xf>
    <xf numFmtId="4" fontId="63" fillId="0" borderId="92" xfId="0" applyFont="1" applyBorder="1" applyAlignment="1">
      <alignment horizontal="right" wrapText="1"/>
    </xf>
    <xf numFmtId="167" fontId="63" fillId="0" borderId="92" xfId="0" applyNumberFormat="1" applyFont="1" applyBorder="1" applyAlignment="1">
      <alignment horizontal="right" wrapText="1"/>
    </xf>
    <xf numFmtId="4" fontId="63" fillId="0" borderId="92" xfId="0" applyFont="1" applyBorder="1" applyAlignment="1">
      <alignment horizontal="center" wrapText="1"/>
    </xf>
    <xf numFmtId="168" fontId="63" fillId="0" borderId="115" xfId="0" applyNumberFormat="1" applyFont="1" applyBorder="1" applyAlignment="1">
      <alignment horizontal="center" wrapText="1"/>
    </xf>
    <xf numFmtId="4" fontId="63" fillId="0" borderId="96" xfId="0" applyFont="1" applyBorder="1" applyAlignment="1">
      <alignment horizontal="right" wrapText="1"/>
    </xf>
    <xf numFmtId="167" fontId="63" fillId="0" borderId="96" xfId="0" applyNumberFormat="1" applyFont="1" applyBorder="1" applyAlignment="1">
      <alignment horizontal="right" wrapText="1"/>
    </xf>
    <xf numFmtId="4" fontId="63" fillId="0" borderId="96" xfId="0" applyFont="1" applyBorder="1" applyAlignment="1">
      <alignment horizontal="center" wrapText="1"/>
    </xf>
    <xf numFmtId="168" fontId="63" fillId="0" borderId="117" xfId="0" applyNumberFormat="1" applyFont="1" applyBorder="1" applyAlignment="1">
      <alignment horizontal="center" wrapText="1"/>
    </xf>
    <xf numFmtId="169" fontId="63" fillId="0" borderId="117" xfId="0" applyNumberFormat="1" applyFont="1" applyBorder="1" applyAlignment="1">
      <alignment horizontal="center" wrapText="1"/>
    </xf>
    <xf numFmtId="4" fontId="63" fillId="0" borderId="102" xfId="0" applyFont="1" applyBorder="1" applyAlignment="1">
      <alignment horizontal="right" wrapText="1"/>
    </xf>
    <xf numFmtId="167" fontId="63" fillId="0" borderId="102" xfId="0" applyNumberFormat="1" applyFont="1" applyBorder="1" applyAlignment="1">
      <alignment horizontal="right" wrapText="1"/>
    </xf>
    <xf numFmtId="4" fontId="63" fillId="0" borderId="102" xfId="0" applyFont="1" applyBorder="1" applyAlignment="1">
      <alignment horizontal="center" wrapText="1"/>
    </xf>
    <xf numFmtId="169" fontId="63" fillId="0" borderId="119" xfId="0" applyNumberFormat="1" applyFont="1" applyBorder="1" applyAlignment="1">
      <alignment horizontal="center" wrapText="1"/>
    </xf>
    <xf numFmtId="14" fontId="36" fillId="15" borderId="86" xfId="0" applyNumberFormat="1" applyFont="1" applyFill="1" applyBorder="1" applyAlignment="1"/>
    <xf numFmtId="4" fontId="64" fillId="15" borderId="86" xfId="0" applyFont="1" applyFill="1" applyBorder="1" applyAlignment="1">
      <alignment horizontal="right" wrapText="1"/>
    </xf>
    <xf numFmtId="167" fontId="64" fillId="15" borderId="86" xfId="0" applyNumberFormat="1" applyFont="1" applyFill="1" applyBorder="1" applyAlignment="1">
      <alignment horizontal="right" wrapText="1"/>
    </xf>
    <xf numFmtId="4" fontId="63" fillId="18" borderId="0" xfId="0" applyFont="1" applyFill="1" applyBorder="1" applyAlignment="1">
      <alignment horizontal="left" vertical="center"/>
    </xf>
    <xf numFmtId="4" fontId="66" fillId="0" borderId="0" xfId="0" applyFont="1" applyAlignment="1">
      <alignment horizontal="left" vertical="center"/>
    </xf>
    <xf numFmtId="14" fontId="63" fillId="18" borderId="0" xfId="0" applyNumberFormat="1" applyFont="1" applyFill="1" applyBorder="1" applyAlignment="1">
      <alignment horizontal="left" vertical="center"/>
    </xf>
    <xf numFmtId="167" fontId="63" fillId="18" borderId="0" xfId="0" applyNumberFormat="1" applyFont="1" applyFill="1" applyBorder="1" applyAlignment="1">
      <alignment horizontal="left" vertical="center"/>
    </xf>
    <xf numFmtId="4" fontId="62" fillId="0" borderId="0" xfId="0" applyFont="1" applyAlignment="1"/>
    <xf numFmtId="4" fontId="14" fillId="0" borderId="8" xfId="0" applyFont="1" applyBorder="1" applyAlignment="1">
      <alignment horizontal="left" vertical="center" wrapText="1"/>
    </xf>
    <xf numFmtId="4" fontId="14" fillId="0" borderId="20" xfId="0" applyFont="1" applyBorder="1" applyAlignment="1">
      <alignment horizontal="left" vertical="center" wrapText="1"/>
    </xf>
    <xf numFmtId="4" fontId="13" fillId="5" borderId="0" xfId="0" applyFont="1" applyFill="1" applyAlignment="1">
      <alignment horizontal="left"/>
    </xf>
    <xf numFmtId="4" fontId="10" fillId="5" borderId="0" xfId="0" applyFont="1" applyFill="1" applyAlignment="1">
      <alignment horizontal="left"/>
    </xf>
    <xf numFmtId="4" fontId="15" fillId="3" borderId="3" xfId="0" applyFont="1" applyFill="1" applyBorder="1" applyAlignment="1">
      <alignment horizontal="center"/>
    </xf>
    <xf numFmtId="4" fontId="15" fillId="3" borderId="10" xfId="0" applyNumberFormat="1" applyFont="1" applyFill="1" applyBorder="1" applyAlignment="1">
      <alignment horizontal="center"/>
    </xf>
    <xf numFmtId="4" fontId="15" fillId="3" borderId="10" xfId="0" applyFont="1" applyFill="1" applyBorder="1" applyAlignment="1">
      <alignment horizontal="center"/>
    </xf>
    <xf numFmtId="4" fontId="13" fillId="2" borderId="3" xfId="0" applyFont="1" applyFill="1" applyBorder="1" applyAlignment="1">
      <alignment horizontal="left" vertical="center"/>
    </xf>
    <xf numFmtId="4" fontId="15" fillId="3" borderId="3" xfId="0" applyNumberFormat="1" applyFont="1" applyFill="1" applyBorder="1" applyAlignment="1">
      <alignment horizontal="center"/>
    </xf>
    <xf numFmtId="4" fontId="12" fillId="0" borderId="0" xfId="0" applyFont="1" applyAlignment="1"/>
    <xf numFmtId="4" fontId="14" fillId="0" borderId="58" xfId="0" applyFont="1" applyBorder="1" applyAlignment="1"/>
    <xf numFmtId="4" fontId="14" fillId="0" borderId="14" xfId="0" applyNumberFormat="1" applyFont="1" applyBorder="1" applyAlignment="1">
      <alignment vertical="center"/>
    </xf>
    <xf numFmtId="4" fontId="14" fillId="0" borderId="121" xfId="0" applyNumberFormat="1" applyFont="1" applyBorder="1" applyAlignment="1">
      <alignment vertical="center"/>
    </xf>
    <xf numFmtId="4" fontId="14" fillId="0" borderId="33" xfId="0" applyNumberFormat="1" applyFont="1" applyBorder="1" applyAlignment="1">
      <alignment vertical="center"/>
    </xf>
    <xf numFmtId="14" fontId="32" fillId="0" borderId="62" xfId="0" applyNumberFormat="1" applyFont="1" applyBorder="1" applyAlignment="1">
      <alignment horizontal="center" vertical="center" wrapText="1"/>
    </xf>
    <xf numFmtId="14" fontId="32" fillId="0" borderId="58" xfId="0" applyNumberFormat="1" applyFont="1" applyBorder="1" applyAlignment="1">
      <alignment horizontal="center" vertical="center" wrapText="1"/>
    </xf>
    <xf numFmtId="4" fontId="54" fillId="4" borderId="56" xfId="0" applyNumberFormat="1" applyFont="1" applyFill="1" applyBorder="1" applyAlignment="1">
      <alignment horizontal="right" vertical="center" wrapText="1"/>
    </xf>
    <xf numFmtId="14" fontId="32" fillId="0" borderId="3" xfId="0" applyNumberFormat="1" applyFont="1" applyBorder="1" applyAlignment="1">
      <alignment horizontal="center" vertical="center" wrapText="1"/>
    </xf>
    <xf numFmtId="14" fontId="32" fillId="0" borderId="11" xfId="0" applyNumberFormat="1" applyFont="1" applyBorder="1" applyAlignment="1">
      <alignment horizontal="center" vertical="center" wrapText="1"/>
    </xf>
    <xf numFmtId="4" fontId="54" fillId="4" borderId="11" xfId="0" applyNumberFormat="1" applyFont="1" applyFill="1" applyBorder="1" applyAlignment="1">
      <alignment horizontal="right" vertical="center" wrapText="1"/>
    </xf>
    <xf numFmtId="4" fontId="54" fillId="0" borderId="3" xfId="0" applyFont="1" applyBorder="1" applyAlignment="1">
      <alignment horizontal="left" vertical="center" wrapText="1"/>
    </xf>
    <xf numFmtId="4" fontId="54" fillId="0" borderId="5" xfId="0" applyFont="1" applyBorder="1" applyAlignment="1">
      <alignment horizontal="left" vertical="center" wrapText="1"/>
    </xf>
    <xf numFmtId="4" fontId="54" fillId="4" borderId="3" xfId="0" applyNumberFormat="1" applyFont="1" applyFill="1" applyBorder="1" applyAlignment="1">
      <alignment horizontal="right" vertical="center" wrapText="1"/>
    </xf>
    <xf numFmtId="14" fontId="20" fillId="0" borderId="3" xfId="0" applyNumberFormat="1" applyFont="1" applyBorder="1" applyAlignment="1">
      <alignment horizontal="center" vertical="center" wrapText="1"/>
    </xf>
    <xf numFmtId="14" fontId="20" fillId="0" borderId="11"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14" fontId="20" fillId="0" borderId="61" xfId="0" applyNumberFormat="1" applyFont="1" applyBorder="1" applyAlignment="1">
      <alignment horizontal="center" vertical="center" wrapText="1"/>
    </xf>
    <xf numFmtId="4" fontId="54" fillId="4" borderId="61" xfId="0" applyNumberFormat="1" applyFont="1" applyFill="1" applyBorder="1" applyAlignment="1">
      <alignment horizontal="right" vertical="center" wrapText="1"/>
    </xf>
    <xf numFmtId="4" fontId="54" fillId="0" borderId="65" xfId="0" applyFont="1" applyBorder="1" applyAlignment="1">
      <alignment horizontal="left" vertical="center" wrapText="1"/>
    </xf>
    <xf numFmtId="4" fontId="39" fillId="0" borderId="3" xfId="0" applyFont="1" applyBorder="1" applyAlignment="1">
      <alignment horizontal="left" vertical="center" wrapText="1"/>
    </xf>
    <xf numFmtId="4" fontId="54" fillId="0" borderId="57" xfId="0" applyFont="1" applyBorder="1" applyAlignment="1">
      <alignment horizontal="left" vertical="center" wrapText="1"/>
    </xf>
    <xf numFmtId="4" fontId="39" fillId="0" borderId="5" xfId="0" applyFont="1" applyBorder="1" applyAlignment="1">
      <alignment horizontal="left" vertical="center" wrapText="1"/>
    </xf>
    <xf numFmtId="4" fontId="21" fillId="8" borderId="5" xfId="0" applyFont="1" applyFill="1" applyBorder="1" applyAlignment="1">
      <alignment horizontal="left" vertical="center"/>
    </xf>
    <xf numFmtId="4" fontId="21" fillId="8" borderId="123" xfId="0" applyFont="1" applyFill="1" applyBorder="1" applyAlignment="1">
      <alignment horizontal="left" vertical="center"/>
    </xf>
    <xf numFmtId="4" fontId="39" fillId="0" borderId="4" xfId="0" applyFont="1" applyBorder="1" applyAlignment="1">
      <alignment horizontal="left" vertical="center" wrapText="1"/>
    </xf>
    <xf numFmtId="4" fontId="21" fillId="8" borderId="3" xfId="0" applyFont="1" applyFill="1" applyBorder="1" applyAlignment="1">
      <alignment horizontal="left" vertical="center"/>
    </xf>
    <xf numFmtId="4" fontId="39" fillId="0" borderId="12" xfId="0" applyFont="1" applyBorder="1" applyAlignment="1">
      <alignment horizontal="left" vertical="center" wrapText="1"/>
    </xf>
    <xf numFmtId="4" fontId="21" fillId="8" borderId="22" xfId="0" applyFont="1" applyFill="1" applyBorder="1" applyAlignment="1">
      <alignment horizontal="left" vertical="center"/>
    </xf>
    <xf numFmtId="14" fontId="20" fillId="0" borderId="22" xfId="0" applyNumberFormat="1" applyFont="1" applyBorder="1" applyAlignment="1">
      <alignment horizontal="center" vertical="center" wrapText="1"/>
    </xf>
    <xf numFmtId="4" fontId="54" fillId="4" borderId="22" xfId="0" applyNumberFormat="1" applyFont="1" applyFill="1" applyBorder="1" applyAlignment="1">
      <alignment horizontal="right" vertical="center" wrapText="1"/>
    </xf>
    <xf numFmtId="49" fontId="46" fillId="0" borderId="6" xfId="0" applyNumberFormat="1" applyFont="1" applyFill="1" applyBorder="1" applyAlignment="1">
      <alignment horizontal="center" vertical="center" wrapText="1"/>
    </xf>
    <xf numFmtId="4" fontId="46" fillId="0" borderId="6" xfId="0" applyNumberFormat="1" applyFont="1" applyFill="1" applyBorder="1" applyAlignment="1">
      <alignment horizontal="right" vertical="center" wrapText="1"/>
    </xf>
    <xf numFmtId="49" fontId="46" fillId="0" borderId="2" xfId="0" applyNumberFormat="1" applyFont="1" applyFill="1" applyBorder="1" applyAlignment="1">
      <alignment horizontal="center" vertical="center" wrapText="1"/>
    </xf>
    <xf numFmtId="4" fontId="46" fillId="0" borderId="2" xfId="0" applyNumberFormat="1" applyFont="1" applyFill="1" applyBorder="1" applyAlignment="1">
      <alignment horizontal="right" vertical="center" wrapText="1"/>
    </xf>
    <xf numFmtId="164" fontId="46" fillId="8" borderId="2" xfId="0" applyNumberFormat="1" applyFont="1" applyFill="1" applyBorder="1" applyAlignment="1">
      <alignment horizontal="right" vertical="center"/>
    </xf>
    <xf numFmtId="164" fontId="46" fillId="8" borderId="6" xfId="0" applyNumberFormat="1" applyFont="1" applyFill="1" applyBorder="1" applyAlignment="1">
      <alignment horizontal="right" vertical="center"/>
    </xf>
    <xf numFmtId="4" fontId="23" fillId="5" borderId="0" xfId="0" applyFont="1" applyFill="1" applyAlignment="1"/>
    <xf numFmtId="4" fontId="15" fillId="3" borderId="3" xfId="0" applyFont="1" applyFill="1" applyBorder="1" applyAlignment="1">
      <alignment horizontal="center"/>
    </xf>
    <xf numFmtId="4" fontId="15" fillId="3" borderId="10" xfId="0" applyNumberFormat="1" applyFont="1" applyFill="1" applyBorder="1" applyAlignment="1">
      <alignment horizontal="center"/>
    </xf>
    <xf numFmtId="4" fontId="15" fillId="3" borderId="10" xfId="0" applyFont="1" applyFill="1" applyBorder="1" applyAlignment="1">
      <alignment horizontal="center"/>
    </xf>
    <xf numFmtId="4" fontId="13" fillId="2" borderId="3" xfId="0" applyFont="1" applyFill="1" applyBorder="1" applyAlignment="1">
      <alignment horizontal="left" vertical="center"/>
    </xf>
    <xf numFmtId="4" fontId="15" fillId="3" borderId="3" xfId="0" applyNumberFormat="1" applyFont="1" applyFill="1" applyBorder="1" applyAlignment="1">
      <alignment horizontal="center"/>
    </xf>
    <xf numFmtId="4" fontId="12" fillId="0" borderId="0" xfId="0" applyFont="1" applyAlignment="1"/>
    <xf numFmtId="4" fontId="23" fillId="0" borderId="0" xfId="0" applyFont="1" applyAlignment="1">
      <alignment wrapText="1"/>
    </xf>
    <xf numFmtId="4" fontId="15" fillId="3" borderId="3" xfId="0" applyFont="1" applyFill="1" applyBorder="1" applyAlignment="1">
      <alignment horizontal="center"/>
    </xf>
    <xf numFmtId="4" fontId="13" fillId="2" borderId="3" xfId="0" applyFont="1" applyFill="1" applyBorder="1" applyAlignment="1">
      <alignment horizontal="left" vertical="center"/>
    </xf>
    <xf numFmtId="4" fontId="15" fillId="3" borderId="10" xfId="0" applyFont="1" applyFill="1" applyBorder="1" applyAlignment="1">
      <alignment horizontal="center"/>
    </xf>
    <xf numFmtId="4" fontId="15" fillId="3" borderId="10" xfId="0" applyNumberFormat="1" applyFont="1" applyFill="1" applyBorder="1" applyAlignment="1">
      <alignment horizontal="center"/>
    </xf>
    <xf numFmtId="4" fontId="21" fillId="8" borderId="8" xfId="0" applyFont="1" applyFill="1" applyBorder="1" applyAlignment="1">
      <alignment horizontal="left" vertical="center"/>
    </xf>
    <xf numFmtId="4" fontId="21" fillId="8" borderId="14" xfId="0" applyFont="1" applyFill="1" applyBorder="1" applyAlignment="1">
      <alignment horizontal="left" vertical="center"/>
    </xf>
    <xf numFmtId="4" fontId="15" fillId="3" borderId="3" xfId="0" applyNumberFormat="1" applyFont="1" applyFill="1" applyBorder="1" applyAlignment="1">
      <alignment horizontal="center"/>
    </xf>
    <xf numFmtId="4" fontId="12" fillId="0" borderId="0" xfId="0" applyFont="1" applyAlignment="1"/>
    <xf numFmtId="4" fontId="70" fillId="0" borderId="0" xfId="0" applyFont="1" applyAlignment="1"/>
    <xf numFmtId="4" fontId="71" fillId="0" borderId="0" xfId="0" applyFont="1" applyAlignment="1"/>
    <xf numFmtId="4" fontId="72" fillId="0" borderId="0" xfId="0" applyFont="1" applyAlignment="1"/>
    <xf numFmtId="4" fontId="72" fillId="0" borderId="2" xfId="0" applyNumberFormat="1" applyFont="1" applyBorder="1" applyAlignment="1">
      <alignment vertical="center"/>
    </xf>
    <xf numFmtId="4" fontId="75" fillId="0" borderId="0" xfId="0" applyFont="1" applyAlignment="1"/>
    <xf numFmtId="4" fontId="76" fillId="0" borderId="0" xfId="0" applyFont="1" applyAlignment="1">
      <alignment vertical="center"/>
    </xf>
    <xf numFmtId="4" fontId="48" fillId="9" borderId="3" xfId="0" applyFont="1" applyFill="1" applyBorder="1" applyAlignment="1">
      <alignment horizontal="center" vertical="center" wrapText="1"/>
    </xf>
    <xf numFmtId="4" fontId="54" fillId="0" borderId="1" xfId="0" applyFont="1" applyBorder="1" applyAlignment="1">
      <alignment horizontal="center" vertical="center" wrapText="1"/>
    </xf>
    <xf numFmtId="4" fontId="54" fillId="0" borderId="6" xfId="0" applyNumberFormat="1" applyFont="1" applyBorder="1" applyAlignment="1">
      <alignment horizontal="center" vertical="center" wrapText="1"/>
    </xf>
    <xf numFmtId="14" fontId="54" fillId="0" borderId="6" xfId="0" applyNumberFormat="1" applyFont="1" applyBorder="1" applyAlignment="1">
      <alignment horizontal="center" vertical="center" wrapText="1"/>
    </xf>
    <xf numFmtId="4" fontId="79" fillId="0" borderId="0" xfId="0" applyFont="1" applyAlignment="1"/>
    <xf numFmtId="4" fontId="54" fillId="0" borderId="13" xfId="0" applyFont="1" applyBorder="1" applyAlignment="1">
      <alignment horizontal="center" vertical="center" wrapText="1"/>
    </xf>
    <xf numFmtId="4" fontId="54" fillId="0" borderId="13" xfId="0" applyNumberFormat="1" applyFont="1" applyBorder="1" applyAlignment="1">
      <alignment horizontal="center" vertical="center" wrapText="1"/>
    </xf>
    <xf numFmtId="14" fontId="54" fillId="0" borderId="13" xfId="0" applyNumberFormat="1" applyFont="1" applyBorder="1" applyAlignment="1">
      <alignment horizontal="center" vertical="center" wrapText="1"/>
    </xf>
    <xf numFmtId="4" fontId="81" fillId="0" borderId="2" xfId="0" applyFont="1" applyBorder="1" applyAlignment="1">
      <alignment horizontal="center" vertical="center" wrapText="1"/>
    </xf>
    <xf numFmtId="4" fontId="81" fillId="0" borderId="2" xfId="0" applyNumberFormat="1" applyFont="1" applyBorder="1" applyAlignment="1">
      <alignment horizontal="center" vertical="center" wrapText="1"/>
    </xf>
    <xf numFmtId="14" fontId="81" fillId="0" borderId="2" xfId="0" applyNumberFormat="1" applyFont="1" applyBorder="1" applyAlignment="1">
      <alignment horizontal="center" vertical="center" wrapText="1"/>
    </xf>
    <xf numFmtId="4" fontId="54" fillId="0" borderId="2" xfId="0" applyFont="1" applyBorder="1" applyAlignment="1">
      <alignment horizontal="center" vertical="center" wrapText="1"/>
    </xf>
    <xf numFmtId="4" fontId="54" fillId="0" borderId="2" xfId="0" applyNumberFormat="1" applyFont="1" applyBorder="1" applyAlignment="1">
      <alignment horizontal="center" vertical="center" wrapText="1"/>
    </xf>
    <xf numFmtId="14" fontId="54" fillId="0" borderId="2" xfId="0" applyNumberFormat="1" applyFont="1" applyBorder="1" applyAlignment="1">
      <alignment horizontal="center" vertical="center" wrapText="1"/>
    </xf>
    <xf numFmtId="4" fontId="83" fillId="0" borderId="2" xfId="0" applyNumberFormat="1" applyFont="1" applyBorder="1" applyAlignment="1">
      <alignment horizontal="center" vertical="center" wrapText="1"/>
    </xf>
    <xf numFmtId="4" fontId="89" fillId="0" borderId="2" xfId="0" applyFont="1" applyBorder="1" applyAlignment="1">
      <alignment horizontal="center" vertical="center" wrapText="1"/>
    </xf>
    <xf numFmtId="4" fontId="89" fillId="0" borderId="2" xfId="0" applyNumberFormat="1" applyFont="1" applyBorder="1" applyAlignment="1">
      <alignment horizontal="center" vertical="center" wrapText="1"/>
    </xf>
    <xf numFmtId="14" fontId="89" fillId="0" borderId="2" xfId="0" applyNumberFormat="1" applyFont="1" applyBorder="1" applyAlignment="1">
      <alignment horizontal="center" vertical="center" wrapText="1"/>
    </xf>
    <xf numFmtId="4" fontId="81" fillId="0" borderId="33" xfId="0" applyFont="1" applyBorder="1" applyAlignment="1">
      <alignment horizontal="center" vertical="center" wrapText="1"/>
    </xf>
    <xf numFmtId="4" fontId="81" fillId="0" borderId="33" xfId="0" applyNumberFormat="1" applyFont="1" applyBorder="1" applyAlignment="1">
      <alignment horizontal="center" vertical="center" wrapText="1"/>
    </xf>
    <xf numFmtId="14" fontId="81" fillId="0" borderId="33" xfId="0" applyNumberFormat="1" applyFont="1" applyBorder="1" applyAlignment="1">
      <alignment horizontal="center" vertical="center" wrapText="1"/>
    </xf>
    <xf numFmtId="4" fontId="81" fillId="19" borderId="3" xfId="0" applyFont="1" applyFill="1" applyBorder="1" applyAlignment="1">
      <alignment vertical="center" wrapText="1"/>
    </xf>
    <xf numFmtId="4" fontId="81" fillId="9" borderId="3" xfId="0" applyNumberFormat="1" applyFont="1" applyFill="1" applyBorder="1" applyAlignment="1">
      <alignment horizontal="right" vertical="center" wrapText="1"/>
    </xf>
    <xf numFmtId="4" fontId="15" fillId="3" borderId="3" xfId="0" applyFont="1" applyFill="1" applyBorder="1" applyAlignment="1">
      <alignment horizontal="center"/>
    </xf>
    <xf numFmtId="4" fontId="15" fillId="3" borderId="10" xfId="0" applyNumberFormat="1" applyFont="1" applyFill="1" applyBorder="1" applyAlignment="1">
      <alignment horizontal="center"/>
    </xf>
    <xf numFmtId="4" fontId="15" fillId="3" borderId="10" xfId="0" applyFont="1" applyFill="1" applyBorder="1" applyAlignment="1">
      <alignment horizontal="center"/>
    </xf>
    <xf numFmtId="4" fontId="13" fillId="2" borderId="3" xfId="0" applyFont="1" applyFill="1" applyBorder="1" applyAlignment="1">
      <alignment horizontal="left" vertical="center"/>
    </xf>
    <xf numFmtId="4" fontId="15" fillId="3" borderId="3" xfId="0" applyNumberFormat="1" applyFont="1" applyFill="1" applyBorder="1" applyAlignment="1">
      <alignment horizontal="center"/>
    </xf>
    <xf numFmtId="4" fontId="12" fillId="0" borderId="0" xfId="0" applyFont="1" applyAlignment="1"/>
    <xf numFmtId="4" fontId="46" fillId="0" borderId="22" xfId="0" applyNumberFormat="1" applyFont="1" applyBorder="1" applyAlignment="1">
      <alignment horizontal="right" wrapText="1"/>
    </xf>
    <xf numFmtId="4" fontId="48" fillId="21" borderId="3" xfId="0" applyFont="1" applyFill="1" applyBorder="1" applyAlignment="1">
      <alignment horizontal="center" vertical="center" wrapText="1"/>
    </xf>
    <xf numFmtId="4" fontId="79" fillId="0" borderId="6" xfId="0" applyFont="1" applyFill="1" applyBorder="1" applyAlignment="1">
      <alignment horizontal="center" vertical="center" wrapText="1"/>
    </xf>
    <xf numFmtId="4" fontId="81" fillId="0" borderId="6" xfId="0" applyNumberFormat="1" applyFont="1" applyFill="1" applyBorder="1" applyAlignment="1">
      <alignment horizontal="right" vertical="center" wrapText="1"/>
    </xf>
    <xf numFmtId="4" fontId="81" fillId="0" borderId="6" xfId="0" applyFont="1" applyFill="1" applyBorder="1" applyAlignment="1">
      <alignment horizontal="right" vertical="center" wrapText="1"/>
    </xf>
    <xf numFmtId="4" fontId="79" fillId="0" borderId="46" xfId="0" applyFont="1" applyFill="1" applyBorder="1" applyAlignment="1">
      <alignment horizontal="center" vertical="center" wrapText="1"/>
    </xf>
    <xf numFmtId="4" fontId="81" fillId="0" borderId="46" xfId="0" applyNumberFormat="1" applyFont="1" applyFill="1" applyBorder="1" applyAlignment="1">
      <alignment horizontal="right" vertical="center" wrapText="1"/>
    </xf>
    <xf numFmtId="4" fontId="79" fillId="0" borderId="33" xfId="0" applyFont="1" applyFill="1" applyBorder="1" applyAlignment="1">
      <alignment horizontal="center" vertical="center" wrapText="1"/>
    </xf>
    <xf numFmtId="4" fontId="81" fillId="0" borderId="33" xfId="0" applyNumberFormat="1" applyFont="1" applyFill="1" applyBorder="1" applyAlignment="1">
      <alignment horizontal="right" vertical="center" wrapText="1"/>
    </xf>
    <xf numFmtId="4" fontId="79" fillId="0" borderId="22" xfId="0" applyFont="1" applyFill="1" applyBorder="1" applyAlignment="1">
      <alignment horizontal="center" vertical="center" wrapText="1"/>
    </xf>
    <xf numFmtId="4" fontId="81" fillId="0" borderId="22" xfId="0" applyNumberFormat="1" applyFont="1" applyFill="1" applyBorder="1" applyAlignment="1">
      <alignment horizontal="right" vertical="center" wrapText="1"/>
    </xf>
    <xf numFmtId="4" fontId="79" fillId="0" borderId="1" xfId="0" applyFont="1" applyFill="1" applyBorder="1" applyAlignment="1">
      <alignment horizontal="center" vertical="center" wrapText="1"/>
    </xf>
    <xf numFmtId="4" fontId="81" fillId="0" borderId="1" xfId="0" applyNumberFormat="1" applyFont="1" applyFill="1" applyBorder="1" applyAlignment="1">
      <alignment horizontal="right" vertical="center" wrapText="1"/>
    </xf>
    <xf numFmtId="4" fontId="0" fillId="0" borderId="0" xfId="0" applyBorder="1" applyAlignment="1">
      <alignment horizontal="left" vertical="center" wrapText="1"/>
    </xf>
    <xf numFmtId="4" fontId="79" fillId="0" borderId="0" xfId="0" applyFont="1" applyFill="1" applyBorder="1" applyAlignment="1">
      <alignment horizontal="center" vertical="center" wrapText="1"/>
    </xf>
    <xf numFmtId="4" fontId="81" fillId="0" borderId="0" xfId="0" applyNumberFormat="1" applyFont="1" applyFill="1" applyBorder="1" applyAlignment="1">
      <alignment horizontal="right" vertical="center" wrapText="1"/>
    </xf>
    <xf numFmtId="4" fontId="0" fillId="0" borderId="0" xfId="0" applyBorder="1" applyAlignment="1">
      <alignment horizontal="center" vertical="center" wrapText="1"/>
    </xf>
    <xf numFmtId="4" fontId="11" fillId="0" borderId="0" xfId="0" applyFont="1" applyBorder="1" applyAlignment="1">
      <alignment horizontal="left" vertical="top" wrapText="1"/>
    </xf>
    <xf numFmtId="4" fontId="46" fillId="0" borderId="0" xfId="0" applyFont="1" applyAlignment="1"/>
    <xf numFmtId="3" fontId="7" fillId="0" borderId="3" xfId="1" applyFont="1" applyBorder="1" applyAlignment="1">
      <alignment horizontal="left"/>
    </xf>
    <xf numFmtId="3" fontId="7" fillId="3" borderId="3" xfId="1" applyFont="1" applyFill="1" applyBorder="1" applyAlignment="1">
      <alignment horizontal="left"/>
    </xf>
    <xf numFmtId="3" fontId="26" fillId="0" borderId="3" xfId="1" applyFont="1" applyBorder="1" applyAlignment="1">
      <alignment horizontal="left"/>
    </xf>
    <xf numFmtId="3" fontId="7" fillId="0" borderId="3" xfId="1" applyFont="1" applyFill="1" applyBorder="1" applyAlignment="1">
      <alignment horizontal="left"/>
    </xf>
    <xf numFmtId="4" fontId="15" fillId="3" borderId="3" xfId="0" applyFont="1" applyFill="1" applyBorder="1" applyAlignment="1">
      <alignment horizontal="center"/>
    </xf>
    <xf numFmtId="4" fontId="13" fillId="2" borderId="3" xfId="0" applyFont="1" applyFill="1" applyBorder="1" applyAlignment="1">
      <alignment horizontal="left" vertical="center"/>
    </xf>
    <xf numFmtId="4" fontId="15" fillId="3" borderId="10" xfId="0" applyFont="1" applyFill="1" applyBorder="1" applyAlignment="1">
      <alignment horizontal="center"/>
    </xf>
    <xf numFmtId="4" fontId="15" fillId="3" borderId="10" xfId="0" applyNumberFormat="1" applyFont="1" applyFill="1" applyBorder="1" applyAlignment="1">
      <alignment horizontal="center"/>
    </xf>
    <xf numFmtId="4" fontId="21" fillId="8" borderId="2" xfId="0" applyFont="1" applyFill="1" applyBorder="1" applyAlignment="1">
      <alignment horizontal="left" vertical="center"/>
    </xf>
    <xf numFmtId="4" fontId="0" fillId="0" borderId="2" xfId="0" applyBorder="1" applyAlignment="1">
      <alignment horizontal="left" vertical="center"/>
    </xf>
    <xf numFmtId="4" fontId="15" fillId="3" borderId="3" xfId="0" applyNumberFormat="1" applyFont="1" applyFill="1" applyBorder="1" applyAlignment="1">
      <alignment horizontal="center"/>
    </xf>
    <xf numFmtId="4" fontId="0" fillId="0" borderId="0" xfId="0" applyAlignment="1">
      <alignment horizontal="center" vertical="top"/>
    </xf>
    <xf numFmtId="4" fontId="12" fillId="0" borderId="0" xfId="0" applyFont="1" applyAlignment="1"/>
    <xf numFmtId="4" fontId="13" fillId="2" borderId="3" xfId="0" applyFont="1" applyFill="1" applyBorder="1" applyAlignment="1">
      <alignment horizontal="center" vertical="center" wrapText="1"/>
    </xf>
    <xf numFmtId="4" fontId="39" fillId="0" borderId="6" xfId="0" applyNumberFormat="1" applyFont="1" applyBorder="1" applyAlignment="1">
      <alignment horizontal="right" vertical="center" wrapText="1"/>
    </xf>
    <xf numFmtId="14" fontId="13" fillId="0" borderId="6" xfId="0" applyNumberFormat="1" applyFont="1" applyBorder="1" applyAlignment="1">
      <alignment horizontal="center" vertical="center" wrapText="1"/>
    </xf>
    <xf numFmtId="4" fontId="39" fillId="0" borderId="13" xfId="0" applyFont="1" applyBorder="1" applyAlignment="1">
      <alignment vertical="center" wrapText="1"/>
    </xf>
    <xf numFmtId="4" fontId="39" fillId="0" borderId="2" xfId="0" applyNumberFormat="1" applyFont="1" applyBorder="1" applyAlignment="1">
      <alignment horizontal="right" vertical="center" wrapText="1"/>
    </xf>
    <xf numFmtId="4" fontId="39" fillId="0" borderId="13" xfId="0" applyNumberFormat="1" applyFont="1" applyBorder="1" applyAlignment="1">
      <alignment horizontal="right" vertical="center" wrapText="1"/>
    </xf>
    <xf numFmtId="4" fontId="39" fillId="0" borderId="2" xfId="0" applyFont="1" applyBorder="1" applyAlignment="1">
      <alignment vertical="center" wrapText="1"/>
    </xf>
    <xf numFmtId="4" fontId="39" fillId="0" borderId="6" xfId="0" applyFont="1" applyBorder="1" applyAlignment="1">
      <alignment vertical="center" wrapText="1"/>
    </xf>
    <xf numFmtId="4" fontId="20" fillId="0" borderId="2" xfId="0" applyNumberFormat="1" applyFont="1" applyBorder="1" applyAlignment="1">
      <alignment horizontal="right" vertical="center" wrapText="1"/>
    </xf>
    <xf numFmtId="14" fontId="13" fillId="0" borderId="2" xfId="0" applyNumberFormat="1" applyFont="1" applyBorder="1" applyAlignment="1">
      <alignment horizontal="center" vertical="center" wrapText="1"/>
    </xf>
    <xf numFmtId="4" fontId="39" fillId="0" borderId="22" xfId="0" applyFont="1" applyBorder="1" applyAlignment="1">
      <alignment vertical="center" wrapText="1"/>
    </xf>
    <xf numFmtId="4" fontId="39" fillId="0" borderId="22" xfId="0" applyNumberFormat="1" applyFont="1" applyBorder="1" applyAlignment="1">
      <alignment horizontal="right" vertical="center" wrapText="1"/>
    </xf>
    <xf numFmtId="4" fontId="39" fillId="0" borderId="29" xfId="0" applyFont="1" applyBorder="1" applyAlignment="1">
      <alignment horizontal="left" vertical="center" wrapText="1"/>
    </xf>
    <xf numFmtId="14" fontId="20" fillId="0" borderId="2" xfId="0" applyNumberFormat="1" applyFont="1" applyBorder="1" applyAlignment="1">
      <alignment horizontal="center" vertical="center" wrapText="1"/>
    </xf>
    <xf numFmtId="14" fontId="13" fillId="0" borderId="22" xfId="0" applyNumberFormat="1" applyFont="1" applyBorder="1" applyAlignment="1">
      <alignment horizontal="center" vertical="center" wrapText="1"/>
    </xf>
    <xf numFmtId="4" fontId="39" fillId="0" borderId="2" xfId="0" applyNumberFormat="1" applyFont="1" applyBorder="1" applyAlignment="1">
      <alignment horizontal="left" vertical="center" wrapText="1"/>
    </xf>
    <xf numFmtId="14" fontId="13" fillId="0" borderId="13" xfId="0" applyNumberFormat="1" applyFont="1" applyBorder="1" applyAlignment="1">
      <alignment horizontal="center" vertical="center" wrapText="1"/>
    </xf>
    <xf numFmtId="4" fontId="39" fillId="0" borderId="126" xfId="0" applyFont="1" applyBorder="1" applyAlignment="1">
      <alignment horizontal="left" vertical="center" wrapText="1"/>
    </xf>
    <xf numFmtId="4" fontId="39" fillId="0" borderId="127" xfId="0" applyFont="1" applyBorder="1" applyAlignment="1">
      <alignment horizontal="left" vertical="center" wrapText="1"/>
    </xf>
    <xf numFmtId="4" fontId="39" fillId="0" borderId="22" xfId="0" applyNumberFormat="1" applyFont="1" applyBorder="1" applyAlignment="1">
      <alignment horizontal="left" vertical="center" wrapText="1"/>
    </xf>
    <xf numFmtId="4" fontId="39" fillId="0" borderId="2" xfId="0" applyFont="1" applyBorder="1" applyAlignment="1">
      <alignment horizontal="right" vertical="center" wrapText="1"/>
    </xf>
    <xf numFmtId="4" fontId="39" fillId="0" borderId="13" xfId="0" applyFont="1" applyBorder="1" applyAlignment="1">
      <alignment horizontal="right" vertical="center" wrapText="1"/>
    </xf>
    <xf numFmtId="4" fontId="39" fillId="0" borderId="72" xfId="0" applyFont="1" applyBorder="1" applyAlignment="1">
      <alignment horizontal="center" vertical="center" wrapText="1"/>
    </xf>
    <xf numFmtId="4" fontId="39" fillId="0" borderId="14" xfId="0" applyFont="1" applyBorder="1" applyAlignment="1">
      <alignment horizontal="center" vertical="center" wrapText="1"/>
    </xf>
    <xf numFmtId="4" fontId="39" fillId="11" borderId="3" xfId="0" applyFont="1" applyFill="1" applyBorder="1" applyAlignment="1">
      <alignment vertical="center" wrapText="1"/>
    </xf>
    <xf numFmtId="4" fontId="39" fillId="2" borderId="3" xfId="0" applyNumberFormat="1" applyFont="1" applyFill="1" applyBorder="1" applyAlignment="1">
      <alignment horizontal="right" vertical="center" wrapText="1"/>
    </xf>
    <xf numFmtId="4" fontId="0" fillId="0" borderId="0" xfId="0" applyAlignment="1">
      <alignment horizontal="left"/>
    </xf>
    <xf numFmtId="4" fontId="15" fillId="3" borderId="3" xfId="0" applyFont="1" applyFill="1" applyBorder="1" applyAlignment="1">
      <alignment horizontal="center"/>
    </xf>
    <xf numFmtId="4" fontId="15" fillId="3" borderId="10" xfId="0" applyNumberFormat="1" applyFont="1" applyFill="1" applyBorder="1" applyAlignment="1">
      <alignment horizontal="center"/>
    </xf>
    <xf numFmtId="4" fontId="15" fillId="3" borderId="10" xfId="0" applyFont="1" applyFill="1" applyBorder="1" applyAlignment="1">
      <alignment horizontal="center"/>
    </xf>
    <xf numFmtId="4" fontId="13" fillId="2" borderId="3" xfId="0" applyFont="1" applyFill="1" applyBorder="1" applyAlignment="1">
      <alignment horizontal="left" vertical="center"/>
    </xf>
    <xf numFmtId="4" fontId="15" fillId="3" borderId="3" xfId="0" applyNumberFormat="1" applyFont="1" applyFill="1" applyBorder="1" applyAlignment="1">
      <alignment horizontal="center"/>
    </xf>
    <xf numFmtId="4" fontId="12" fillId="0" borderId="0" xfId="0" applyFont="1" applyAlignment="1"/>
    <xf numFmtId="14" fontId="21" fillId="8" borderId="6" xfId="0" applyNumberFormat="1" applyFont="1" applyFill="1" applyBorder="1" applyAlignment="1">
      <alignment horizontal="center" vertical="center"/>
    </xf>
    <xf numFmtId="14" fontId="21" fillId="8" borderId="2" xfId="0" applyNumberFormat="1" applyFont="1" applyFill="1" applyBorder="1" applyAlignment="1">
      <alignment horizontal="center" vertical="center"/>
    </xf>
    <xf numFmtId="4" fontId="14" fillId="0" borderId="0" xfId="0" applyFont="1" applyAlignment="1">
      <alignment wrapText="1"/>
    </xf>
    <xf numFmtId="4" fontId="15" fillId="3" borderId="3" xfId="0" applyFont="1" applyFill="1" applyBorder="1" applyAlignment="1">
      <alignment horizontal="center"/>
    </xf>
    <xf numFmtId="4" fontId="13" fillId="2" borderId="3" xfId="0" applyFont="1" applyFill="1" applyBorder="1" applyAlignment="1">
      <alignment horizontal="left" vertical="center"/>
    </xf>
    <xf numFmtId="4" fontId="15" fillId="3" borderId="10" xfId="0" applyFont="1" applyFill="1" applyBorder="1" applyAlignment="1">
      <alignment horizontal="center"/>
    </xf>
    <xf numFmtId="4" fontId="15" fillId="3" borderId="10" xfId="0" applyNumberFormat="1" applyFont="1" applyFill="1" applyBorder="1" applyAlignment="1">
      <alignment horizontal="center"/>
    </xf>
    <xf numFmtId="4" fontId="21" fillId="8" borderId="8" xfId="0" applyFont="1" applyFill="1" applyBorder="1" applyAlignment="1">
      <alignment horizontal="left" vertical="center"/>
    </xf>
    <xf numFmtId="4" fontId="21" fillId="8" borderId="14" xfId="0" applyFont="1" applyFill="1" applyBorder="1" applyAlignment="1">
      <alignment horizontal="left" vertical="center"/>
    </xf>
    <xf numFmtId="4" fontId="15" fillId="3" borderId="3" xfId="0" applyNumberFormat="1" applyFont="1" applyFill="1" applyBorder="1" applyAlignment="1">
      <alignment horizontal="center"/>
    </xf>
    <xf numFmtId="4" fontId="12" fillId="0" borderId="0" xfId="0" applyFont="1" applyAlignment="1"/>
    <xf numFmtId="4" fontId="13" fillId="0" borderId="0" xfId="0" applyFont="1" applyFill="1" applyAlignment="1">
      <alignment horizontal="left"/>
    </xf>
    <xf numFmtId="14" fontId="46" fillId="8" borderId="2" xfId="0" applyNumberFormat="1" applyFont="1" applyFill="1" applyBorder="1" applyAlignment="1">
      <alignment horizontal="left" vertical="top"/>
    </xf>
    <xf numFmtId="43" fontId="46" fillId="8" borderId="2" xfId="0" applyNumberFormat="1" applyFont="1" applyFill="1" applyBorder="1" applyAlignment="1">
      <alignment horizontal="left" vertical="top"/>
    </xf>
    <xf numFmtId="4" fontId="14" fillId="0" borderId="0" xfId="0" applyFont="1" applyAlignment="1">
      <alignment vertical="top"/>
    </xf>
    <xf numFmtId="43" fontId="46" fillId="2" borderId="128" xfId="0" applyNumberFormat="1" applyFont="1" applyFill="1" applyBorder="1" applyAlignment="1">
      <alignment horizontal="left" vertical="center"/>
    </xf>
    <xf numFmtId="4" fontId="22" fillId="0" borderId="0" xfId="0" applyFont="1" applyAlignment="1">
      <alignment vertical="top"/>
    </xf>
    <xf numFmtId="4" fontId="14" fillId="0" borderId="12" xfId="0" applyFont="1" applyBorder="1" applyAlignment="1"/>
    <xf numFmtId="4" fontId="13" fillId="2" borderId="46" xfId="0" applyNumberFormat="1" applyFont="1" applyFill="1" applyBorder="1" applyAlignment="1">
      <alignment vertical="center"/>
    </xf>
    <xf numFmtId="4" fontId="13" fillId="2" borderId="51" xfId="0" applyFont="1" applyFill="1" applyBorder="1" applyAlignment="1">
      <alignment vertical="center"/>
    </xf>
    <xf numFmtId="4" fontId="13" fillId="0" borderId="75" xfId="0" applyNumberFormat="1" applyFont="1" applyBorder="1" applyAlignment="1">
      <alignment vertical="center"/>
    </xf>
    <xf numFmtId="4" fontId="13" fillId="0" borderId="79" xfId="0" applyNumberFormat="1" applyFont="1" applyBorder="1" applyAlignment="1">
      <alignment vertical="center"/>
    </xf>
    <xf numFmtId="4" fontId="13" fillId="0" borderId="73" xfId="0" applyNumberFormat="1" applyFont="1" applyFill="1" applyBorder="1" applyAlignment="1">
      <alignment horizontal="right" vertical="center"/>
    </xf>
    <xf numFmtId="4" fontId="13" fillId="0" borderId="130" xfId="0" applyNumberFormat="1" applyFont="1" applyBorder="1" applyAlignment="1">
      <alignment vertical="center"/>
    </xf>
    <xf numFmtId="4" fontId="13" fillId="0" borderId="49" xfId="0" applyFont="1" applyBorder="1" applyAlignment="1">
      <alignment vertical="center"/>
    </xf>
    <xf numFmtId="4" fontId="13" fillId="0" borderId="48" xfId="0" applyFont="1" applyBorder="1" applyAlignment="1">
      <alignment vertical="center"/>
    </xf>
    <xf numFmtId="4" fontId="13" fillId="0" borderId="129" xfId="0" applyFont="1" applyBorder="1" applyAlignment="1">
      <alignment vertical="center"/>
    </xf>
    <xf numFmtId="4" fontId="14" fillId="0" borderId="0" xfId="0" applyFont="1" applyBorder="1" applyAlignment="1">
      <alignment vertical="center"/>
    </xf>
    <xf numFmtId="4" fontId="14" fillId="0" borderId="0" xfId="0" applyNumberFormat="1" applyFont="1" applyBorder="1" applyAlignment="1">
      <alignment vertical="center"/>
    </xf>
    <xf numFmtId="0" fontId="14" fillId="0" borderId="0" xfId="0" applyNumberFormat="1" applyFont="1" applyBorder="1" applyAlignment="1">
      <alignment vertical="center"/>
    </xf>
    <xf numFmtId="4" fontId="14" fillId="0" borderId="48" xfId="0" applyNumberFormat="1" applyFont="1" applyBorder="1" applyAlignment="1">
      <alignment vertical="center"/>
    </xf>
    <xf numFmtId="4" fontId="11" fillId="0" borderId="2" xfId="0" applyFont="1" applyFill="1" applyBorder="1" applyAlignment="1">
      <alignment horizontal="center" vertical="center" wrapText="1"/>
    </xf>
    <xf numFmtId="14" fontId="11" fillId="0" borderId="2" xfId="0" applyNumberFormat="1" applyFont="1" applyFill="1" applyBorder="1" applyAlignment="1">
      <alignment horizontal="right" vertical="center" wrapText="1"/>
    </xf>
    <xf numFmtId="14" fontId="11" fillId="0" borderId="7" xfId="0" applyNumberFormat="1" applyFont="1" applyFill="1" applyBorder="1" applyAlignment="1">
      <alignment horizontal="right" vertical="center" wrapText="1"/>
    </xf>
    <xf numFmtId="4" fontId="34" fillId="0" borderId="1" xfId="0" applyNumberFormat="1" applyFont="1" applyFill="1" applyBorder="1" applyAlignment="1">
      <alignment horizontal="right" vertical="center" wrapText="1"/>
    </xf>
    <xf numFmtId="4" fontId="34" fillId="0" borderId="73" xfId="0" applyNumberFormat="1" applyFont="1" applyFill="1" applyBorder="1" applyAlignment="1">
      <alignment horizontal="right" vertical="center" wrapText="1"/>
    </xf>
    <xf numFmtId="14" fontId="11" fillId="0" borderId="8" xfId="0" applyNumberFormat="1" applyFont="1" applyFill="1" applyBorder="1" applyAlignment="1">
      <alignment horizontal="right" vertical="center" wrapText="1"/>
    </xf>
    <xf numFmtId="4" fontId="34" fillId="0" borderId="2" xfId="0" applyNumberFormat="1" applyFont="1" applyFill="1" applyBorder="1" applyAlignment="1">
      <alignment horizontal="right" vertical="center" wrapText="1"/>
    </xf>
    <xf numFmtId="4" fontId="34" fillId="0" borderId="14" xfId="0" applyNumberFormat="1" applyFont="1" applyFill="1" applyBorder="1" applyAlignment="1">
      <alignment horizontal="right" vertical="center" wrapText="1"/>
    </xf>
    <xf numFmtId="4" fontId="11" fillId="0" borderId="6" xfId="0" applyFont="1" applyFill="1" applyBorder="1" applyAlignment="1">
      <alignment horizontal="center" vertical="center" wrapText="1"/>
    </xf>
    <xf numFmtId="49" fontId="11" fillId="0" borderId="2" xfId="0" applyNumberFormat="1" applyFont="1" applyBorder="1" applyAlignment="1">
      <alignment horizontal="center" vertical="center" wrapText="1"/>
    </xf>
    <xf numFmtId="14" fontId="11" fillId="0" borderId="2" xfId="0" applyNumberFormat="1" applyFont="1" applyBorder="1" applyAlignment="1">
      <alignment horizontal="right" vertical="center" wrapText="1"/>
    </xf>
    <xf numFmtId="14" fontId="11" fillId="0" borderId="8" xfId="0" applyNumberFormat="1" applyFont="1" applyBorder="1" applyAlignment="1">
      <alignment horizontal="right" vertical="center" wrapText="1"/>
    </xf>
    <xf numFmtId="4" fontId="34" fillId="0" borderId="73" xfId="0" applyNumberFormat="1" applyFont="1" applyBorder="1" applyAlignment="1">
      <alignment horizontal="right" vertical="center" wrapText="1"/>
    </xf>
    <xf numFmtId="4" fontId="34" fillId="0" borderId="22" xfId="0" applyNumberFormat="1" applyFont="1" applyBorder="1" applyAlignment="1">
      <alignment horizontal="right" vertical="center" wrapText="1"/>
    </xf>
    <xf numFmtId="4" fontId="34" fillId="0" borderId="58" xfId="0" applyNumberFormat="1" applyFont="1" applyBorder="1" applyAlignment="1">
      <alignment horizontal="right" vertical="center" wrapText="1"/>
    </xf>
    <xf numFmtId="4" fontId="11" fillId="0" borderId="2" xfId="0" applyFont="1" applyBorder="1" applyAlignment="1">
      <alignment horizontal="center" vertical="center" wrapText="1"/>
    </xf>
    <xf numFmtId="14" fontId="11" fillId="0" borderId="14" xfId="0" applyNumberFormat="1" applyFont="1" applyBorder="1" applyAlignment="1">
      <alignment horizontal="right" vertical="center" wrapText="1"/>
    </xf>
    <xf numFmtId="4" fontId="34" fillId="0" borderId="73" xfId="0" applyNumberFormat="1" applyFont="1" applyBorder="1" applyAlignment="1" applyProtection="1">
      <alignment horizontal="right" vertical="center" wrapText="1"/>
      <protection locked="0"/>
    </xf>
    <xf numFmtId="4" fontId="34" fillId="0" borderId="130" xfId="0" applyNumberFormat="1" applyFont="1" applyBorder="1" applyAlignment="1">
      <alignment horizontal="right" vertical="center" wrapText="1"/>
    </xf>
    <xf numFmtId="4" fontId="34" fillId="0" borderId="14" xfId="0" applyNumberFormat="1" applyFont="1" applyBorder="1" applyAlignment="1">
      <alignment horizontal="right" vertical="center" wrapText="1"/>
    </xf>
    <xf numFmtId="4" fontId="34" fillId="0" borderId="8" xfId="0" applyNumberFormat="1" applyFont="1" applyFill="1" applyBorder="1" applyAlignment="1">
      <alignment horizontal="right" vertical="center" wrapText="1"/>
    </xf>
    <xf numFmtId="4" fontId="34" fillId="0" borderId="18" xfId="0" applyNumberFormat="1" applyFont="1" applyFill="1" applyBorder="1" applyAlignment="1">
      <alignment horizontal="right" vertical="center" wrapText="1"/>
    </xf>
    <xf numFmtId="4" fontId="11" fillId="0" borderId="33" xfId="0" applyFont="1" applyBorder="1" applyAlignment="1">
      <alignment horizontal="center" vertical="center" wrapText="1"/>
    </xf>
    <xf numFmtId="14" fontId="11" fillId="0" borderId="46" xfId="0" applyNumberFormat="1" applyFont="1" applyBorder="1" applyAlignment="1">
      <alignment horizontal="right" vertical="center" wrapText="1"/>
    </xf>
    <xf numFmtId="4" fontId="34" fillId="0" borderId="33" xfId="0" applyNumberFormat="1" applyFont="1" applyBorder="1" applyAlignment="1">
      <alignment horizontal="right" vertical="center" wrapText="1"/>
    </xf>
    <xf numFmtId="4" fontId="34" fillId="0" borderId="125" xfId="0" applyNumberFormat="1" applyFont="1" applyBorder="1" applyAlignment="1">
      <alignment horizontal="right" vertical="center" wrapText="1"/>
    </xf>
    <xf numFmtId="4" fontId="6" fillId="3" borderId="4" xfId="0" applyFont="1" applyFill="1" applyBorder="1" applyAlignment="1">
      <alignment horizontal="left" vertical="center" wrapText="1"/>
    </xf>
    <xf numFmtId="4" fontId="30" fillId="3" borderId="131" xfId="0" applyFont="1" applyFill="1" applyBorder="1" applyAlignment="1">
      <alignment horizontal="left" vertical="center" wrapText="1"/>
    </xf>
    <xf numFmtId="14" fontId="21" fillId="3" borderId="78" xfId="0" applyNumberFormat="1" applyFont="1" applyFill="1" applyBorder="1" applyAlignment="1">
      <alignment horizontal="left" vertical="center"/>
    </xf>
    <xf numFmtId="43" fontId="21" fillId="3" borderId="132" xfId="0" applyNumberFormat="1" applyFont="1" applyFill="1" applyBorder="1" applyAlignment="1">
      <alignment horizontal="left" vertical="center"/>
    </xf>
    <xf numFmtId="4" fontId="13" fillId="3" borderId="4" xfId="0" applyNumberFormat="1" applyFont="1" applyFill="1" applyBorder="1" applyAlignment="1"/>
    <xf numFmtId="4" fontId="10" fillId="23" borderId="3" xfId="0" applyNumberFormat="1" applyFont="1" applyFill="1" applyBorder="1" applyAlignment="1">
      <alignment horizontal="right" vertical="center" wrapText="1"/>
    </xf>
    <xf numFmtId="4" fontId="11" fillId="0" borderId="0" xfId="0" applyFont="1" applyBorder="1" applyAlignment="1">
      <alignment horizontal="left" vertical="center" wrapText="1"/>
    </xf>
    <xf numFmtId="4" fontId="10" fillId="0" borderId="0" xfId="0" applyFont="1" applyBorder="1" applyAlignment="1">
      <alignment horizontal="left" vertical="center" wrapText="1"/>
    </xf>
    <xf numFmtId="4" fontId="30" fillId="0" borderId="18" xfId="0" applyFont="1" applyFill="1" applyBorder="1" applyAlignment="1">
      <alignment horizontal="center" vertical="center" wrapText="1"/>
    </xf>
    <xf numFmtId="14" fontId="30" fillId="0" borderId="2" xfId="0" applyNumberFormat="1" applyFont="1" applyFill="1" applyBorder="1" applyAlignment="1">
      <alignment horizontal="center" vertical="center" wrapText="1"/>
    </xf>
    <xf numFmtId="14" fontId="30" fillId="0" borderId="8" xfId="0" applyNumberFormat="1" applyFont="1" applyFill="1" applyBorder="1" applyAlignment="1">
      <alignment horizontal="center" vertical="center" wrapText="1"/>
    </xf>
    <xf numFmtId="4" fontId="31" fillId="0" borderId="1" xfId="0" applyNumberFormat="1" applyFont="1" applyFill="1" applyBorder="1" applyAlignment="1">
      <alignment horizontal="right" vertical="center" wrapText="1"/>
    </xf>
    <xf numFmtId="4" fontId="31" fillId="0" borderId="79" xfId="0" applyNumberFormat="1" applyFont="1" applyFill="1" applyBorder="1" applyAlignment="1">
      <alignment horizontal="right" vertical="center" wrapText="1"/>
    </xf>
    <xf numFmtId="4" fontId="30" fillId="0" borderId="13" xfId="0" applyFont="1" applyFill="1" applyBorder="1" applyAlignment="1">
      <alignment horizontal="center" vertical="center" wrapText="1"/>
    </xf>
    <xf numFmtId="4" fontId="31" fillId="0" borderId="2" xfId="0" applyNumberFormat="1" applyFont="1" applyFill="1" applyBorder="1" applyAlignment="1">
      <alignment horizontal="right" vertical="center" wrapText="1"/>
    </xf>
    <xf numFmtId="4" fontId="31" fillId="0" borderId="73" xfId="0" applyNumberFormat="1" applyFont="1" applyFill="1" applyBorder="1" applyAlignment="1">
      <alignment horizontal="right" vertical="center" wrapText="1"/>
    </xf>
    <xf numFmtId="4" fontId="30" fillId="0" borderId="127" xfId="0" applyFont="1" applyFill="1" applyBorder="1" applyAlignment="1">
      <alignment horizontal="center" vertical="center" wrapText="1"/>
    </xf>
    <xf numFmtId="4" fontId="31" fillId="0" borderId="69" xfId="0" applyNumberFormat="1" applyFont="1" applyFill="1" applyBorder="1" applyAlignment="1">
      <alignment horizontal="right" vertical="center" wrapText="1"/>
    </xf>
    <xf numFmtId="4" fontId="30" fillId="0" borderId="14" xfId="0" applyFont="1" applyFill="1" applyBorder="1" applyAlignment="1">
      <alignment horizontal="center" vertical="center" wrapText="1"/>
    </xf>
    <xf numFmtId="4" fontId="30" fillId="0" borderId="26" xfId="0" applyFont="1" applyFill="1" applyBorder="1" applyAlignment="1">
      <alignment horizontal="center" vertical="center" wrapText="1"/>
    </xf>
    <xf numFmtId="14" fontId="30" fillId="0" borderId="46" xfId="0" applyNumberFormat="1" applyFont="1" applyFill="1" applyBorder="1" applyAlignment="1">
      <alignment horizontal="center" vertical="center" wrapText="1"/>
    </xf>
    <xf numFmtId="14" fontId="30" fillId="0" borderId="9" xfId="0" applyNumberFormat="1" applyFont="1" applyFill="1" applyBorder="1" applyAlignment="1">
      <alignment horizontal="center" vertical="center" wrapText="1"/>
    </xf>
    <xf numFmtId="4" fontId="31" fillId="0" borderId="46" xfId="0" applyNumberFormat="1" applyFont="1" applyFill="1" applyBorder="1" applyAlignment="1">
      <alignment horizontal="right" vertical="center" wrapText="1"/>
    </xf>
    <xf numFmtId="4" fontId="31" fillId="0" borderId="71" xfId="0" applyNumberFormat="1" applyFont="1" applyFill="1" applyBorder="1" applyAlignment="1">
      <alignment horizontal="right" vertical="center" wrapText="1"/>
    </xf>
    <xf numFmtId="4" fontId="21" fillId="8" borderId="0" xfId="0" applyFont="1" applyFill="1" applyBorder="1" applyAlignment="1">
      <alignment horizontal="left" vertical="center"/>
    </xf>
    <xf numFmtId="4" fontId="0" fillId="0" borderId="0" xfId="0" applyBorder="1" applyAlignment="1">
      <alignment horizontal="left" vertical="center"/>
    </xf>
    <xf numFmtId="4" fontId="21" fillId="8" borderId="133" xfId="0" applyFont="1" applyFill="1" applyBorder="1" applyAlignment="1">
      <alignment horizontal="left" vertical="center"/>
    </xf>
    <xf numFmtId="4" fontId="0" fillId="0" borderId="134" xfId="0" applyBorder="1" applyAlignment="1">
      <alignment horizontal="left" vertical="center"/>
    </xf>
    <xf numFmtId="14" fontId="21" fillId="8" borderId="135" xfId="0" applyNumberFormat="1" applyFont="1" applyFill="1" applyBorder="1" applyAlignment="1">
      <alignment horizontal="left" vertical="center"/>
    </xf>
    <xf numFmtId="43" fontId="21" fillId="8" borderId="135" xfId="0" applyNumberFormat="1" applyFont="1" applyFill="1" applyBorder="1" applyAlignment="1">
      <alignment horizontal="left" vertical="center"/>
    </xf>
    <xf numFmtId="4" fontId="21" fillId="8" borderId="18" xfId="0" applyFont="1" applyFill="1" applyBorder="1" applyAlignment="1">
      <alignment horizontal="left" vertical="center"/>
    </xf>
    <xf numFmtId="4" fontId="0" fillId="0" borderId="19" xfId="0" applyBorder="1" applyAlignment="1">
      <alignment horizontal="left" vertical="center"/>
    </xf>
    <xf numFmtId="14" fontId="21" fillId="8" borderId="136" xfId="0" applyNumberFormat="1" applyFont="1" applyFill="1" applyBorder="1" applyAlignment="1">
      <alignment horizontal="left" vertical="center"/>
    </xf>
    <xf numFmtId="43" fontId="21" fillId="8" borderId="136" xfId="0" applyNumberFormat="1" applyFont="1" applyFill="1" applyBorder="1" applyAlignment="1">
      <alignment horizontal="left" vertical="center"/>
    </xf>
    <xf numFmtId="4" fontId="21" fillId="8" borderId="137" xfId="0" applyFont="1" applyFill="1" applyBorder="1" applyAlignment="1">
      <alignment horizontal="left" vertical="center"/>
    </xf>
    <xf numFmtId="4" fontId="0" fillId="0" borderId="138" xfId="0" applyBorder="1" applyAlignment="1">
      <alignment horizontal="left" vertical="center"/>
    </xf>
    <xf numFmtId="14" fontId="21" fillId="8" borderId="139" xfId="0" applyNumberFormat="1" applyFont="1" applyFill="1" applyBorder="1" applyAlignment="1">
      <alignment horizontal="left" vertical="center"/>
    </xf>
    <xf numFmtId="43" fontId="21" fillId="8" borderId="139" xfId="0" applyNumberFormat="1" applyFont="1" applyFill="1" applyBorder="1" applyAlignment="1">
      <alignment horizontal="left" vertical="center"/>
    </xf>
    <xf numFmtId="3" fontId="63" fillId="0" borderId="2" xfId="0" applyNumberFormat="1" applyFont="1" applyBorder="1" applyAlignment="1">
      <alignment horizontal="right" vertical="center" wrapText="1"/>
    </xf>
    <xf numFmtId="14" fontId="21" fillId="8" borderId="2" xfId="0" applyNumberFormat="1" applyFont="1" applyFill="1" applyBorder="1" applyAlignment="1">
      <alignment horizontal="center" vertical="center" wrapText="1"/>
    </xf>
    <xf numFmtId="14" fontId="21" fillId="8" borderId="2" xfId="0" applyNumberFormat="1" applyFont="1" applyFill="1" applyBorder="1" applyAlignment="1">
      <alignment horizontal="left" vertical="center" wrapText="1"/>
    </xf>
    <xf numFmtId="4" fontId="0" fillId="0" borderId="0" xfId="0">
      <alignment vertical="top"/>
    </xf>
    <xf numFmtId="4" fontId="0" fillId="0" borderId="0" xfId="0" applyAlignment="1">
      <alignment horizontal="center" vertical="top"/>
    </xf>
    <xf numFmtId="4" fontId="4" fillId="0" borderId="0" xfId="0" applyFont="1" applyAlignment="1">
      <alignment horizontal="center" vertical="top"/>
    </xf>
    <xf numFmtId="3" fontId="6" fillId="0" borderId="0" xfId="1" applyFont="1" applyFill="1" applyBorder="1"/>
    <xf numFmtId="3" fontId="6" fillId="0" borderId="0" xfId="1" applyFont="1" applyFill="1" applyBorder="1" applyAlignment="1">
      <alignment horizontal="center"/>
    </xf>
    <xf numFmtId="49" fontId="6" fillId="0" borderId="0" xfId="1" applyNumberFormat="1" applyFont="1" applyFill="1" applyBorder="1" applyAlignment="1">
      <alignment horizontal="center"/>
    </xf>
    <xf numFmtId="3" fontId="6" fillId="0" borderId="0" xfId="1" applyFont="1" applyFill="1" applyBorder="1" applyAlignment="1"/>
    <xf numFmtId="3" fontId="9" fillId="0" borderId="0" xfId="1" applyFont="1" applyFill="1" applyBorder="1"/>
    <xf numFmtId="4" fontId="9" fillId="0" borderId="0" xfId="1" applyNumberFormat="1" applyFont="1" applyFill="1" applyBorder="1"/>
    <xf numFmtId="4" fontId="6" fillId="0" borderId="0" xfId="0" applyFont="1">
      <alignment vertical="top"/>
    </xf>
    <xf numFmtId="4" fontId="5" fillId="0" borderId="0" xfId="0" applyFont="1">
      <alignment vertical="top"/>
    </xf>
    <xf numFmtId="4" fontId="5" fillId="0" borderId="0" xfId="0" applyNumberFormat="1" applyFont="1">
      <alignment vertical="top"/>
    </xf>
    <xf numFmtId="4" fontId="102" fillId="0" borderId="0" xfId="0" applyFont="1" applyAlignment="1">
      <alignment horizontal="center" vertical="top"/>
    </xf>
    <xf numFmtId="4" fontId="102" fillId="0" borderId="0" xfId="0" applyFont="1">
      <alignment vertical="top"/>
    </xf>
    <xf numFmtId="49" fontId="103" fillId="2" borderId="3" xfId="1" applyNumberFormat="1" applyFont="1" applyFill="1" applyBorder="1" applyAlignment="1">
      <alignment horizontal="center"/>
    </xf>
    <xf numFmtId="3" fontId="103" fillId="3" borderId="38" xfId="1" applyFont="1" applyFill="1" applyBorder="1" applyAlignment="1">
      <alignment horizontal="center"/>
    </xf>
    <xf numFmtId="49" fontId="103" fillId="3" borderId="39" xfId="1" applyNumberFormat="1" applyFont="1" applyFill="1" applyBorder="1" applyAlignment="1">
      <alignment horizontal="center"/>
    </xf>
    <xf numFmtId="3" fontId="103" fillId="3" borderId="38" xfId="1" applyNumberFormat="1" applyFont="1" applyFill="1" applyBorder="1"/>
    <xf numFmtId="3" fontId="103" fillId="3" borderId="3" xfId="1" applyNumberFormat="1" applyFont="1" applyFill="1" applyBorder="1"/>
    <xf numFmtId="4" fontId="103" fillId="3" borderId="3" xfId="1" applyNumberFormat="1" applyFont="1" applyFill="1" applyBorder="1"/>
    <xf numFmtId="3" fontId="103" fillId="3" borderId="39" xfId="1" applyNumberFormat="1" applyFont="1" applyFill="1" applyBorder="1"/>
    <xf numFmtId="3" fontId="103" fillId="0" borderId="38" xfId="1" applyFont="1" applyBorder="1" applyAlignment="1">
      <alignment horizontal="center"/>
    </xf>
    <xf numFmtId="3" fontId="103" fillId="0" borderId="38" xfId="1" applyNumberFormat="1" applyFont="1" applyBorder="1" applyAlignment="1">
      <alignment horizontal="right"/>
    </xf>
    <xf numFmtId="3" fontId="103" fillId="0" borderId="3" xfId="1" applyNumberFormat="1" applyFont="1" applyBorder="1" applyAlignment="1">
      <alignment horizontal="right"/>
    </xf>
    <xf numFmtId="4" fontId="103" fillId="0" borderId="3" xfId="1" applyNumberFormat="1" applyFont="1" applyFill="1" applyBorder="1"/>
    <xf numFmtId="3" fontId="103" fillId="0" borderId="39" xfId="1" applyNumberFormat="1" applyFont="1" applyBorder="1" applyAlignment="1">
      <alignment horizontal="right"/>
    </xf>
    <xf numFmtId="3" fontId="103" fillId="0" borderId="38" xfId="1" applyNumberFormat="1" applyFont="1" applyBorder="1"/>
    <xf numFmtId="3" fontId="103" fillId="0" borderId="3" xfId="1" applyNumberFormat="1" applyFont="1" applyBorder="1"/>
    <xf numFmtId="3" fontId="103" fillId="0" borderId="39" xfId="1" applyNumberFormat="1" applyFont="1" applyBorder="1"/>
    <xf numFmtId="3" fontId="104" fillId="0" borderId="3" xfId="1" applyFont="1" applyBorder="1" applyAlignment="1">
      <alignment horizontal="left"/>
    </xf>
    <xf numFmtId="3" fontId="103" fillId="0" borderId="3" xfId="1" applyFont="1" applyBorder="1" applyAlignment="1">
      <alignment horizontal="left"/>
    </xf>
    <xf numFmtId="3" fontId="103" fillId="3" borderId="38" xfId="1" applyNumberFormat="1" applyFont="1" applyFill="1" applyBorder="1" applyAlignment="1">
      <alignment horizontal="right"/>
    </xf>
    <xf numFmtId="3" fontId="103" fillId="3" borderId="3" xfId="1" applyNumberFormat="1" applyFont="1" applyFill="1" applyBorder="1" applyAlignment="1">
      <alignment horizontal="right"/>
    </xf>
    <xf numFmtId="3" fontId="103" fillId="3" borderId="39" xfId="1" applyNumberFormat="1" applyFont="1" applyFill="1" applyBorder="1" applyAlignment="1">
      <alignment horizontal="right"/>
    </xf>
    <xf numFmtId="3" fontId="103" fillId="0" borderId="38" xfId="1" applyFont="1" applyFill="1" applyBorder="1" applyAlignment="1">
      <alignment horizontal="center"/>
    </xf>
    <xf numFmtId="3" fontId="103" fillId="0" borderId="3" xfId="1" applyNumberFormat="1" applyFont="1" applyFill="1" applyBorder="1"/>
    <xf numFmtId="3" fontId="103" fillId="0" borderId="39" xfId="1" applyNumberFormat="1" applyFont="1" applyFill="1" applyBorder="1" applyAlignment="1">
      <alignment horizontal="right"/>
    </xf>
    <xf numFmtId="3" fontId="103" fillId="0" borderId="38" xfId="1" applyNumberFormat="1" applyFont="1" applyFill="1" applyBorder="1"/>
    <xf numFmtId="3" fontId="103" fillId="0" borderId="39" xfId="1" applyNumberFormat="1" applyFont="1" applyFill="1" applyBorder="1"/>
    <xf numFmtId="3" fontId="103" fillId="0" borderId="38" xfId="1" applyNumberFormat="1" applyFont="1" applyBorder="1" applyAlignment="1"/>
    <xf numFmtId="3" fontId="103" fillId="0" borderId="3" xfId="1" applyNumberFormat="1" applyFont="1" applyBorder="1" applyAlignment="1"/>
    <xf numFmtId="3" fontId="103" fillId="0" borderId="39" xfId="1" applyNumberFormat="1" applyFont="1" applyBorder="1" applyAlignment="1"/>
    <xf numFmtId="3" fontId="103" fillId="0" borderId="3" xfId="1" applyFont="1" applyFill="1" applyBorder="1" applyAlignment="1">
      <alignment horizontal="left"/>
    </xf>
    <xf numFmtId="4" fontId="105" fillId="0" borderId="3" xfId="1" applyNumberFormat="1" applyFont="1" applyFill="1" applyBorder="1"/>
    <xf numFmtId="3" fontId="103" fillId="0" borderId="3" xfId="1" applyNumberFormat="1" applyFont="1" applyFill="1" applyBorder="1" applyAlignment="1">
      <alignment horizontal="right"/>
    </xf>
    <xf numFmtId="3" fontId="103" fillId="0" borderId="38" xfId="1" applyNumberFormat="1" applyFont="1" applyFill="1" applyBorder="1" applyAlignment="1">
      <alignment horizontal="right"/>
    </xf>
    <xf numFmtId="3" fontId="105" fillId="0" borderId="38" xfId="1" applyNumberFormat="1" applyFont="1" applyFill="1" applyBorder="1" applyAlignment="1">
      <alignment horizontal="center"/>
    </xf>
    <xf numFmtId="3" fontId="105" fillId="0" borderId="3" xfId="1" applyNumberFormat="1" applyFont="1" applyFill="1" applyBorder="1" applyAlignment="1">
      <alignment horizontal="center"/>
    </xf>
    <xf numFmtId="3" fontId="105" fillId="0" borderId="39" xfId="1" applyNumberFormat="1" applyFont="1" applyFill="1" applyBorder="1" applyAlignment="1">
      <alignment horizontal="center"/>
    </xf>
    <xf numFmtId="3" fontId="103" fillId="0" borderId="3" xfId="0" applyNumberFormat="1" applyFont="1" applyBorder="1" applyAlignment="1">
      <alignment horizontal="right" vertical="top"/>
    </xf>
    <xf numFmtId="3" fontId="103" fillId="0" borderId="39" xfId="0" applyNumberFormat="1" applyFont="1" applyBorder="1" applyAlignment="1">
      <alignment horizontal="right" vertical="top"/>
    </xf>
    <xf numFmtId="3" fontId="103" fillId="0" borderId="38" xfId="0" applyNumberFormat="1" applyFont="1" applyBorder="1" applyAlignment="1">
      <alignment horizontal="right" vertical="top"/>
    </xf>
    <xf numFmtId="3" fontId="103" fillId="0" borderId="38" xfId="0" applyNumberFormat="1" applyFont="1" applyBorder="1">
      <alignment vertical="top"/>
    </xf>
    <xf numFmtId="3" fontId="103" fillId="0" borderId="3" xfId="0" applyNumberFormat="1" applyFont="1" applyBorder="1">
      <alignment vertical="top"/>
    </xf>
    <xf numFmtId="3" fontId="103" fillId="0" borderId="39" xfId="0" applyNumberFormat="1" applyFont="1" applyBorder="1">
      <alignment vertical="top"/>
    </xf>
    <xf numFmtId="3" fontId="103" fillId="3" borderId="3" xfId="1" applyFont="1" applyFill="1" applyBorder="1" applyAlignment="1">
      <alignment horizontal="left"/>
    </xf>
    <xf numFmtId="4" fontId="105" fillId="3" borderId="3" xfId="1" applyNumberFormat="1" applyFont="1" applyFill="1" applyBorder="1"/>
    <xf numFmtId="3" fontId="105" fillId="0" borderId="38" xfId="1" applyFont="1" applyBorder="1" applyAlignment="1">
      <alignment horizontal="center"/>
    </xf>
    <xf numFmtId="49" fontId="105" fillId="3" borderId="39" xfId="1" applyNumberFormat="1" applyFont="1" applyFill="1" applyBorder="1" applyAlignment="1">
      <alignment horizontal="center"/>
    </xf>
    <xf numFmtId="3" fontId="102" fillId="0" borderId="38" xfId="0" applyNumberFormat="1" applyFont="1" applyBorder="1">
      <alignment vertical="top"/>
    </xf>
    <xf numFmtId="3" fontId="102" fillId="0" borderId="3" xfId="0" applyNumberFormat="1" applyFont="1" applyBorder="1">
      <alignment vertical="top"/>
    </xf>
    <xf numFmtId="3" fontId="102" fillId="0" borderId="39" xfId="0" applyNumberFormat="1" applyFont="1" applyBorder="1">
      <alignment vertical="top"/>
    </xf>
    <xf numFmtId="3" fontId="105" fillId="0" borderId="38" xfId="1" applyNumberFormat="1" applyFont="1" applyFill="1" applyBorder="1" applyAlignment="1"/>
    <xf numFmtId="3" fontId="105" fillId="0" borderId="3" xfId="1" applyNumberFormat="1" applyFont="1" applyFill="1" applyBorder="1" applyAlignment="1"/>
    <xf numFmtId="3" fontId="105" fillId="0" borderId="39" xfId="1" applyNumberFormat="1" applyFont="1" applyFill="1" applyBorder="1" applyAlignment="1"/>
    <xf numFmtId="4" fontId="105" fillId="0" borderId="38" xfId="1" applyNumberFormat="1" applyFont="1" applyBorder="1" applyAlignment="1">
      <alignment horizontal="center"/>
    </xf>
    <xf numFmtId="4" fontId="105" fillId="3" borderId="39" xfId="1" applyNumberFormat="1" applyFont="1" applyFill="1" applyBorder="1" applyAlignment="1">
      <alignment horizontal="center"/>
    </xf>
    <xf numFmtId="4" fontId="102" fillId="0" borderId="38" xfId="0" applyNumberFormat="1" applyFont="1" applyBorder="1">
      <alignment vertical="top"/>
    </xf>
    <xf numFmtId="4" fontId="102" fillId="0" borderId="3" xfId="0" applyNumberFormat="1" applyFont="1" applyBorder="1">
      <alignment vertical="top"/>
    </xf>
    <xf numFmtId="4" fontId="102" fillId="0" borderId="39" xfId="0" applyNumberFormat="1" applyFont="1" applyBorder="1">
      <alignment vertical="top"/>
    </xf>
    <xf numFmtId="4" fontId="105" fillId="0" borderId="38" xfId="1" applyNumberFormat="1" applyFont="1" applyFill="1" applyBorder="1" applyAlignment="1"/>
    <xf numFmtId="4" fontId="105" fillId="0" borderId="3" xfId="1" applyNumberFormat="1" applyFont="1" applyFill="1" applyBorder="1" applyAlignment="1"/>
    <xf numFmtId="4" fontId="105" fillId="0" borderId="39" xfId="1" applyNumberFormat="1" applyFont="1" applyFill="1" applyBorder="1" applyAlignment="1"/>
    <xf numFmtId="3" fontId="105" fillId="0" borderId="42" xfId="1" applyFont="1" applyBorder="1" applyAlignment="1">
      <alignment horizontal="center"/>
    </xf>
    <xf numFmtId="49" fontId="105" fillId="3" borderId="44" xfId="1" applyNumberFormat="1" applyFont="1" applyFill="1" applyBorder="1" applyAlignment="1">
      <alignment horizontal="center"/>
    </xf>
    <xf numFmtId="3" fontId="102" fillId="0" borderId="42" xfId="0" applyNumberFormat="1" applyFont="1" applyBorder="1">
      <alignment vertical="top"/>
    </xf>
    <xf numFmtId="3" fontId="102" fillId="0" borderId="43" xfId="0" applyNumberFormat="1" applyFont="1" applyBorder="1">
      <alignment vertical="top"/>
    </xf>
    <xf numFmtId="4" fontId="105" fillId="0" borderId="43" xfId="1" applyNumberFormat="1" applyFont="1" applyFill="1" applyBorder="1"/>
    <xf numFmtId="3" fontId="102" fillId="0" borderId="44" xfId="0" applyNumberFormat="1" applyFont="1" applyBorder="1">
      <alignment vertical="top"/>
    </xf>
    <xf numFmtId="3" fontId="105" fillId="0" borderId="42" xfId="1" applyNumberFormat="1" applyFont="1" applyFill="1" applyBorder="1" applyAlignment="1"/>
    <xf numFmtId="3" fontId="105" fillId="0" borderId="43" xfId="1" applyNumberFormat="1" applyFont="1" applyFill="1" applyBorder="1" applyAlignment="1"/>
    <xf numFmtId="4" fontId="103" fillId="0" borderId="43" xfId="1" applyNumberFormat="1" applyFont="1" applyFill="1" applyBorder="1"/>
    <xf numFmtId="3" fontId="105" fillId="0" borderId="44" xfId="1" applyNumberFormat="1" applyFont="1" applyFill="1" applyBorder="1" applyAlignment="1"/>
    <xf numFmtId="4" fontId="106" fillId="0" borderId="0" xfId="0" applyFont="1" applyAlignment="1">
      <alignment vertical="center"/>
    </xf>
    <xf numFmtId="4" fontId="106" fillId="0" borderId="0" xfId="0" applyFont="1" applyAlignment="1"/>
    <xf numFmtId="4" fontId="65" fillId="0" borderId="0" xfId="0" applyFont="1" applyAlignment="1"/>
    <xf numFmtId="4" fontId="107" fillId="0" borderId="0" xfId="0" applyFont="1" applyAlignment="1"/>
    <xf numFmtId="4" fontId="108" fillId="3" borderId="3" xfId="0" applyFont="1" applyFill="1" applyBorder="1" applyAlignment="1">
      <alignment horizontal="center"/>
    </xf>
    <xf numFmtId="4" fontId="108" fillId="0" borderId="0" xfId="0" applyFont="1" applyAlignment="1">
      <alignment horizontal="center"/>
    </xf>
    <xf numFmtId="4" fontId="65" fillId="2" borderId="1" xfId="0" applyNumberFormat="1" applyFont="1" applyFill="1" applyBorder="1" applyAlignment="1">
      <alignment vertical="center"/>
    </xf>
    <xf numFmtId="4" fontId="65" fillId="2" borderId="6" xfId="0" applyNumberFormat="1" applyFont="1" applyFill="1" applyBorder="1" applyAlignment="1">
      <alignment vertical="center"/>
    </xf>
    <xf numFmtId="4" fontId="65" fillId="2" borderId="2" xfId="0" applyNumberFormat="1" applyFont="1" applyFill="1" applyBorder="1" applyAlignment="1">
      <alignment vertical="center"/>
    </xf>
    <xf numFmtId="4" fontId="107" fillId="0" borderId="0" xfId="0" applyNumberFormat="1" applyFont="1" applyAlignment="1"/>
    <xf numFmtId="4" fontId="107" fillId="0" borderId="0" xfId="0" applyFont="1" applyBorder="1" applyAlignment="1"/>
    <xf numFmtId="4" fontId="108" fillId="0" borderId="12" xfId="0" applyFont="1" applyFill="1" applyBorder="1" applyAlignment="1"/>
    <xf numFmtId="4" fontId="108" fillId="0" borderId="0" xfId="0" applyFont="1" applyFill="1" applyBorder="1" applyAlignment="1"/>
    <xf numFmtId="4" fontId="110" fillId="0" borderId="0" xfId="0" applyFont="1" applyAlignment="1"/>
    <xf numFmtId="4" fontId="65" fillId="2" borderId="1" xfId="0" applyFont="1" applyFill="1" applyBorder="1" applyAlignment="1">
      <alignment vertical="center"/>
    </xf>
    <xf numFmtId="4" fontId="65" fillId="7" borderId="1" xfId="0" applyFont="1" applyFill="1" applyBorder="1" applyAlignment="1">
      <alignment vertical="center"/>
    </xf>
    <xf numFmtId="4" fontId="65" fillId="0" borderId="1" xfId="0" applyNumberFormat="1" applyFont="1" applyBorder="1" applyAlignment="1">
      <alignment vertical="center"/>
    </xf>
    <xf numFmtId="4" fontId="111" fillId="0" borderId="21" xfId="0" applyFont="1" applyFill="1" applyBorder="1" applyAlignment="1"/>
    <xf numFmtId="4" fontId="111" fillId="0" borderId="0" xfId="0" applyFont="1" applyFill="1" applyBorder="1" applyAlignment="1"/>
    <xf numFmtId="4" fontId="65" fillId="0" borderId="6" xfId="0" applyFont="1" applyFill="1" applyBorder="1" applyAlignment="1">
      <alignment vertical="center"/>
    </xf>
    <xf numFmtId="4" fontId="65" fillId="0" borderId="6" xfId="0" applyNumberFormat="1" applyFont="1" applyBorder="1" applyAlignment="1">
      <alignment vertical="center"/>
    </xf>
    <xf numFmtId="4" fontId="65" fillId="0" borderId="2" xfId="0" applyFont="1" applyBorder="1" applyAlignment="1">
      <alignment vertical="center"/>
    </xf>
    <xf numFmtId="4" fontId="65" fillId="0" borderId="2" xfId="0" applyNumberFormat="1" applyFont="1" applyFill="1" applyBorder="1" applyAlignment="1">
      <alignment horizontal="right" vertical="center"/>
    </xf>
    <xf numFmtId="4" fontId="107" fillId="0" borderId="21" xfId="0" applyNumberFormat="1" applyFont="1" applyFill="1" applyBorder="1" applyAlignment="1">
      <alignment horizontal="left"/>
    </xf>
    <xf numFmtId="4" fontId="107" fillId="0" borderId="0" xfId="0" applyNumberFormat="1" applyFont="1" applyFill="1" applyBorder="1" applyAlignment="1">
      <alignment horizontal="left"/>
    </xf>
    <xf numFmtId="4" fontId="65" fillId="0" borderId="13" xfId="0" applyFont="1" applyBorder="1" applyAlignment="1">
      <alignment vertical="center"/>
    </xf>
    <xf numFmtId="4" fontId="65" fillId="0" borderId="13" xfId="0" applyNumberFormat="1" applyFont="1" applyBorder="1" applyAlignment="1">
      <alignment vertical="center"/>
    </xf>
    <xf numFmtId="4" fontId="111" fillId="0" borderId="21" xfId="0" applyFont="1" applyFill="1" applyBorder="1" applyAlignment="1">
      <alignment vertical="center" wrapText="1"/>
    </xf>
    <xf numFmtId="4" fontId="111" fillId="0" borderId="0" xfId="0" applyFont="1" applyFill="1" applyBorder="1" applyAlignment="1">
      <alignment vertical="center" wrapText="1"/>
    </xf>
    <xf numFmtId="4" fontId="65" fillId="2" borderId="3" xfId="0" applyFont="1" applyFill="1" applyBorder="1" applyAlignment="1">
      <alignment horizontal="left" vertical="center"/>
    </xf>
    <xf numFmtId="4" fontId="65" fillId="7" borderId="3" xfId="0" applyFont="1" applyFill="1" applyBorder="1" applyAlignment="1">
      <alignment vertical="center"/>
    </xf>
    <xf numFmtId="4" fontId="65" fillId="0" borderId="3" xfId="0" applyNumberFormat="1" applyFont="1" applyBorder="1" applyAlignment="1">
      <alignment vertical="center"/>
    </xf>
    <xf numFmtId="4" fontId="111" fillId="0" borderId="0" xfId="0" applyFont="1" applyFill="1" applyBorder="1" applyAlignment="1">
      <alignment horizontal="left" vertical="center" wrapText="1"/>
    </xf>
    <xf numFmtId="4" fontId="65" fillId="0" borderId="0" xfId="0" applyFont="1" applyFill="1" applyBorder="1" applyAlignment="1">
      <alignment vertical="center"/>
    </xf>
    <xf numFmtId="4" fontId="107" fillId="0" borderId="0" xfId="0" applyFont="1" applyFill="1" applyAlignment="1"/>
    <xf numFmtId="4" fontId="107" fillId="0" borderId="0" xfId="0" applyNumberFormat="1" applyFont="1" applyFill="1" applyAlignment="1"/>
    <xf numFmtId="4" fontId="107" fillId="0" borderId="0" xfId="0" applyFont="1" applyFill="1" applyBorder="1" applyAlignment="1"/>
    <xf numFmtId="4" fontId="108" fillId="3" borderId="3" xfId="0" applyNumberFormat="1" applyFont="1" applyFill="1" applyBorder="1" applyAlignment="1">
      <alignment horizontal="center"/>
    </xf>
    <xf numFmtId="4" fontId="108" fillId="0" borderId="0" xfId="0" applyFont="1" applyFill="1" applyAlignment="1">
      <alignment horizontal="center"/>
    </xf>
    <xf numFmtId="4" fontId="65" fillId="0" borderId="6" xfId="0" applyFont="1" applyBorder="1" applyAlignment="1">
      <alignment vertical="center"/>
    </xf>
    <xf numFmtId="4" fontId="107" fillId="0" borderId="6" xfId="0" applyNumberFormat="1" applyFont="1" applyBorder="1" applyAlignment="1">
      <alignment vertical="center"/>
    </xf>
    <xf numFmtId="4" fontId="107" fillId="0" borderId="2" xfId="0" applyNumberFormat="1" applyFont="1" applyBorder="1" applyAlignment="1">
      <alignment vertical="center"/>
    </xf>
    <xf numFmtId="4" fontId="107" fillId="0" borderId="13" xfId="0" applyNumberFormat="1" applyFont="1" applyBorder="1" applyAlignment="1">
      <alignment vertical="center"/>
    </xf>
    <xf numFmtId="4" fontId="65" fillId="2" borderId="3" xfId="0" applyFont="1" applyFill="1" applyBorder="1" applyAlignment="1">
      <alignment vertical="center"/>
    </xf>
    <xf numFmtId="4" fontId="65" fillId="2" borderId="3" xfId="0" applyNumberFormat="1" applyFont="1" applyFill="1" applyBorder="1" applyAlignment="1">
      <alignment vertical="center"/>
    </xf>
    <xf numFmtId="4" fontId="109" fillId="0" borderId="6" xfId="0" applyFont="1" applyBorder="1" applyAlignment="1">
      <alignment vertical="center"/>
    </xf>
    <xf numFmtId="0" fontId="107" fillId="0" borderId="1" xfId="0" applyNumberFormat="1" applyFont="1" applyBorder="1" applyAlignment="1">
      <alignment vertical="center"/>
    </xf>
    <xf numFmtId="4" fontId="107" fillId="0" borderId="13" xfId="0" applyFont="1" applyBorder="1" applyAlignment="1">
      <alignment vertical="center"/>
    </xf>
    <xf numFmtId="0" fontId="107" fillId="0" borderId="13" xfId="0" applyNumberFormat="1" applyFont="1" applyBorder="1" applyAlignment="1">
      <alignment vertical="center"/>
    </xf>
    <xf numFmtId="0" fontId="107" fillId="0" borderId="30" xfId="0" applyNumberFormat="1" applyFont="1" applyBorder="1" applyAlignment="1">
      <alignment vertical="center"/>
    </xf>
    <xf numFmtId="4" fontId="108" fillId="3" borderId="10" xfId="0" applyFont="1" applyFill="1" applyBorder="1" applyAlignment="1">
      <alignment horizontal="center"/>
    </xf>
    <xf numFmtId="4" fontId="108" fillId="3" borderId="10" xfId="0" applyNumberFormat="1" applyFont="1" applyFill="1" applyBorder="1" applyAlignment="1">
      <alignment horizontal="center"/>
    </xf>
    <xf numFmtId="4" fontId="109" fillId="0" borderId="1" xfId="0" applyFont="1" applyBorder="1" applyAlignment="1">
      <alignment vertical="center"/>
    </xf>
    <xf numFmtId="4" fontId="107" fillId="0" borderId="1" xfId="0" applyNumberFormat="1" applyFont="1" applyBorder="1" applyAlignment="1">
      <alignment vertical="center"/>
    </xf>
    <xf numFmtId="4" fontId="109" fillId="0" borderId="2" xfId="0" applyFont="1" applyBorder="1" applyAlignment="1">
      <alignment vertical="center"/>
    </xf>
    <xf numFmtId="0" fontId="107" fillId="0" borderId="2" xfId="0" applyNumberFormat="1" applyFont="1" applyBorder="1" applyAlignment="1">
      <alignment vertical="center"/>
    </xf>
    <xf numFmtId="4" fontId="109" fillId="0" borderId="46" xfId="0" applyFont="1" applyBorder="1" applyAlignment="1">
      <alignment vertical="center"/>
    </xf>
    <xf numFmtId="4" fontId="107" fillId="0" borderId="46" xfId="0" applyNumberFormat="1" applyFont="1" applyBorder="1" applyAlignment="1">
      <alignment vertical="center"/>
    </xf>
    <xf numFmtId="0" fontId="107" fillId="0" borderId="46" xfId="0" applyNumberFormat="1" applyFont="1" applyBorder="1" applyAlignment="1">
      <alignment vertical="center"/>
    </xf>
    <xf numFmtId="4" fontId="65" fillId="2" borderId="5" xfId="0" applyFont="1" applyFill="1" applyBorder="1" applyAlignment="1">
      <alignment vertical="center"/>
    </xf>
    <xf numFmtId="4" fontId="65" fillId="2" borderId="5" xfId="0" applyNumberFormat="1" applyFont="1" applyFill="1" applyBorder="1" applyAlignment="1">
      <alignment vertical="center"/>
    </xf>
    <xf numFmtId="4" fontId="65" fillId="0" borderId="0" xfId="0" applyFont="1" applyAlignment="1">
      <alignment horizontal="center"/>
    </xf>
    <xf numFmtId="14" fontId="21" fillId="8" borderId="3" xfId="0" applyNumberFormat="1" applyFont="1" applyFill="1" applyBorder="1" applyAlignment="1">
      <alignment horizontal="left" vertical="center"/>
    </xf>
    <xf numFmtId="43" fontId="21" fillId="8" borderId="3" xfId="0" applyNumberFormat="1" applyFont="1" applyFill="1" applyBorder="1" applyAlignment="1">
      <alignment horizontal="left" vertical="center"/>
    </xf>
    <xf numFmtId="14" fontId="52" fillId="0" borderId="3" xfId="0" applyNumberFormat="1" applyFont="1" applyBorder="1" applyAlignment="1">
      <alignment horizontal="left" vertical="center" wrapText="1"/>
    </xf>
    <xf numFmtId="4" fontId="52" fillId="0" borderId="0" xfId="0" applyFont="1" applyBorder="1" applyAlignment="1">
      <alignment horizontal="left" vertical="top" wrapText="1"/>
    </xf>
    <xf numFmtId="4" fontId="115" fillId="0" borderId="0" xfId="0" applyFont="1" applyAlignment="1"/>
    <xf numFmtId="4" fontId="116" fillId="0" borderId="0" xfId="0" applyFont="1" applyAlignment="1"/>
    <xf numFmtId="3" fontId="7" fillId="0" borderId="3" xfId="1" applyFont="1" applyBorder="1" applyAlignment="1">
      <alignment horizontal="left"/>
    </xf>
    <xf numFmtId="3" fontId="26" fillId="0" borderId="3" xfId="1" applyFont="1" applyBorder="1" applyAlignment="1">
      <alignment horizontal="left"/>
    </xf>
    <xf numFmtId="3" fontId="7" fillId="0" borderId="3" xfId="1" applyFont="1" applyFill="1" applyBorder="1" applyAlignment="1">
      <alignment horizontal="left"/>
    </xf>
    <xf numFmtId="4" fontId="0" fillId="0" borderId="0" xfId="0" applyAlignment="1">
      <alignment horizontal="center" vertical="top"/>
    </xf>
    <xf numFmtId="3" fontId="7" fillId="10" borderId="3" xfId="1" applyFont="1" applyFill="1" applyBorder="1" applyAlignment="1">
      <alignment horizontal="left"/>
    </xf>
    <xf numFmtId="3" fontId="4" fillId="0" borderId="0" xfId="1" applyFont="1" applyBorder="1" applyAlignment="1">
      <alignment horizontal="center"/>
    </xf>
    <xf numFmtId="3" fontId="6" fillId="2" borderId="34" xfId="1" applyFont="1" applyFill="1" applyBorder="1" applyAlignment="1">
      <alignment horizontal="center" wrapText="1"/>
    </xf>
    <xf numFmtId="4" fontId="5" fillId="2" borderId="38" xfId="0" applyFont="1" applyFill="1" applyBorder="1" applyAlignment="1">
      <alignment horizontal="center" wrapText="1"/>
    </xf>
    <xf numFmtId="49" fontId="6" fillId="2" borderId="35" xfId="1" applyNumberFormat="1" applyFont="1" applyFill="1" applyBorder="1" applyAlignment="1">
      <alignment horizontal="center" wrapText="1"/>
    </xf>
    <xf numFmtId="4" fontId="5" fillId="2" borderId="35" xfId="0" applyFont="1" applyFill="1" applyBorder="1" applyAlignment="1">
      <alignment horizontal="center" wrapText="1"/>
    </xf>
    <xf numFmtId="4" fontId="5" fillId="2" borderId="3" xfId="0" applyFont="1" applyFill="1" applyBorder="1" applyAlignment="1">
      <alignment horizontal="center" wrapText="1"/>
    </xf>
    <xf numFmtId="49" fontId="6" fillId="2" borderId="36" xfId="1" applyNumberFormat="1" applyFont="1" applyFill="1" applyBorder="1" applyAlignment="1">
      <alignment horizontal="center" wrapText="1"/>
    </xf>
    <xf numFmtId="49" fontId="6" fillId="2" borderId="39" xfId="1" applyNumberFormat="1" applyFont="1" applyFill="1" applyBorder="1" applyAlignment="1">
      <alignment horizontal="center" wrapText="1"/>
    </xf>
    <xf numFmtId="3" fontId="6" fillId="2" borderId="34" xfId="1" applyFont="1" applyFill="1" applyBorder="1" applyAlignment="1">
      <alignment horizontal="center"/>
    </xf>
    <xf numFmtId="3" fontId="6" fillId="2" borderId="35" xfId="1" applyFont="1" applyFill="1" applyBorder="1" applyAlignment="1">
      <alignment horizontal="center"/>
    </xf>
    <xf numFmtId="3" fontId="6" fillId="2" borderId="36" xfId="1" applyFont="1" applyFill="1" applyBorder="1" applyAlignment="1">
      <alignment horizontal="center"/>
    </xf>
    <xf numFmtId="3" fontId="6" fillId="2" borderId="37" xfId="1" applyFont="1" applyFill="1" applyBorder="1" applyAlignment="1">
      <alignment horizontal="center"/>
    </xf>
    <xf numFmtId="4" fontId="6" fillId="2" borderId="38" xfId="1" applyNumberFormat="1" applyFont="1" applyFill="1" applyBorder="1" applyAlignment="1">
      <alignment horizontal="center" wrapText="1"/>
    </xf>
    <xf numFmtId="4" fontId="6" fillId="2" borderId="3" xfId="1" applyNumberFormat="1" applyFont="1" applyFill="1" applyBorder="1" applyAlignment="1">
      <alignment horizontal="center"/>
    </xf>
    <xf numFmtId="3" fontId="6" fillId="2" borderId="39" xfId="1" applyFont="1" applyFill="1" applyBorder="1" applyAlignment="1">
      <alignment horizontal="center" wrapText="1"/>
    </xf>
    <xf numFmtId="4" fontId="6" fillId="2" borderId="11" xfId="1" applyNumberFormat="1" applyFont="1" applyFill="1" applyBorder="1" applyAlignment="1">
      <alignment horizontal="center" wrapText="1"/>
    </xf>
    <xf numFmtId="4" fontId="6" fillId="2" borderId="4" xfId="1" applyNumberFormat="1" applyFont="1" applyFill="1" applyBorder="1" applyAlignment="1">
      <alignment horizontal="center"/>
    </xf>
    <xf numFmtId="3" fontId="7" fillId="0" borderId="3" xfId="1" applyFont="1" applyBorder="1" applyAlignment="1">
      <alignment horizontal="left"/>
    </xf>
    <xf numFmtId="3" fontId="6" fillId="2" borderId="40" xfId="1" applyFont="1" applyFill="1" applyBorder="1" applyAlignment="1">
      <alignment horizontal="center" wrapText="1"/>
    </xf>
    <xf numFmtId="3" fontId="6" fillId="2" borderId="41" xfId="1" applyFont="1" applyFill="1" applyBorder="1" applyAlignment="1">
      <alignment horizontal="center" wrapText="1"/>
    </xf>
    <xf numFmtId="3" fontId="7" fillId="3" borderId="3" xfId="1" applyFont="1" applyFill="1" applyBorder="1" applyAlignment="1">
      <alignment horizontal="left"/>
    </xf>
    <xf numFmtId="3" fontId="26" fillId="0" borderId="3" xfId="1" applyFont="1" applyBorder="1" applyAlignment="1">
      <alignment horizontal="left"/>
    </xf>
    <xf numFmtId="3" fontId="7" fillId="0" borderId="3" xfId="1" applyFont="1" applyFill="1" applyBorder="1" applyAlignment="1">
      <alignment horizontal="left"/>
    </xf>
    <xf numFmtId="3" fontId="8" fillId="0" borderId="3" xfId="1" applyFont="1" applyBorder="1" applyAlignment="1">
      <alignment horizontal="left"/>
    </xf>
    <xf numFmtId="4" fontId="8" fillId="0" borderId="3" xfId="1" applyNumberFormat="1" applyFont="1" applyBorder="1" applyAlignment="1">
      <alignment horizontal="left"/>
    </xf>
    <xf numFmtId="3" fontId="8" fillId="0" borderId="43" xfId="1" applyFont="1" applyBorder="1" applyAlignment="1">
      <alignment horizontal="left"/>
    </xf>
    <xf numFmtId="4" fontId="18" fillId="0" borderId="8" xfId="0" applyFont="1" applyBorder="1" applyAlignment="1">
      <alignment horizontal="left" vertical="center" wrapText="1"/>
    </xf>
    <xf numFmtId="4" fontId="19" fillId="0" borderId="20" xfId="0" applyFont="1" applyBorder="1" applyAlignment="1">
      <alignment horizontal="left" vertical="center" wrapText="1"/>
    </xf>
    <xf numFmtId="4" fontId="19" fillId="0" borderId="14" xfId="0" applyFont="1" applyBorder="1" applyAlignment="1">
      <alignment horizontal="left" vertical="center" wrapText="1"/>
    </xf>
    <xf numFmtId="4" fontId="18" fillId="0" borderId="9" xfId="0" applyFont="1" applyBorder="1" applyAlignment="1">
      <alignment horizontal="left" vertical="center" wrapText="1"/>
    </xf>
    <xf numFmtId="4" fontId="18" fillId="0" borderId="25" xfId="0" applyFont="1" applyBorder="1" applyAlignment="1">
      <alignment horizontal="left" vertical="center" wrapText="1"/>
    </xf>
    <xf numFmtId="4" fontId="18" fillId="0" borderId="26" xfId="0" applyFont="1" applyBorder="1" applyAlignment="1">
      <alignment horizontal="left" vertical="center" wrapText="1"/>
    </xf>
    <xf numFmtId="4" fontId="13" fillId="5" borderId="0" xfId="0" applyFont="1" applyFill="1" applyAlignment="1">
      <alignment horizontal="left"/>
    </xf>
    <xf numFmtId="4" fontId="13" fillId="2" borderId="13" xfId="0" applyFont="1" applyFill="1" applyBorder="1" applyAlignment="1">
      <alignment horizontal="left" vertical="center"/>
    </xf>
    <xf numFmtId="4" fontId="13" fillId="2" borderId="22" xfId="0" applyFont="1" applyFill="1" applyBorder="1" applyAlignment="1">
      <alignment horizontal="left" vertical="center"/>
    </xf>
    <xf numFmtId="4" fontId="13" fillId="2" borderId="33" xfId="0" applyFont="1" applyFill="1" applyBorder="1" applyAlignment="1">
      <alignment horizontal="left" vertical="center"/>
    </xf>
    <xf numFmtId="4" fontId="6" fillId="3" borderId="3" xfId="0" applyFont="1" applyFill="1" applyBorder="1" applyAlignment="1">
      <alignment horizontal="center"/>
    </xf>
    <xf numFmtId="4" fontId="18" fillId="0" borderId="7" xfId="0" applyFont="1" applyBorder="1" applyAlignment="1">
      <alignment horizontal="left" vertical="center" wrapText="1"/>
    </xf>
    <xf numFmtId="4" fontId="18" fillId="0" borderId="23" xfId="0" applyFont="1" applyBorder="1" applyAlignment="1">
      <alignment horizontal="left" vertical="center" wrapText="1"/>
    </xf>
    <xf numFmtId="4" fontId="18" fillId="0" borderId="24" xfId="0" applyFont="1" applyBorder="1" applyAlignment="1">
      <alignment horizontal="left" vertical="center" wrapText="1"/>
    </xf>
    <xf numFmtId="4" fontId="15" fillId="3" borderId="3" xfId="0" applyFont="1" applyFill="1" applyBorder="1" applyAlignment="1">
      <alignment horizontal="center"/>
    </xf>
    <xf numFmtId="4" fontId="13" fillId="2" borderId="18" xfId="0" applyFont="1" applyFill="1" applyBorder="1" applyAlignment="1">
      <alignment horizontal="left" vertical="center"/>
    </xf>
    <xf numFmtId="4" fontId="13" fillId="2" borderId="19" xfId="0" applyFont="1" applyFill="1" applyBorder="1" applyAlignment="1">
      <alignment horizontal="left" vertical="center"/>
    </xf>
    <xf numFmtId="4" fontId="13" fillId="2" borderId="8" xfId="0" applyFont="1" applyFill="1" applyBorder="1" applyAlignment="1">
      <alignment horizontal="left" vertical="center"/>
    </xf>
    <xf numFmtId="4" fontId="13" fillId="2" borderId="14" xfId="0" applyFont="1" applyFill="1" applyBorder="1" applyAlignment="1">
      <alignment horizontal="left" vertical="center"/>
    </xf>
    <xf numFmtId="4" fontId="11" fillId="0" borderId="2" xfId="0" applyFont="1" applyBorder="1" applyAlignment="1">
      <alignment horizontal="left" vertical="center" wrapText="1"/>
    </xf>
    <xf numFmtId="4" fontId="14" fillId="6" borderId="17" xfId="0" applyFont="1" applyFill="1" applyBorder="1" applyAlignment="1">
      <alignment horizontal="left"/>
    </xf>
    <xf numFmtId="4" fontId="14" fillId="6" borderId="15" xfId="0" applyFont="1" applyFill="1" applyBorder="1" applyAlignment="1">
      <alignment horizontal="left"/>
    </xf>
    <xf numFmtId="4" fontId="13" fillId="6" borderId="8" xfId="0" applyFont="1" applyFill="1" applyBorder="1" applyAlignment="1">
      <alignment horizontal="left"/>
    </xf>
    <xf numFmtId="4" fontId="13" fillId="6" borderId="20" xfId="0" applyFont="1" applyFill="1" applyBorder="1" applyAlignment="1">
      <alignment horizontal="left"/>
    </xf>
    <xf numFmtId="4" fontId="13" fillId="6" borderId="14" xfId="0" applyFont="1" applyFill="1" applyBorder="1" applyAlignment="1">
      <alignment horizontal="left"/>
    </xf>
    <xf numFmtId="4" fontId="13" fillId="2" borderId="3" xfId="0" applyFont="1" applyFill="1" applyBorder="1" applyAlignment="1">
      <alignment horizontal="left" vertical="center"/>
    </xf>
    <xf numFmtId="4" fontId="13" fillId="6" borderId="3" xfId="0" applyFont="1" applyFill="1" applyBorder="1" applyAlignment="1">
      <alignment horizontal="left"/>
    </xf>
    <xf numFmtId="4" fontId="13" fillId="6" borderId="16" xfId="0" applyFont="1" applyFill="1" applyBorder="1" applyAlignment="1">
      <alignment horizontal="left"/>
    </xf>
    <xf numFmtId="4" fontId="18" fillId="0" borderId="27" xfId="0" applyFont="1" applyBorder="1" applyAlignment="1">
      <alignment horizontal="left" vertical="center" wrapText="1"/>
    </xf>
    <xf numFmtId="4" fontId="18" fillId="0" borderId="28" xfId="0" applyFont="1" applyBorder="1" applyAlignment="1">
      <alignment horizontal="left" vertical="center" wrapText="1"/>
    </xf>
    <xf numFmtId="4" fontId="18" fillId="0" borderId="17" xfId="0" applyFont="1" applyBorder="1" applyAlignment="1">
      <alignment horizontal="left" vertical="center" wrapText="1"/>
    </xf>
    <xf numFmtId="4" fontId="18" fillId="0" borderId="21" xfId="0" applyFont="1" applyBorder="1" applyAlignment="1">
      <alignment horizontal="left" vertical="center" wrapText="1"/>
    </xf>
    <xf numFmtId="4" fontId="18" fillId="0" borderId="0" xfId="0" applyFont="1" applyBorder="1" applyAlignment="1">
      <alignment horizontal="left" vertical="center" wrapText="1"/>
    </xf>
    <xf numFmtId="4" fontId="18" fillId="0" borderId="29" xfId="0" applyFont="1" applyBorder="1" applyAlignment="1">
      <alignment horizontal="left" vertical="center" wrapText="1"/>
    </xf>
    <xf numFmtId="4" fontId="20" fillId="6" borderId="3" xfId="0" applyNumberFormat="1" applyFont="1" applyFill="1" applyBorder="1" applyAlignment="1">
      <alignment horizontal="left"/>
    </xf>
    <xf numFmtId="4" fontId="20" fillId="6" borderId="5" xfId="0" applyNumberFormat="1" applyFont="1" applyFill="1" applyBorder="1" applyAlignment="1">
      <alignment horizontal="left"/>
    </xf>
    <xf numFmtId="4" fontId="20" fillId="6" borderId="31" xfId="0" applyNumberFormat="1" applyFont="1" applyFill="1" applyBorder="1" applyAlignment="1">
      <alignment horizontal="left"/>
    </xf>
    <xf numFmtId="4" fontId="15" fillId="3" borderId="10" xfId="0" applyFont="1" applyFill="1" applyBorder="1" applyAlignment="1">
      <alignment horizontal="center"/>
    </xf>
    <xf numFmtId="4" fontId="15" fillId="3" borderId="32" xfId="0" applyFont="1" applyFill="1" applyBorder="1" applyAlignment="1">
      <alignment horizontal="center"/>
    </xf>
    <xf numFmtId="4" fontId="18" fillId="0" borderId="20" xfId="0" applyFont="1" applyBorder="1" applyAlignment="1">
      <alignment horizontal="left" vertical="center" wrapText="1"/>
    </xf>
    <xf numFmtId="4" fontId="18" fillId="0" borderId="14" xfId="0" applyFont="1" applyBorder="1" applyAlignment="1">
      <alignment horizontal="left" vertical="center" wrapText="1"/>
    </xf>
    <xf numFmtId="4" fontId="13" fillId="6" borderId="3" xfId="0" applyNumberFormat="1" applyFont="1" applyFill="1" applyBorder="1" applyAlignment="1">
      <alignment horizontal="left"/>
    </xf>
    <xf numFmtId="4" fontId="13" fillId="6" borderId="5" xfId="0" applyNumberFormat="1" applyFont="1" applyFill="1" applyBorder="1" applyAlignment="1">
      <alignment horizontal="left"/>
    </xf>
    <xf numFmtId="4" fontId="15" fillId="3" borderId="10" xfId="0" applyNumberFormat="1" applyFont="1" applyFill="1" applyBorder="1" applyAlignment="1">
      <alignment horizontal="center"/>
    </xf>
    <xf numFmtId="4" fontId="15" fillId="3" borderId="32" xfId="0" applyNumberFormat="1" applyFont="1" applyFill="1" applyBorder="1" applyAlignment="1">
      <alignment horizontal="center"/>
    </xf>
    <xf numFmtId="4" fontId="11" fillId="0" borderId="2" xfId="0" applyNumberFormat="1" applyFont="1" applyBorder="1" applyAlignment="1">
      <alignment horizontal="left" vertical="center" wrapText="1"/>
    </xf>
    <xf numFmtId="4" fontId="11" fillId="0" borderId="13" xfId="0" applyNumberFormat="1" applyFont="1" applyBorder="1" applyAlignment="1">
      <alignment horizontal="left" vertical="center" wrapText="1"/>
    </xf>
    <xf numFmtId="4" fontId="13" fillId="2" borderId="3" xfId="0" applyNumberFormat="1" applyFont="1" applyFill="1" applyBorder="1" applyAlignment="1">
      <alignment horizontal="center"/>
    </xf>
    <xf numFmtId="4" fontId="21" fillId="8" borderId="7" xfId="0" applyFont="1" applyFill="1" applyBorder="1" applyAlignment="1">
      <alignment horizontal="left" vertical="center"/>
    </xf>
    <xf numFmtId="4" fontId="21" fillId="8" borderId="24" xfId="0" applyFont="1" applyFill="1" applyBorder="1" applyAlignment="1">
      <alignment horizontal="left" vertical="center"/>
    </xf>
    <xf numFmtId="4" fontId="21" fillId="8" borderId="8" xfId="0" applyFont="1" applyFill="1" applyBorder="1" applyAlignment="1">
      <alignment horizontal="left" vertical="center"/>
    </xf>
    <xf numFmtId="4" fontId="21" fillId="8" borderId="14" xfId="0" applyFont="1" applyFill="1" applyBorder="1" applyAlignment="1">
      <alignment horizontal="left" vertical="center"/>
    </xf>
    <xf numFmtId="4" fontId="0" fillId="0" borderId="14" xfId="0" applyBorder="1" applyAlignment="1">
      <alignment horizontal="left" vertical="center"/>
    </xf>
    <xf numFmtId="4" fontId="21" fillId="8" borderId="2" xfId="0" applyFont="1" applyFill="1" applyBorder="1" applyAlignment="1">
      <alignment horizontal="left" vertical="center"/>
    </xf>
    <xf numFmtId="4" fontId="0" fillId="0" borderId="2" xfId="0" applyBorder="1" applyAlignment="1">
      <alignment horizontal="left" vertical="center"/>
    </xf>
    <xf numFmtId="4" fontId="14" fillId="0" borderId="8" xfId="0" applyFont="1" applyBorder="1" applyAlignment="1">
      <alignment horizontal="left" vertical="center" wrapText="1"/>
    </xf>
    <xf numFmtId="4" fontId="14" fillId="0" borderId="20" xfId="0" applyFont="1" applyBorder="1" applyAlignment="1">
      <alignment horizontal="left" vertical="center" wrapText="1"/>
    </xf>
    <xf numFmtId="4" fontId="14" fillId="0" borderId="14" xfId="0" applyFont="1" applyBorder="1" applyAlignment="1">
      <alignment horizontal="left" vertical="center" wrapText="1"/>
    </xf>
    <xf numFmtId="4" fontId="10" fillId="5" borderId="0" xfId="0" applyFont="1" applyFill="1" applyAlignment="1">
      <alignment horizontal="left"/>
    </xf>
    <xf numFmtId="4" fontId="6" fillId="2" borderId="3" xfId="1" applyNumberFormat="1" applyFont="1" applyFill="1" applyBorder="1" applyAlignment="1">
      <alignment horizontal="center" wrapText="1"/>
    </xf>
    <xf numFmtId="3" fontId="6" fillId="2" borderId="3" xfId="1" applyFont="1" applyFill="1" applyBorder="1" applyAlignment="1">
      <alignment horizontal="center" wrapText="1"/>
    </xf>
    <xf numFmtId="49" fontId="6" fillId="2" borderId="3" xfId="1" applyNumberFormat="1" applyFont="1" applyFill="1" applyBorder="1" applyAlignment="1">
      <alignment horizontal="center" wrapText="1"/>
    </xf>
    <xf numFmtId="3" fontId="6" fillId="2" borderId="3" xfId="1" applyFont="1" applyFill="1" applyBorder="1" applyAlignment="1">
      <alignment horizontal="center"/>
    </xf>
    <xf numFmtId="4" fontId="54" fillId="0" borderId="4" xfId="0" applyFont="1" applyBorder="1" applyAlignment="1">
      <alignment horizontal="left" vertical="center" wrapText="1"/>
    </xf>
    <xf numFmtId="4" fontId="54" fillId="0" borderId="11" xfId="0" applyFont="1" applyBorder="1" applyAlignment="1">
      <alignment horizontal="left" vertical="center" wrapText="1"/>
    </xf>
    <xf numFmtId="4" fontId="54" fillId="0" borderId="122" xfId="0" applyFont="1" applyBorder="1" applyAlignment="1">
      <alignment horizontal="left" vertical="center" wrapText="1"/>
    </xf>
    <xf numFmtId="4" fontId="15" fillId="3" borderId="3" xfId="0" applyNumberFormat="1" applyFont="1" applyFill="1" applyBorder="1" applyAlignment="1">
      <alignment horizontal="center"/>
    </xf>
    <xf numFmtId="4" fontId="11" fillId="0" borderId="28" xfId="0" applyNumberFormat="1" applyFont="1" applyBorder="1" applyAlignment="1">
      <alignment horizontal="left" vertical="center" wrapText="1"/>
    </xf>
    <xf numFmtId="4" fontId="11" fillId="0" borderId="56" xfId="0" applyNumberFormat="1" applyFont="1" applyBorder="1" applyAlignment="1">
      <alignment horizontal="left" vertical="center" wrapText="1"/>
    </xf>
    <xf numFmtId="4" fontId="11" fillId="0" borderId="8" xfId="0" applyNumberFormat="1" applyFont="1" applyBorder="1" applyAlignment="1">
      <alignment horizontal="left" vertical="center" wrapText="1"/>
    </xf>
    <xf numFmtId="4" fontId="11" fillId="0" borderId="20" xfId="0" applyNumberFormat="1" applyFont="1" applyBorder="1" applyAlignment="1">
      <alignment horizontal="left" vertical="center" wrapText="1"/>
    </xf>
    <xf numFmtId="4" fontId="11" fillId="0" borderId="69" xfId="0" applyNumberFormat="1" applyFont="1" applyBorder="1" applyAlignment="1">
      <alignment horizontal="left" vertical="center" wrapText="1"/>
    </xf>
    <xf numFmtId="4" fontId="11" fillId="0" borderId="70" xfId="0" applyNumberFormat="1" applyFont="1" applyBorder="1" applyAlignment="1">
      <alignment horizontal="left" vertical="center" wrapText="1"/>
    </xf>
    <xf numFmtId="4" fontId="11" fillId="0" borderId="61" xfId="0" applyNumberFormat="1" applyFont="1" applyBorder="1" applyAlignment="1">
      <alignment horizontal="left" vertical="center" wrapText="1"/>
    </xf>
    <xf numFmtId="4" fontId="18" fillId="0" borderId="56" xfId="0" applyFont="1" applyBorder="1" applyAlignment="1">
      <alignment horizontal="left" vertical="center" wrapText="1"/>
    </xf>
    <xf numFmtId="4" fontId="18" fillId="0" borderId="58" xfId="0" applyFont="1" applyBorder="1" applyAlignment="1">
      <alignment horizontal="left" vertical="center" wrapText="1"/>
    </xf>
    <xf numFmtId="4" fontId="18" fillId="0" borderId="120" xfId="0" applyFont="1" applyBorder="1" applyAlignment="1">
      <alignment horizontal="left" vertical="center" wrapText="1"/>
    </xf>
    <xf numFmtId="4" fontId="18" fillId="0" borderId="70" xfId="0" applyFont="1" applyBorder="1" applyAlignment="1">
      <alignment horizontal="left" vertical="center" wrapText="1"/>
    </xf>
    <xf numFmtId="4" fontId="18" fillId="0" borderId="61" xfId="0" applyFont="1" applyBorder="1" applyAlignment="1">
      <alignment horizontal="left" vertical="center" wrapText="1"/>
    </xf>
    <xf numFmtId="4" fontId="18" fillId="0" borderId="69" xfId="0" applyFont="1" applyBorder="1" applyAlignment="1">
      <alignment horizontal="left" vertical="center" wrapText="1"/>
    </xf>
    <xf numFmtId="4" fontId="67" fillId="0" borderId="8" xfId="0" applyFont="1" applyBorder="1" applyAlignment="1">
      <alignment horizontal="left" vertical="center" wrapText="1"/>
    </xf>
    <xf numFmtId="4" fontId="67" fillId="0" borderId="20" xfId="0" applyFont="1" applyBorder="1" applyAlignment="1">
      <alignment horizontal="left" vertical="center" wrapText="1"/>
    </xf>
    <xf numFmtId="4" fontId="67" fillId="0" borderId="69" xfId="0" applyFont="1" applyBorder="1" applyAlignment="1">
      <alignment horizontal="left" vertical="center" wrapText="1"/>
    </xf>
    <xf numFmtId="4" fontId="18" fillId="0" borderId="71" xfId="0" applyFont="1" applyBorder="1" applyAlignment="1">
      <alignment horizontal="left" vertical="center" wrapText="1"/>
    </xf>
    <xf numFmtId="4" fontId="11" fillId="0" borderId="2" xfId="0" applyFont="1" applyBorder="1" applyAlignment="1">
      <alignment horizontal="left" vertical="top" wrapText="1"/>
    </xf>
    <xf numFmtId="4" fontId="13" fillId="5" borderId="0" xfId="0" applyFont="1" applyFill="1" applyBorder="1" applyAlignment="1">
      <alignment horizontal="left"/>
    </xf>
    <xf numFmtId="4" fontId="13" fillId="5" borderId="58" xfId="0" applyFont="1" applyFill="1" applyBorder="1" applyAlignment="1">
      <alignment horizontal="left"/>
    </xf>
    <xf numFmtId="4" fontId="18" fillId="0" borderId="68" xfId="0" applyFont="1" applyBorder="1" applyAlignment="1">
      <alignment horizontal="left" vertical="center" wrapText="1"/>
    </xf>
    <xf numFmtId="4" fontId="19" fillId="0" borderId="69" xfId="0" applyFont="1" applyBorder="1" applyAlignment="1">
      <alignment horizontal="left" vertical="center" wrapText="1"/>
    </xf>
    <xf numFmtId="4" fontId="15" fillId="3" borderId="4" xfId="0" applyFont="1" applyFill="1" applyBorder="1" applyAlignment="1">
      <alignment horizontal="center"/>
    </xf>
    <xf numFmtId="4" fontId="15" fillId="3" borderId="11" xfId="0" applyFont="1" applyFill="1" applyBorder="1" applyAlignment="1">
      <alignment horizontal="center"/>
    </xf>
    <xf numFmtId="3" fontId="6" fillId="2" borderId="3" xfId="1" applyFont="1" applyFill="1" applyBorder="1" applyAlignment="1">
      <alignment horizontal="center" vertical="center" wrapText="1"/>
    </xf>
    <xf numFmtId="4" fontId="6" fillId="2" borderId="3" xfId="1" applyNumberFormat="1" applyFont="1" applyFill="1" applyBorder="1" applyAlignment="1">
      <alignment horizontal="center" vertical="center" wrapText="1"/>
    </xf>
    <xf numFmtId="4" fontId="6" fillId="2" borderId="3" xfId="1" applyNumberFormat="1" applyFont="1" applyFill="1" applyBorder="1" applyAlignment="1">
      <alignment horizontal="center" vertical="center"/>
    </xf>
    <xf numFmtId="4" fontId="5" fillId="2" borderId="3" xfId="0" applyFont="1" applyFill="1" applyBorder="1" applyAlignment="1">
      <alignment horizontal="center" vertical="center" wrapText="1"/>
    </xf>
    <xf numFmtId="49" fontId="6" fillId="2" borderId="3" xfId="1" applyNumberFormat="1" applyFont="1" applyFill="1" applyBorder="1" applyAlignment="1">
      <alignment horizontal="center" vertical="center" wrapText="1"/>
    </xf>
    <xf numFmtId="3" fontId="6" fillId="2" borderId="3" xfId="1" applyFont="1" applyFill="1" applyBorder="1" applyAlignment="1">
      <alignment horizontal="center" vertical="center"/>
    </xf>
    <xf numFmtId="4" fontId="30" fillId="0" borderId="2" xfId="0" applyFont="1" applyBorder="1" applyAlignment="1">
      <alignment horizontal="left" vertical="center" wrapText="1"/>
    </xf>
    <xf numFmtId="4" fontId="30" fillId="0" borderId="48" xfId="0" applyFont="1" applyBorder="1" applyAlignment="1">
      <alignment horizontal="left" vertical="center" wrapText="1"/>
    </xf>
    <xf numFmtId="4" fontId="30" fillId="0" borderId="22" xfId="0" applyFont="1" applyBorder="1" applyAlignment="1">
      <alignment horizontal="left" vertical="center" wrapText="1"/>
    </xf>
    <xf numFmtId="4" fontId="30" fillId="0" borderId="50" xfId="0" applyFont="1" applyBorder="1" applyAlignment="1">
      <alignment horizontal="left" vertical="center" wrapText="1"/>
    </xf>
    <xf numFmtId="4" fontId="30" fillId="0" borderId="8" xfId="0" applyFont="1" applyBorder="1" applyAlignment="1">
      <alignment horizontal="left" vertical="center" wrapText="1"/>
    </xf>
    <xf numFmtId="4" fontId="30" fillId="0" borderId="14" xfId="0" applyFont="1" applyBorder="1" applyAlignment="1">
      <alignment horizontal="left" vertical="center" wrapText="1"/>
    </xf>
    <xf numFmtId="4" fontId="14" fillId="0" borderId="0" xfId="0" applyFont="1" applyBorder="1" applyAlignment="1">
      <alignment horizontal="left" vertical="center" wrapText="1"/>
    </xf>
    <xf numFmtId="4" fontId="30" fillId="0" borderId="1" xfId="0" applyFont="1" applyBorder="1" applyAlignment="1">
      <alignment horizontal="left" vertical="center" wrapText="1"/>
    </xf>
    <xf numFmtId="4" fontId="30" fillId="0" borderId="51" xfId="0" applyFont="1" applyBorder="1" applyAlignment="1">
      <alignment horizontal="left" vertical="center" wrapText="1"/>
    </xf>
    <xf numFmtId="4" fontId="30" fillId="0" borderId="6" xfId="0" applyFont="1" applyBorder="1" applyAlignment="1">
      <alignment horizontal="left" vertical="center" wrapText="1"/>
    </xf>
    <xf numFmtId="4" fontId="30" fillId="0" borderId="49" xfId="0" applyFont="1" applyBorder="1" applyAlignment="1">
      <alignment horizontal="left" vertical="center" wrapText="1"/>
    </xf>
    <xf numFmtId="4" fontId="12" fillId="0" borderId="0" xfId="0" applyFont="1" applyAlignment="1">
      <alignment horizontal="left"/>
    </xf>
    <xf numFmtId="4" fontId="15" fillId="3" borderId="16" xfId="0" applyFont="1" applyFill="1" applyBorder="1" applyAlignment="1">
      <alignment horizontal="center"/>
    </xf>
    <xf numFmtId="4" fontId="13" fillId="2" borderId="16" xfId="0" applyNumberFormat="1" applyFont="1" applyFill="1" applyBorder="1" applyAlignment="1">
      <alignment horizontal="center"/>
    </xf>
    <xf numFmtId="4" fontId="11" fillId="0" borderId="1" xfId="0" applyNumberFormat="1" applyFont="1" applyBorder="1" applyAlignment="1">
      <alignment horizontal="left" vertical="top" wrapText="1"/>
    </xf>
    <xf numFmtId="4" fontId="18" fillId="0" borderId="18" xfId="0" applyFont="1" applyBorder="1" applyAlignment="1">
      <alignment horizontal="left" vertical="center" wrapText="1"/>
    </xf>
    <xf numFmtId="4" fontId="19" fillId="0" borderId="47" xfId="0" applyFont="1" applyBorder="1" applyAlignment="1">
      <alignment horizontal="left" vertical="center" wrapText="1"/>
    </xf>
    <xf numFmtId="4" fontId="19" fillId="0" borderId="19" xfId="0" applyFont="1" applyBorder="1" applyAlignment="1">
      <alignment horizontal="left" vertical="center" wrapText="1"/>
    </xf>
    <xf numFmtId="4" fontId="13" fillId="6" borderId="31" xfId="0" applyNumberFormat="1" applyFont="1" applyFill="1" applyBorder="1" applyAlignment="1">
      <alignment horizontal="left"/>
    </xf>
    <xf numFmtId="4" fontId="15" fillId="3" borderId="16" xfId="0" applyNumberFormat="1" applyFont="1" applyFill="1" applyBorder="1" applyAlignment="1">
      <alignment horizontal="center"/>
    </xf>
    <xf numFmtId="4" fontId="11" fillId="0" borderId="11" xfId="0" applyFont="1" applyBorder="1" applyAlignment="1">
      <alignment horizontal="left" vertical="center" wrapText="1"/>
    </xf>
    <xf numFmtId="4" fontId="10" fillId="0" borderId="3" xfId="0" applyFont="1" applyBorder="1" applyAlignment="1">
      <alignment horizontal="left" vertical="center" wrapText="1"/>
    </xf>
    <xf numFmtId="4" fontId="10" fillId="0" borderId="16" xfId="0" applyFont="1" applyBorder="1" applyAlignment="1">
      <alignment horizontal="left" vertical="center" wrapText="1"/>
    </xf>
    <xf numFmtId="4" fontId="18" fillId="0" borderId="8" xfId="0" applyFont="1" applyFill="1" applyBorder="1" applyAlignment="1">
      <alignment horizontal="left" wrapText="1"/>
    </xf>
    <xf numFmtId="4" fontId="18" fillId="0" borderId="20" xfId="0" applyFont="1" applyFill="1" applyBorder="1" applyAlignment="1">
      <alignment horizontal="left" wrapText="1"/>
    </xf>
    <xf numFmtId="4" fontId="18" fillId="0" borderId="14" xfId="0" applyFont="1" applyFill="1" applyBorder="1" applyAlignment="1">
      <alignment horizontal="left" wrapText="1"/>
    </xf>
    <xf numFmtId="4" fontId="32" fillId="0" borderId="7" xfId="0" applyFont="1" applyBorder="1" applyAlignment="1">
      <alignment horizontal="left" vertical="center" wrapText="1"/>
    </xf>
    <xf numFmtId="4" fontId="32" fillId="0" borderId="23" xfId="0" applyFont="1" applyBorder="1" applyAlignment="1">
      <alignment horizontal="left" vertical="center" wrapText="1"/>
    </xf>
    <xf numFmtId="4" fontId="32" fillId="0" borderId="24" xfId="0" applyFont="1" applyBorder="1" applyAlignment="1">
      <alignment horizontal="left" vertical="center" wrapText="1"/>
    </xf>
    <xf numFmtId="4" fontId="30" fillId="0" borderId="72" xfId="0" applyFont="1" applyBorder="1" applyAlignment="1">
      <alignment horizontal="left" vertical="center" wrapText="1"/>
    </xf>
    <xf numFmtId="4" fontId="10" fillId="0" borderId="2" xfId="0" applyNumberFormat="1" applyFont="1" applyBorder="1" applyAlignment="1">
      <alignment horizontal="left" vertical="center" wrapText="1"/>
    </xf>
    <xf numFmtId="4" fontId="73" fillId="5" borderId="0" xfId="0" applyFont="1" applyFill="1" applyAlignment="1">
      <alignment horizontal="left" vertical="center"/>
    </xf>
    <xf numFmtId="4" fontId="48" fillId="9" borderId="4" xfId="0" applyFont="1" applyFill="1" applyBorder="1" applyAlignment="1">
      <alignment horizontal="center" vertical="center" wrapText="1"/>
    </xf>
    <xf numFmtId="4" fontId="48" fillId="9" borderId="11" xfId="0" applyFont="1" applyFill="1" applyBorder="1" applyAlignment="1">
      <alignment horizontal="center" vertical="center" wrapText="1"/>
    </xf>
    <xf numFmtId="4" fontId="77" fillId="0" borderId="53" xfId="0" applyFont="1" applyBorder="1" applyAlignment="1">
      <alignment horizontal="left" vertical="center" wrapText="1"/>
    </xf>
    <xf numFmtId="4" fontId="77" fillId="0" borderId="24" xfId="0" applyFont="1" applyBorder="1" applyAlignment="1">
      <alignment horizontal="left" vertical="center" wrapText="1"/>
    </xf>
    <xf numFmtId="4" fontId="77" fillId="0" borderId="72" xfId="0" applyFont="1" applyBorder="1" applyAlignment="1">
      <alignment horizontal="left" vertical="center" wrapText="1"/>
    </xf>
    <xf numFmtId="4" fontId="77" fillId="0" borderId="14" xfId="0" applyFont="1" applyBorder="1" applyAlignment="1">
      <alignment horizontal="left" vertical="center" wrapText="1"/>
    </xf>
    <xf numFmtId="4" fontId="82" fillId="0" borderId="72" xfId="0" applyFont="1" applyBorder="1" applyAlignment="1">
      <alignment horizontal="left" vertical="center" wrapText="1"/>
    </xf>
    <xf numFmtId="4" fontId="82" fillId="0" borderId="14" xfId="0" applyFont="1" applyBorder="1" applyAlignment="1">
      <alignment horizontal="left" vertical="center" wrapText="1"/>
    </xf>
    <xf numFmtId="4" fontId="88" fillId="0" borderId="72" xfId="0" applyFont="1" applyBorder="1" applyAlignment="1">
      <alignment horizontal="left" vertical="center" wrapText="1"/>
    </xf>
    <xf numFmtId="4" fontId="88" fillId="0" borderId="14" xfId="0" applyFont="1" applyBorder="1" applyAlignment="1">
      <alignment horizontal="left" vertical="center" wrapText="1"/>
    </xf>
    <xf numFmtId="4" fontId="54" fillId="0" borderId="72" xfId="0" applyFont="1" applyBorder="1" applyAlignment="1">
      <alignment horizontal="left" vertical="center" wrapText="1"/>
    </xf>
    <xf numFmtId="4" fontId="54" fillId="0" borderId="14" xfId="0" applyFont="1" applyBorder="1" applyAlignment="1">
      <alignment horizontal="left" vertical="center" wrapText="1"/>
    </xf>
    <xf numFmtId="4" fontId="84" fillId="0" borderId="72" xfId="0" applyFont="1" applyBorder="1" applyAlignment="1">
      <alignment horizontal="left" vertical="center" wrapText="1"/>
    </xf>
    <xf numFmtId="4" fontId="84" fillId="0" borderId="14" xfId="0" applyFont="1" applyBorder="1" applyAlignment="1">
      <alignment horizontal="left" vertical="center" wrapText="1"/>
    </xf>
    <xf numFmtId="4" fontId="79" fillId="0" borderId="72" xfId="0" applyFont="1" applyBorder="1" applyAlignment="1">
      <alignment horizontal="left" vertical="center" wrapText="1"/>
    </xf>
    <xf numFmtId="4" fontId="79" fillId="0" borderId="14" xfId="0" applyFont="1" applyBorder="1" applyAlignment="1">
      <alignment horizontal="left" vertical="center" wrapText="1"/>
    </xf>
    <xf numFmtId="4" fontId="79" fillId="0" borderId="54" xfId="0" applyFont="1" applyBorder="1" applyAlignment="1">
      <alignment horizontal="left" vertical="center" wrapText="1"/>
    </xf>
    <xf numFmtId="4" fontId="79" fillId="0" borderId="26" xfId="0" applyFont="1" applyBorder="1" applyAlignment="1">
      <alignment horizontal="left" vertical="center" wrapText="1"/>
    </xf>
    <xf numFmtId="4" fontId="81" fillId="9" borderId="4" xfId="0" applyFont="1" applyFill="1" applyBorder="1" applyAlignment="1">
      <alignment horizontal="center" vertical="center" wrapText="1"/>
    </xf>
    <xf numFmtId="4" fontId="81" fillId="9" borderId="11" xfId="0" applyFont="1" applyFill="1" applyBorder="1" applyAlignment="1">
      <alignment horizontal="center" vertical="center" wrapText="1"/>
    </xf>
    <xf numFmtId="4" fontId="81" fillId="19" borderId="4" xfId="0" applyFont="1" applyFill="1" applyBorder="1" applyAlignment="1">
      <alignment horizontal="center" vertical="center" wrapText="1"/>
    </xf>
    <xf numFmtId="4" fontId="81" fillId="19" borderId="11" xfId="0" applyFont="1" applyFill="1" applyBorder="1" applyAlignment="1">
      <alignment horizontal="center" vertical="center" wrapText="1"/>
    </xf>
    <xf numFmtId="4" fontId="90" fillId="0" borderId="4" xfId="0" applyFont="1" applyBorder="1" applyAlignment="1">
      <alignment horizontal="left" vertical="center" wrapText="1"/>
    </xf>
    <xf numFmtId="4" fontId="81" fillId="0" borderId="122" xfId="0" applyFont="1" applyBorder="1" applyAlignment="1">
      <alignment horizontal="left" vertical="center" wrapText="1"/>
    </xf>
    <xf numFmtId="4" fontId="81" fillId="0" borderId="11" xfId="0" applyFont="1" applyBorder="1" applyAlignment="1">
      <alignment horizontal="left" vertical="center" wrapText="1"/>
    </xf>
    <xf numFmtId="4" fontId="38" fillId="0" borderId="8" xfId="0" applyFont="1" applyBorder="1" applyAlignment="1">
      <alignment horizontal="left" vertical="center" wrapText="1"/>
    </xf>
    <xf numFmtId="4" fontId="14" fillId="0" borderId="3" xfId="0" applyFont="1" applyBorder="1" applyAlignment="1">
      <alignment horizontal="left" vertical="top" wrapText="1"/>
    </xf>
    <xf numFmtId="4" fontId="38" fillId="0" borderId="3" xfId="0" applyFont="1" applyBorder="1" applyAlignment="1">
      <alignment vertical="top" wrapText="1"/>
    </xf>
    <xf numFmtId="4" fontId="21" fillId="8" borderId="6" xfId="0" applyFont="1" applyFill="1" applyBorder="1" applyAlignment="1">
      <alignment horizontal="left" vertical="center"/>
    </xf>
    <xf numFmtId="4" fontId="0" fillId="0" borderId="6" xfId="0" applyBorder="1" applyAlignment="1">
      <alignment horizontal="left" vertical="center"/>
    </xf>
    <xf numFmtId="4" fontId="21" fillId="8" borderId="8" xfId="0" applyFont="1" applyFill="1" applyBorder="1" applyAlignment="1">
      <alignment horizontal="left" vertical="center" wrapText="1"/>
    </xf>
    <xf numFmtId="4" fontId="21" fillId="8" borderId="14" xfId="0" applyFont="1" applyFill="1" applyBorder="1" applyAlignment="1">
      <alignment horizontal="left" vertical="center" wrapText="1"/>
    </xf>
    <xf numFmtId="4" fontId="0" fillId="0" borderId="0" xfId="0" applyAlignment="1">
      <alignment horizontal="center" vertical="top"/>
    </xf>
    <xf numFmtId="4" fontId="13" fillId="5" borderId="55" xfId="0" applyFont="1" applyFill="1" applyBorder="1" applyAlignment="1">
      <alignment horizontal="left"/>
    </xf>
    <xf numFmtId="4" fontId="13" fillId="5" borderId="28" xfId="0" applyFont="1" applyFill="1" applyBorder="1" applyAlignment="1">
      <alignment horizontal="left"/>
    </xf>
    <xf numFmtId="4" fontId="13" fillId="5" borderId="56" xfId="0" applyFont="1" applyFill="1" applyBorder="1" applyAlignment="1">
      <alignment horizontal="left"/>
    </xf>
    <xf numFmtId="4" fontId="14" fillId="6" borderId="124" xfId="0" applyFont="1" applyFill="1" applyBorder="1" applyAlignment="1">
      <alignment horizontal="left"/>
    </xf>
    <xf numFmtId="4" fontId="13" fillId="2" borderId="129" xfId="0" applyFont="1" applyFill="1" applyBorder="1" applyAlignment="1">
      <alignment horizontal="left" vertical="center"/>
    </xf>
    <xf numFmtId="4" fontId="13" fillId="2" borderId="50" xfId="0" applyFont="1" applyFill="1" applyBorder="1" applyAlignment="1">
      <alignment horizontal="left" vertical="center"/>
    </xf>
    <xf numFmtId="4" fontId="13" fillId="2" borderId="31" xfId="0" applyFont="1" applyFill="1" applyBorder="1" applyAlignment="1">
      <alignment horizontal="left" vertical="center"/>
    </xf>
    <xf numFmtId="4" fontId="13" fillId="2" borderId="63" xfId="0" applyFont="1" applyFill="1" applyBorder="1" applyAlignment="1">
      <alignment horizontal="left" vertical="center"/>
    </xf>
    <xf numFmtId="4" fontId="11" fillId="0" borderId="73" xfId="0" applyFont="1" applyBorder="1" applyAlignment="1">
      <alignment horizontal="left" vertical="center" wrapText="1"/>
    </xf>
    <xf numFmtId="4" fontId="13" fillId="2" borderId="72" xfId="0" applyFont="1" applyFill="1" applyBorder="1" applyAlignment="1">
      <alignment horizontal="left" vertical="center"/>
    </xf>
    <xf numFmtId="4" fontId="13" fillId="2" borderId="54" xfId="0" applyFont="1" applyFill="1" applyBorder="1" applyAlignment="1">
      <alignment horizontal="left" vertical="center"/>
    </xf>
    <xf numFmtId="4" fontId="13" fillId="2" borderId="26" xfId="0" applyFont="1" applyFill="1" applyBorder="1" applyAlignment="1">
      <alignment horizontal="left" vertical="center"/>
    </xf>
    <xf numFmtId="4" fontId="13" fillId="6" borderId="9" xfId="0" applyFont="1" applyFill="1" applyBorder="1" applyAlignment="1">
      <alignment horizontal="left"/>
    </xf>
    <xf numFmtId="4" fontId="13" fillId="6" borderId="25" xfId="0" applyFont="1" applyFill="1" applyBorder="1" applyAlignment="1">
      <alignment horizontal="left"/>
    </xf>
    <xf numFmtId="4" fontId="13" fillId="6" borderId="71" xfId="0" applyFont="1" applyFill="1" applyBorder="1" applyAlignment="1">
      <alignment horizontal="left"/>
    </xf>
    <xf numFmtId="4" fontId="11" fillId="0" borderId="73" xfId="0" applyNumberFormat="1" applyFont="1" applyBorder="1" applyAlignment="1">
      <alignment horizontal="left" vertical="center" wrapText="1"/>
    </xf>
    <xf numFmtId="4" fontId="11" fillId="0" borderId="72" xfId="0" applyFont="1" applyFill="1" applyBorder="1" applyAlignment="1">
      <alignment horizontal="left" vertical="center" wrapText="1"/>
    </xf>
    <xf numFmtId="4" fontId="11" fillId="0" borderId="14" xfId="0" applyFont="1" applyFill="1" applyBorder="1" applyAlignment="1">
      <alignment horizontal="left" vertical="center" wrapText="1"/>
    </xf>
    <xf numFmtId="4" fontId="11" fillId="0" borderId="20" xfId="0" applyFont="1" applyFill="1" applyBorder="1" applyAlignment="1">
      <alignment horizontal="left" vertical="center" wrapText="1"/>
    </xf>
    <xf numFmtId="4" fontId="11" fillId="0" borderId="12" xfId="0" applyFont="1" applyFill="1" applyBorder="1" applyAlignment="1">
      <alignment horizontal="left" vertical="center" wrapText="1"/>
    </xf>
    <xf numFmtId="4" fontId="11" fillId="0" borderId="0" xfId="0" applyFont="1" applyFill="1" applyBorder="1" applyAlignment="1">
      <alignment horizontal="left" vertical="center" wrapText="1"/>
    </xf>
    <xf numFmtId="4" fontId="11" fillId="0" borderId="48" xfId="0" applyFont="1" applyBorder="1" applyAlignment="1">
      <alignment horizontal="left" vertical="center" wrapText="1"/>
    </xf>
    <xf numFmtId="4" fontId="11" fillId="0" borderId="49" xfId="0" applyFont="1" applyBorder="1" applyAlignment="1">
      <alignment horizontal="left" vertical="center" wrapText="1"/>
    </xf>
    <xf numFmtId="4" fontId="62" fillId="0" borderId="72" xfId="0" applyFont="1" applyBorder="1" applyAlignment="1">
      <alignment horizontal="left"/>
    </xf>
    <xf numFmtId="4" fontId="62" fillId="0" borderId="14" xfId="0" applyFont="1" applyBorder="1" applyAlignment="1">
      <alignment horizontal="left"/>
    </xf>
    <xf numFmtId="4" fontId="30" fillId="0" borderId="72" xfId="0" applyFont="1" applyFill="1" applyBorder="1" applyAlignment="1">
      <alignment horizontal="left" vertical="center" wrapText="1"/>
    </xf>
    <xf numFmtId="4" fontId="30" fillId="0" borderId="14" xfId="0" applyFont="1" applyFill="1" applyBorder="1" applyAlignment="1">
      <alignment horizontal="left" vertical="center" wrapText="1"/>
    </xf>
    <xf numFmtId="4" fontId="11" fillId="0" borderId="72" xfId="0" applyFont="1" applyBorder="1" applyAlignment="1">
      <alignment horizontal="left" vertical="center" wrapText="1"/>
    </xf>
    <xf numFmtId="4" fontId="11" fillId="0" borderId="14" xfId="0" applyFont="1" applyBorder="1" applyAlignment="1">
      <alignment horizontal="left" vertical="center" wrapText="1"/>
    </xf>
    <xf numFmtId="4" fontId="11" fillId="0" borderId="76" xfId="0" applyFont="1" applyBorder="1" applyAlignment="1">
      <alignment horizontal="left" vertical="center" wrapText="1"/>
    </xf>
    <xf numFmtId="4" fontId="30" fillId="0" borderId="54" xfId="0" applyFont="1" applyFill="1" applyBorder="1" applyAlignment="1">
      <alignment horizontal="left" vertical="center" wrapText="1"/>
    </xf>
    <xf numFmtId="4" fontId="30" fillId="0" borderId="26" xfId="0" applyFont="1" applyFill="1" applyBorder="1" applyAlignment="1">
      <alignment horizontal="left" vertical="center" wrapText="1"/>
    </xf>
    <xf numFmtId="4" fontId="21" fillId="8" borderId="0" xfId="0" applyFont="1" applyFill="1" applyBorder="1" applyAlignment="1">
      <alignment horizontal="left" vertical="center"/>
    </xf>
    <xf numFmtId="4" fontId="0" fillId="0" borderId="0" xfId="0" applyBorder="1" applyAlignment="1">
      <alignment horizontal="left" vertical="center"/>
    </xf>
    <xf numFmtId="3" fontId="7" fillId="10" borderId="3" xfId="1" applyFont="1" applyFill="1" applyBorder="1" applyAlignment="1">
      <alignment horizontal="left"/>
    </xf>
    <xf numFmtId="3" fontId="6" fillId="9" borderId="39" xfId="1" applyFont="1" applyFill="1" applyBorder="1" applyAlignment="1">
      <alignment horizontal="center" wrapText="1"/>
    </xf>
    <xf numFmtId="4" fontId="6" fillId="9" borderId="38" xfId="1" applyNumberFormat="1" applyFont="1" applyFill="1" applyBorder="1" applyAlignment="1">
      <alignment horizontal="center" wrapText="1"/>
    </xf>
    <xf numFmtId="4" fontId="6" fillId="9" borderId="3" xfId="1" applyNumberFormat="1" applyFont="1" applyFill="1" applyBorder="1" applyAlignment="1">
      <alignment horizontal="center"/>
    </xf>
    <xf numFmtId="3" fontId="6" fillId="9" borderId="34" xfId="1" applyFont="1" applyFill="1" applyBorder="1" applyAlignment="1">
      <alignment horizontal="center" wrapText="1"/>
    </xf>
    <xf numFmtId="4" fontId="5" fillId="9" borderId="38" xfId="0" applyFont="1" applyFill="1" applyBorder="1" applyAlignment="1">
      <alignment horizontal="center" wrapText="1"/>
    </xf>
    <xf numFmtId="49" fontId="6" fillId="9" borderId="35" xfId="1" applyNumberFormat="1" applyFont="1" applyFill="1" applyBorder="1" applyAlignment="1">
      <alignment horizontal="center" wrapText="1"/>
    </xf>
    <xf numFmtId="4" fontId="5" fillId="9" borderId="35" xfId="0" applyFont="1" applyFill="1" applyBorder="1" applyAlignment="1">
      <alignment horizontal="center" wrapText="1"/>
    </xf>
    <xf numFmtId="4" fontId="5" fillId="9" borderId="3" xfId="0" applyFont="1" applyFill="1" applyBorder="1" applyAlignment="1">
      <alignment horizontal="center" wrapText="1"/>
    </xf>
    <xf numFmtId="49" fontId="6" fillId="9" borderId="36" xfId="1" applyNumberFormat="1" applyFont="1" applyFill="1" applyBorder="1" applyAlignment="1">
      <alignment horizontal="center" wrapText="1"/>
    </xf>
    <xf numFmtId="49" fontId="6" fillId="9" borderId="39" xfId="1" applyNumberFormat="1" applyFont="1" applyFill="1" applyBorder="1" applyAlignment="1">
      <alignment horizontal="center" wrapText="1"/>
    </xf>
    <xf numFmtId="3" fontId="6" fillId="9" borderId="34" xfId="1" applyFont="1" applyFill="1" applyBorder="1" applyAlignment="1">
      <alignment horizontal="center"/>
    </xf>
    <xf numFmtId="3" fontId="6" fillId="9" borderId="35" xfId="1" applyFont="1" applyFill="1" applyBorder="1" applyAlignment="1">
      <alignment horizontal="center"/>
    </xf>
    <xf numFmtId="3" fontId="6" fillId="9" borderId="36" xfId="1" applyFont="1" applyFill="1" applyBorder="1" applyAlignment="1">
      <alignment horizontal="center"/>
    </xf>
    <xf numFmtId="3" fontId="6" fillId="9" borderId="52" xfId="1" applyFont="1" applyFill="1" applyBorder="1" applyAlignment="1">
      <alignment horizontal="center"/>
    </xf>
    <xf numFmtId="4" fontId="6" fillId="9" borderId="11" xfId="1" applyNumberFormat="1" applyFont="1" applyFill="1" applyBorder="1" applyAlignment="1">
      <alignment horizontal="center" wrapText="1"/>
    </xf>
    <xf numFmtId="4" fontId="11" fillId="0" borderId="8" xfId="0" applyFont="1" applyBorder="1" applyAlignment="1">
      <alignment horizontal="left" vertical="top" wrapText="1"/>
    </xf>
    <xf numFmtId="4" fontId="11" fillId="0" borderId="20" xfId="0" applyFont="1" applyBorder="1" applyAlignment="1">
      <alignment horizontal="left" vertical="top" wrapText="1"/>
    </xf>
    <xf numFmtId="4" fontId="11" fillId="0" borderId="14" xfId="0" applyFont="1" applyBorder="1" applyAlignment="1">
      <alignment horizontal="left" vertical="top" wrapText="1"/>
    </xf>
    <xf numFmtId="4" fontId="81" fillId="9" borderId="122" xfId="0" applyFont="1" applyFill="1" applyBorder="1" applyAlignment="1">
      <alignment horizontal="center" vertical="center" wrapText="1"/>
    </xf>
    <xf numFmtId="4" fontId="42" fillId="19" borderId="4" xfId="0" applyFont="1" applyFill="1" applyBorder="1" applyAlignment="1">
      <alignment horizontal="center" vertical="center" wrapText="1"/>
    </xf>
    <xf numFmtId="4" fontId="42" fillId="19" borderId="11" xfId="0" applyFont="1" applyFill="1" applyBorder="1" applyAlignment="1">
      <alignment horizontal="center" vertical="center" wrapText="1"/>
    </xf>
    <xf numFmtId="4" fontId="79" fillId="0" borderId="55" xfId="0" applyFont="1" applyFill="1" applyBorder="1" applyAlignment="1">
      <alignment horizontal="left" vertical="center" wrapText="1"/>
    </xf>
    <xf numFmtId="4" fontId="0" fillId="0" borderId="17" xfId="0" applyBorder="1" applyAlignment="1">
      <alignment horizontal="left" vertical="center" wrapText="1"/>
    </xf>
    <xf numFmtId="4" fontId="0" fillId="0" borderId="12" xfId="0" applyBorder="1" applyAlignment="1">
      <alignment horizontal="left" vertical="center" wrapText="1"/>
    </xf>
    <xf numFmtId="4" fontId="0" fillId="0" borderId="29" xfId="0" applyBorder="1" applyAlignment="1">
      <alignment horizontal="left" vertical="center" wrapText="1"/>
    </xf>
    <xf numFmtId="4" fontId="0" fillId="0" borderId="60" xfId="0" applyBorder="1" applyAlignment="1">
      <alignment horizontal="left" vertical="center" wrapText="1"/>
    </xf>
    <xf numFmtId="4" fontId="0" fillId="0" borderId="121" xfId="0" applyBorder="1" applyAlignment="1">
      <alignment horizontal="left" vertical="center" wrapText="1"/>
    </xf>
    <xf numFmtId="14" fontId="81" fillId="0" borderId="15" xfId="0" applyNumberFormat="1" applyFont="1" applyFill="1" applyBorder="1" applyAlignment="1">
      <alignment horizontal="center" vertical="center" wrapText="1"/>
    </xf>
    <xf numFmtId="4" fontId="0" fillId="0" borderId="22" xfId="0" applyBorder="1" applyAlignment="1">
      <alignment horizontal="center" vertical="center" wrapText="1"/>
    </xf>
    <xf numFmtId="4" fontId="0" fillId="0" borderId="33" xfId="0" applyBorder="1" applyAlignment="1">
      <alignment horizontal="center" vertical="center" wrapText="1"/>
    </xf>
    <xf numFmtId="14" fontId="81" fillId="0" borderId="124" xfId="0" applyNumberFormat="1" applyFont="1" applyFill="1" applyBorder="1" applyAlignment="1">
      <alignment horizontal="center" vertical="center" wrapText="1"/>
    </xf>
    <xf numFmtId="4" fontId="0" fillId="0" borderId="123" xfId="0" applyBorder="1" applyAlignment="1">
      <alignment horizontal="center" vertical="center" wrapText="1"/>
    </xf>
    <xf numFmtId="4" fontId="0" fillId="0" borderId="125" xfId="0" applyBorder="1" applyAlignment="1">
      <alignment horizontal="center" vertical="center" wrapText="1"/>
    </xf>
    <xf numFmtId="4" fontId="79" fillId="0" borderId="17" xfId="0" applyFont="1" applyFill="1" applyBorder="1" applyAlignment="1">
      <alignment horizontal="left" vertical="center" wrapText="1"/>
    </xf>
    <xf numFmtId="4" fontId="79" fillId="0" borderId="60" xfId="0" applyFont="1" applyFill="1" applyBorder="1" applyAlignment="1">
      <alignment horizontal="left" vertical="center" wrapText="1"/>
    </xf>
    <xf numFmtId="4" fontId="79" fillId="0" borderId="121" xfId="0" applyFont="1" applyFill="1" applyBorder="1" applyAlignment="1">
      <alignment horizontal="left" vertical="center" wrapText="1"/>
    </xf>
    <xf numFmtId="14" fontId="81" fillId="0" borderId="33" xfId="0" applyNumberFormat="1" applyFont="1" applyFill="1" applyBorder="1" applyAlignment="1">
      <alignment horizontal="center" vertical="center" wrapText="1"/>
    </xf>
    <xf numFmtId="14" fontId="81" fillId="0" borderId="125" xfId="0" applyNumberFormat="1" applyFont="1" applyFill="1" applyBorder="1" applyAlignment="1">
      <alignment horizontal="center" vertical="center" wrapText="1"/>
    </xf>
    <xf numFmtId="4" fontId="79" fillId="0" borderId="12" xfId="0" applyFont="1" applyFill="1" applyBorder="1" applyAlignment="1">
      <alignment horizontal="left" vertical="center" wrapText="1"/>
    </xf>
    <xf numFmtId="4" fontId="79" fillId="0" borderId="29" xfId="0" applyFont="1" applyFill="1" applyBorder="1" applyAlignment="1">
      <alignment horizontal="left" vertical="center" wrapText="1"/>
    </xf>
    <xf numFmtId="4" fontId="93" fillId="0" borderId="55" xfId="0" applyFont="1" applyFill="1" applyBorder="1" applyAlignment="1">
      <alignment horizontal="left" vertical="center" wrapText="1"/>
    </xf>
    <xf numFmtId="4" fontId="0" fillId="0" borderId="17" xfId="0" applyFill="1" applyBorder="1" applyAlignment="1">
      <alignment horizontal="left" vertical="center" wrapText="1"/>
    </xf>
    <xf numFmtId="4" fontId="0" fillId="0" borderId="60" xfId="0" applyFill="1" applyBorder="1" applyAlignment="1">
      <alignment horizontal="left" vertical="center" wrapText="1"/>
    </xf>
    <xf numFmtId="4" fontId="0" fillId="0" borderId="121" xfId="0" applyFill="1" applyBorder="1" applyAlignment="1">
      <alignment horizontal="left" vertical="center" wrapText="1"/>
    </xf>
    <xf numFmtId="4" fontId="0" fillId="0" borderId="33" xfId="0" applyFill="1" applyBorder="1" applyAlignment="1">
      <alignment horizontal="center" vertical="center" wrapText="1"/>
    </xf>
    <xf numFmtId="4" fontId="0" fillId="0" borderId="125" xfId="0" applyFill="1" applyBorder="1" applyAlignment="1">
      <alignment horizontal="center" vertical="center" wrapText="1"/>
    </xf>
    <xf numFmtId="4" fontId="93" fillId="0" borderId="17" xfId="0" applyFont="1" applyFill="1" applyBorder="1" applyAlignment="1">
      <alignment horizontal="left" vertical="center" wrapText="1"/>
    </xf>
    <xf numFmtId="4" fontId="93" fillId="0" borderId="60" xfId="0" applyFont="1" applyFill="1" applyBorder="1" applyAlignment="1">
      <alignment horizontal="left" vertical="center" wrapText="1"/>
    </xf>
    <xf numFmtId="4" fontId="93" fillId="0" borderId="121" xfId="0" applyFont="1" applyFill="1" applyBorder="1" applyAlignment="1">
      <alignment horizontal="left" vertical="center" wrapText="1"/>
    </xf>
    <xf numFmtId="14" fontId="81" fillId="0" borderId="22" xfId="0" applyNumberFormat="1" applyFont="1" applyFill="1" applyBorder="1" applyAlignment="1">
      <alignment horizontal="center" vertical="center" wrapText="1"/>
    </xf>
    <xf numFmtId="14" fontId="81" fillId="0" borderId="123" xfId="0" applyNumberFormat="1" applyFont="1" applyFill="1" applyBorder="1" applyAlignment="1">
      <alignment horizontal="center" vertical="center" wrapText="1"/>
    </xf>
    <xf numFmtId="4" fontId="93" fillId="0" borderId="12" xfId="0" applyFont="1" applyFill="1" applyBorder="1" applyAlignment="1">
      <alignment horizontal="left" vertical="center" wrapText="1"/>
    </xf>
    <xf numFmtId="4" fontId="93" fillId="0" borderId="29" xfId="0" applyFont="1" applyFill="1" applyBorder="1" applyAlignment="1">
      <alignment horizontal="left" vertical="center" wrapText="1"/>
    </xf>
    <xf numFmtId="4" fontId="94" fillId="0" borderId="17" xfId="0" applyFont="1" applyFill="1" applyBorder="1" applyAlignment="1">
      <alignment horizontal="left" vertical="center" wrapText="1"/>
    </xf>
    <xf numFmtId="4" fontId="94" fillId="0" borderId="60" xfId="0" applyFont="1" applyFill="1" applyBorder="1" applyAlignment="1">
      <alignment horizontal="left" vertical="center" wrapText="1"/>
    </xf>
    <xf numFmtId="4" fontId="94" fillId="0" borderId="121" xfId="0" applyFont="1" applyFill="1" applyBorder="1" applyAlignment="1">
      <alignment horizontal="left" vertical="center" wrapText="1"/>
    </xf>
    <xf numFmtId="4" fontId="91" fillId="0" borderId="0" xfId="0" applyFont="1" applyAlignment="1">
      <alignment horizontal="left"/>
    </xf>
    <xf numFmtId="4" fontId="0" fillId="0" borderId="28" xfId="0" applyBorder="1" applyAlignment="1">
      <alignment horizontal="left" vertical="center" wrapText="1"/>
    </xf>
    <xf numFmtId="4" fontId="42" fillId="20" borderId="3" xfId="0" applyNumberFormat="1" applyFont="1" applyFill="1" applyBorder="1" applyAlignment="1">
      <alignment horizontal="left"/>
    </xf>
    <xf numFmtId="4" fontId="42" fillId="20" borderId="5" xfId="0" applyNumberFormat="1" applyFont="1" applyFill="1" applyBorder="1" applyAlignment="1">
      <alignment horizontal="left"/>
    </xf>
    <xf numFmtId="4" fontId="42" fillId="20" borderId="31" xfId="0" applyNumberFormat="1" applyFont="1" applyFill="1" applyBorder="1" applyAlignment="1">
      <alignment horizontal="left"/>
    </xf>
    <xf numFmtId="4" fontId="48" fillId="20" borderId="3" xfId="0" applyNumberFormat="1" applyFont="1" applyFill="1" applyBorder="1" applyAlignment="1">
      <alignment horizontal="left"/>
    </xf>
    <xf numFmtId="4" fontId="48" fillId="20" borderId="5" xfId="0" applyNumberFormat="1" applyFont="1" applyFill="1" applyBorder="1" applyAlignment="1">
      <alignment horizontal="left"/>
    </xf>
    <xf numFmtId="4" fontId="92" fillId="0" borderId="22" xfId="0" applyNumberFormat="1" applyFont="1" applyBorder="1" applyAlignment="1">
      <alignment horizontal="left" vertical="top" wrapText="1"/>
    </xf>
    <xf numFmtId="4" fontId="48" fillId="21" borderId="4" xfId="0" applyFont="1" applyFill="1" applyBorder="1" applyAlignment="1">
      <alignment horizontal="center" vertical="center" wrapText="1"/>
    </xf>
    <xf numFmtId="4" fontId="48" fillId="21" borderId="11" xfId="0" applyFont="1" applyFill="1" applyBorder="1" applyAlignment="1">
      <alignment horizontal="center" vertical="center" wrapText="1"/>
    </xf>
    <xf numFmtId="4" fontId="39" fillId="0" borderId="53" xfId="0" applyFont="1" applyBorder="1" applyAlignment="1">
      <alignment horizontal="left" vertical="center" wrapText="1"/>
    </xf>
    <xf numFmtId="4" fontId="39" fillId="0" borderId="23" xfId="0" applyFont="1" applyBorder="1" applyAlignment="1">
      <alignment horizontal="left" vertical="center" wrapText="1"/>
    </xf>
    <xf numFmtId="4" fontId="39" fillId="0" borderId="54" xfId="0" applyFont="1" applyBorder="1" applyAlignment="1">
      <alignment horizontal="left" vertical="center" wrapText="1"/>
    </xf>
    <xf numFmtId="4" fontId="39" fillId="0" borderId="25" xfId="0" applyFont="1" applyBorder="1" applyAlignment="1">
      <alignment horizontal="left" vertical="center" wrapText="1"/>
    </xf>
    <xf numFmtId="4" fontId="0" fillId="0" borderId="24" xfId="0" applyBorder="1" applyAlignment="1">
      <alignment vertical="center" wrapText="1"/>
    </xf>
    <xf numFmtId="4" fontId="0" fillId="0" borderId="26" xfId="0" applyBorder="1" applyAlignment="1">
      <alignment vertical="center" wrapText="1"/>
    </xf>
    <xf numFmtId="4" fontId="13" fillId="3" borderId="4" xfId="0" applyFont="1" applyFill="1" applyBorder="1" applyAlignment="1">
      <alignment horizontal="center" vertical="center"/>
    </xf>
    <xf numFmtId="4" fontId="0" fillId="3" borderId="11" xfId="0" applyFill="1" applyBorder="1" applyAlignment="1">
      <alignment horizontal="center" vertical="center"/>
    </xf>
    <xf numFmtId="4" fontId="41" fillId="0" borderId="72" xfId="0" applyFont="1" applyBorder="1" applyAlignment="1">
      <alignment horizontal="left" vertical="center" wrapText="1"/>
    </xf>
    <xf numFmtId="4" fontId="41" fillId="0" borderId="69" xfId="0" applyFont="1" applyBorder="1" applyAlignment="1">
      <alignment horizontal="left" vertical="center" wrapText="1"/>
    </xf>
    <xf numFmtId="4" fontId="20" fillId="2" borderId="4" xfId="0" applyFont="1" applyFill="1" applyBorder="1" applyAlignment="1">
      <alignment horizontal="center" vertical="center" wrapText="1"/>
    </xf>
    <xf numFmtId="4" fontId="20" fillId="2" borderId="11" xfId="0" applyFont="1" applyFill="1" applyBorder="1" applyAlignment="1">
      <alignment horizontal="center" vertical="center" wrapText="1"/>
    </xf>
    <xf numFmtId="4" fontId="20" fillId="11" borderId="4" xfId="0" applyFont="1" applyFill="1" applyBorder="1" applyAlignment="1">
      <alignment horizontal="center" vertical="center" wrapText="1"/>
    </xf>
    <xf numFmtId="4" fontId="20" fillId="11" borderId="11" xfId="0" applyFont="1" applyFill="1" applyBorder="1" applyAlignment="1">
      <alignment horizontal="center" vertical="center" wrapText="1"/>
    </xf>
    <xf numFmtId="4" fontId="41" fillId="0" borderId="12" xfId="0" applyFont="1" applyBorder="1" applyAlignment="1">
      <alignment horizontal="left" vertical="center" wrapText="1"/>
    </xf>
    <xf numFmtId="4" fontId="41" fillId="0" borderId="58" xfId="0" applyFont="1" applyBorder="1" applyAlignment="1">
      <alignment horizontal="left" vertical="center" wrapText="1"/>
    </xf>
    <xf numFmtId="4" fontId="41" fillId="0" borderId="55" xfId="0" applyFont="1" applyBorder="1" applyAlignment="1">
      <alignment horizontal="left" vertical="center" wrapText="1"/>
    </xf>
    <xf numFmtId="4" fontId="41" fillId="0" borderId="56" xfId="0" applyFont="1" applyBorder="1" applyAlignment="1">
      <alignment horizontal="left" vertical="center" wrapText="1"/>
    </xf>
    <xf numFmtId="4" fontId="41" fillId="0" borderId="53" xfId="0" applyFont="1" applyBorder="1" applyAlignment="1">
      <alignment horizontal="left" vertical="center" wrapText="1"/>
    </xf>
    <xf numFmtId="4" fontId="41" fillId="0" borderId="68" xfId="0" applyFont="1" applyBorder="1" applyAlignment="1">
      <alignment horizontal="left" vertical="center" wrapText="1"/>
    </xf>
    <xf numFmtId="4" fontId="41" fillId="0" borderId="60" xfId="0" applyFont="1" applyBorder="1" applyAlignment="1">
      <alignment horizontal="left" vertical="center" wrapText="1"/>
    </xf>
    <xf numFmtId="4" fontId="41" fillId="0" borderId="61" xfId="0" applyFont="1" applyBorder="1" applyAlignment="1">
      <alignment horizontal="left" vertical="center" wrapText="1"/>
    </xf>
    <xf numFmtId="4" fontId="41" fillId="0" borderId="54" xfId="0" applyFont="1" applyBorder="1" applyAlignment="1">
      <alignment horizontal="left" vertical="center" wrapText="1"/>
    </xf>
    <xf numFmtId="4" fontId="41" fillId="0" borderId="71" xfId="0" applyFont="1" applyBorder="1" applyAlignment="1">
      <alignment horizontal="left" vertical="center" wrapText="1"/>
    </xf>
    <xf numFmtId="4" fontId="41" fillId="0" borderId="53" xfId="0" applyFont="1" applyBorder="1" applyAlignment="1">
      <alignment horizontal="center" vertical="center" wrapText="1"/>
    </xf>
    <xf numFmtId="4" fontId="41" fillId="0" borderId="68" xfId="0" applyFont="1" applyBorder="1" applyAlignment="1">
      <alignment horizontal="center" vertical="center" wrapText="1"/>
    </xf>
    <xf numFmtId="4" fontId="18" fillId="0" borderId="60" xfId="0" applyFont="1" applyBorder="1" applyAlignment="1">
      <alignment horizontal="left" vertical="center" wrapText="1"/>
    </xf>
    <xf numFmtId="4" fontId="41" fillId="4" borderId="53" xfId="0" applyFont="1" applyFill="1" applyBorder="1" applyAlignment="1">
      <alignment horizontal="left" vertical="center" wrapText="1"/>
    </xf>
    <xf numFmtId="4" fontId="41" fillId="4" borderId="68" xfId="0" applyFont="1" applyFill="1" applyBorder="1" applyAlignment="1">
      <alignment horizontal="left" vertical="center" wrapText="1"/>
    </xf>
    <xf numFmtId="4" fontId="41" fillId="4" borderId="8" xfId="0" applyFont="1" applyFill="1" applyBorder="1" applyAlignment="1">
      <alignment horizontal="left" vertical="center" wrapText="1"/>
    </xf>
    <xf numFmtId="4" fontId="41" fillId="4" borderId="14" xfId="0" applyFont="1" applyFill="1" applyBorder="1" applyAlignment="1">
      <alignment horizontal="left" vertical="center" wrapText="1"/>
    </xf>
    <xf numFmtId="4" fontId="41" fillId="0" borderId="0" xfId="0" applyFont="1" applyBorder="1" applyAlignment="1">
      <alignment horizontal="left" vertical="center" wrapText="1"/>
    </xf>
    <xf numFmtId="4" fontId="41" fillId="0" borderId="12" xfId="0" applyFont="1" applyBorder="1" applyAlignment="1">
      <alignment horizontal="left" vertical="top" wrapText="1"/>
    </xf>
    <xf numFmtId="4" fontId="41" fillId="0" borderId="0" xfId="0" applyFont="1" applyBorder="1" applyAlignment="1">
      <alignment horizontal="left" vertical="top" wrapText="1"/>
    </xf>
    <xf numFmtId="4" fontId="42" fillId="0" borderId="58" xfId="0" applyFont="1" applyBorder="1" applyAlignment="1">
      <alignment horizontal="left" vertical="center" wrapText="1"/>
    </xf>
    <xf numFmtId="4" fontId="40" fillId="0" borderId="55" xfId="0" applyFont="1" applyFill="1" applyBorder="1" applyAlignment="1">
      <alignment horizontal="left" vertical="center" wrapText="1"/>
    </xf>
    <xf numFmtId="4" fontId="40" fillId="0" borderId="56" xfId="0" applyFont="1" applyFill="1" applyBorder="1" applyAlignment="1">
      <alignment horizontal="left" vertical="center" wrapText="1"/>
    </xf>
    <xf numFmtId="4" fontId="41" fillId="0" borderId="28" xfId="0" applyFont="1" applyBorder="1" applyAlignment="1">
      <alignment horizontal="left" vertical="center" wrapText="1"/>
    </xf>
    <xf numFmtId="4" fontId="40" fillId="0" borderId="60" xfId="0" applyFont="1" applyFill="1" applyBorder="1" applyAlignment="1">
      <alignment horizontal="left" vertical="center" wrapText="1"/>
    </xf>
    <xf numFmtId="4" fontId="40" fillId="0" borderId="61" xfId="0" applyFont="1" applyFill="1" applyBorder="1" applyAlignment="1">
      <alignment horizontal="left" vertical="center" wrapText="1"/>
    </xf>
    <xf numFmtId="4" fontId="40" fillId="0" borderId="63" xfId="0" applyFont="1" applyFill="1" applyBorder="1" applyAlignment="1">
      <alignment horizontal="left" vertical="center" wrapText="1"/>
    </xf>
    <xf numFmtId="4" fontId="40" fillId="0" borderId="64" xfId="0" applyFont="1" applyFill="1" applyBorder="1" applyAlignment="1">
      <alignment horizontal="left" vertical="center" wrapText="1"/>
    </xf>
    <xf numFmtId="4" fontId="40" fillId="0" borderId="12" xfId="0" applyFont="1" applyFill="1" applyBorder="1" applyAlignment="1">
      <alignment horizontal="left" vertical="center" wrapText="1"/>
    </xf>
    <xf numFmtId="4" fontId="40" fillId="0" borderId="58" xfId="0" applyFont="1" applyFill="1" applyBorder="1" applyAlignment="1">
      <alignment horizontal="left" vertical="center" wrapText="1"/>
    </xf>
    <xf numFmtId="4" fontId="12" fillId="0" borderId="0" xfId="0" applyFont="1" applyAlignment="1"/>
    <xf numFmtId="4" fontId="11" fillId="0" borderId="8" xfId="0" applyFont="1" applyBorder="1" applyAlignment="1">
      <alignment horizontal="left" vertical="center" wrapText="1"/>
    </xf>
    <xf numFmtId="4" fontId="11" fillId="0" borderId="20" xfId="0" applyFont="1" applyBorder="1" applyAlignment="1">
      <alignment horizontal="left" vertical="center" wrapText="1"/>
    </xf>
    <xf numFmtId="4" fontId="30" fillId="0" borderId="9" xfId="0" applyFont="1" applyBorder="1" applyAlignment="1">
      <alignment horizontal="left" vertical="center" wrapText="1"/>
    </xf>
    <xf numFmtId="4" fontId="30" fillId="0" borderId="25" xfId="0" applyFont="1" applyBorder="1" applyAlignment="1">
      <alignment horizontal="left" vertical="center" wrapText="1"/>
    </xf>
    <xf numFmtId="4" fontId="30" fillId="0" borderId="26" xfId="0" applyFont="1" applyBorder="1" applyAlignment="1">
      <alignment horizontal="left" vertical="center" wrapText="1"/>
    </xf>
    <xf numFmtId="4" fontId="30" fillId="0" borderId="7" xfId="0" applyFont="1" applyBorder="1" applyAlignment="1">
      <alignment horizontal="left" vertical="center" wrapText="1"/>
    </xf>
    <xf numFmtId="4" fontId="30" fillId="0" borderId="23" xfId="0" applyFont="1" applyBorder="1" applyAlignment="1">
      <alignment horizontal="left" vertical="center" wrapText="1"/>
    </xf>
    <xf numFmtId="4" fontId="30" fillId="0" borderId="24" xfId="0" applyFont="1" applyBorder="1" applyAlignment="1">
      <alignment horizontal="left" vertical="center" wrapText="1"/>
    </xf>
    <xf numFmtId="4" fontId="45" fillId="0" borderId="20" xfId="0" applyFont="1" applyBorder="1" applyAlignment="1">
      <alignment horizontal="left" vertical="center" wrapText="1"/>
    </xf>
    <xf numFmtId="4" fontId="45" fillId="0" borderId="14" xfId="0" applyFont="1" applyBorder="1" applyAlignment="1">
      <alignment horizontal="left" vertical="center" wrapText="1"/>
    </xf>
    <xf numFmtId="4" fontId="46" fillId="8" borderId="2" xfId="0" applyFont="1" applyFill="1" applyBorder="1" applyAlignment="1">
      <alignment horizontal="left" vertical="center"/>
    </xf>
    <xf numFmtId="4" fontId="47" fillId="0" borderId="2" xfId="0" applyFont="1" applyBorder="1" applyAlignment="1">
      <alignment horizontal="left" vertical="center"/>
    </xf>
    <xf numFmtId="4" fontId="46" fillId="8" borderId="6" xfId="0" applyFont="1" applyFill="1" applyBorder="1" applyAlignment="1">
      <alignment horizontal="left" vertical="center"/>
    </xf>
    <xf numFmtId="4" fontId="47" fillId="0" borderId="6" xfId="0" applyFont="1" applyBorder="1" applyAlignment="1">
      <alignment horizontal="left" vertical="center"/>
    </xf>
    <xf numFmtId="4" fontId="14" fillId="0" borderId="8" xfId="0" applyFont="1" applyBorder="1" applyAlignment="1"/>
    <xf numFmtId="4" fontId="0" fillId="0" borderId="20" xfId="0" applyBorder="1" applyAlignment="1"/>
    <xf numFmtId="4" fontId="0" fillId="0" borderId="14" xfId="0" applyBorder="1" applyAlignment="1"/>
    <xf numFmtId="4" fontId="48" fillId="2" borderId="2" xfId="0" applyFont="1" applyFill="1" applyBorder="1" applyAlignment="1">
      <alignment horizontal="left" vertical="center"/>
    </xf>
    <xf numFmtId="4" fontId="49" fillId="2" borderId="2" xfId="0" applyFont="1" applyFill="1" applyBorder="1" applyAlignment="1">
      <alignment horizontal="left" vertical="center"/>
    </xf>
    <xf numFmtId="4" fontId="46" fillId="8" borderId="8" xfId="0" applyFont="1" applyFill="1" applyBorder="1" applyAlignment="1">
      <alignment horizontal="left" vertical="center"/>
    </xf>
    <xf numFmtId="4" fontId="46" fillId="8" borderId="8" xfId="0" applyFont="1" applyFill="1" applyBorder="1" applyAlignment="1">
      <alignment horizontal="left" vertical="center" wrapText="1"/>
    </xf>
    <xf numFmtId="4" fontId="0" fillId="0" borderId="14" xfId="0" applyBorder="1" applyAlignment="1">
      <alignment horizontal="left" vertical="center" wrapText="1"/>
    </xf>
    <xf numFmtId="4" fontId="0" fillId="0" borderId="20" xfId="0" applyBorder="1" applyAlignment="1">
      <alignment horizontal="left" vertical="center" wrapText="1"/>
    </xf>
    <xf numFmtId="4" fontId="14" fillId="0" borderId="73" xfId="0" applyFont="1" applyBorder="1" applyAlignment="1">
      <alignment horizontal="left" vertical="center" wrapText="1"/>
    </xf>
    <xf numFmtId="4" fontId="14" fillId="0" borderId="59" xfId="0" applyFont="1" applyBorder="1" applyAlignment="1">
      <alignment horizontal="left" vertical="center" wrapText="1"/>
    </xf>
    <xf numFmtId="4" fontId="14" fillId="0" borderId="48" xfId="0" applyFont="1" applyBorder="1" applyAlignment="1">
      <alignment horizontal="left" vertical="center" wrapText="1"/>
    </xf>
    <xf numFmtId="4" fontId="0" fillId="0" borderId="59" xfId="0" applyBorder="1" applyAlignment="1">
      <alignment horizontal="left" vertical="center" wrapText="1"/>
    </xf>
    <xf numFmtId="4" fontId="0" fillId="0" borderId="48" xfId="0" applyBorder="1" applyAlignment="1">
      <alignment horizontal="left" vertical="center" wrapText="1"/>
    </xf>
    <xf numFmtId="3" fontId="51" fillId="0" borderId="0" xfId="1" applyFont="1" applyBorder="1" applyAlignment="1">
      <alignment horizontal="center"/>
    </xf>
    <xf numFmtId="49" fontId="54" fillId="9" borderId="55" xfId="1" applyNumberFormat="1" applyFont="1" applyFill="1" applyBorder="1" applyAlignment="1">
      <alignment horizontal="center" wrapText="1"/>
    </xf>
    <xf numFmtId="4" fontId="30" fillId="9" borderId="56" xfId="0" applyFont="1" applyFill="1" applyBorder="1" applyAlignment="1">
      <alignment horizontal="center" wrapText="1"/>
    </xf>
    <xf numFmtId="4" fontId="30" fillId="9" borderId="12" xfId="0" applyFont="1" applyFill="1" applyBorder="1" applyAlignment="1">
      <alignment horizontal="center" wrapText="1"/>
    </xf>
    <xf numFmtId="4" fontId="30" fillId="9" borderId="58" xfId="0" applyFont="1" applyFill="1" applyBorder="1" applyAlignment="1">
      <alignment horizontal="center" wrapText="1"/>
    </xf>
    <xf numFmtId="4" fontId="30" fillId="9" borderId="60" xfId="0" applyFont="1" applyFill="1" applyBorder="1" applyAlignment="1">
      <alignment horizontal="center" wrapText="1"/>
    </xf>
    <xf numFmtId="4" fontId="30" fillId="9" borderId="61" xfId="0" applyFont="1" applyFill="1" applyBorder="1" applyAlignment="1">
      <alignment horizontal="center" wrapText="1"/>
    </xf>
    <xf numFmtId="49" fontId="54" fillId="9" borderId="10" xfId="1" applyNumberFormat="1" applyFont="1" applyFill="1" applyBorder="1" applyAlignment="1">
      <alignment horizontal="center" wrapText="1"/>
    </xf>
    <xf numFmtId="49" fontId="54" fillId="9" borderId="62" xfId="1" applyNumberFormat="1" applyFont="1" applyFill="1" applyBorder="1" applyAlignment="1">
      <alignment horizontal="center" wrapText="1"/>
    </xf>
    <xf numFmtId="49" fontId="54" fillId="9" borderId="5" xfId="1" applyNumberFormat="1" applyFont="1" applyFill="1" applyBorder="1" applyAlignment="1">
      <alignment horizontal="center" wrapText="1"/>
    </xf>
    <xf numFmtId="3" fontId="54" fillId="2" borderId="34" xfId="1" applyFont="1" applyFill="1" applyBorder="1" applyAlignment="1">
      <alignment horizontal="center"/>
    </xf>
    <xf numFmtId="3" fontId="54" fillId="2" borderId="35" xfId="1" applyFont="1" applyFill="1" applyBorder="1" applyAlignment="1">
      <alignment horizontal="center"/>
    </xf>
    <xf numFmtId="3" fontId="54" fillId="2" borderId="74" xfId="1" applyFont="1" applyFill="1" applyBorder="1" applyAlignment="1">
      <alignment horizontal="center"/>
    </xf>
    <xf numFmtId="3" fontId="54" fillId="2" borderId="36" xfId="1" applyFont="1" applyFill="1" applyBorder="1" applyAlignment="1">
      <alignment horizontal="center"/>
    </xf>
    <xf numFmtId="3" fontId="54" fillId="2" borderId="52" xfId="1" applyFont="1" applyFill="1" applyBorder="1" applyAlignment="1">
      <alignment horizontal="center"/>
    </xf>
    <xf numFmtId="4" fontId="54" fillId="2" borderId="38" xfId="1" applyNumberFormat="1" applyFont="1" applyFill="1" applyBorder="1" applyAlignment="1">
      <alignment horizontal="center" wrapText="1"/>
    </xf>
    <xf numFmtId="4" fontId="54" fillId="2" borderId="3" xfId="1" applyNumberFormat="1" applyFont="1" applyFill="1" applyBorder="1" applyAlignment="1">
      <alignment horizontal="center"/>
    </xf>
    <xf numFmtId="3" fontId="54" fillId="2" borderId="39" xfId="1" applyFont="1" applyFill="1" applyBorder="1" applyAlignment="1">
      <alignment horizontal="center" wrapText="1"/>
    </xf>
    <xf numFmtId="4" fontId="54" fillId="2" borderId="11" xfId="1" applyNumberFormat="1" applyFont="1" applyFill="1" applyBorder="1" applyAlignment="1">
      <alignment horizontal="center" wrapText="1"/>
    </xf>
    <xf numFmtId="3" fontId="54" fillId="0" borderId="51" xfId="1" applyFont="1" applyBorder="1" applyAlignment="1">
      <alignment horizontal="left"/>
    </xf>
    <xf numFmtId="3" fontId="54" fillId="0" borderId="75" xfId="1" applyFont="1" applyBorder="1" applyAlignment="1">
      <alignment horizontal="left"/>
    </xf>
    <xf numFmtId="3" fontId="54" fillId="2" borderId="4" xfId="1" applyFont="1" applyFill="1" applyBorder="1" applyAlignment="1">
      <alignment horizontal="center" wrapText="1"/>
    </xf>
    <xf numFmtId="3" fontId="54" fillId="10" borderId="3" xfId="1" applyFont="1" applyFill="1" applyBorder="1" applyAlignment="1">
      <alignment horizontal="left"/>
    </xf>
    <xf numFmtId="3" fontId="54" fillId="0" borderId="48" xfId="1" applyFont="1" applyBorder="1" applyAlignment="1">
      <alignment horizontal="left"/>
    </xf>
    <xf numFmtId="3" fontId="54" fillId="0" borderId="73" xfId="1" applyFont="1" applyBorder="1" applyAlignment="1">
      <alignment horizontal="left"/>
    </xf>
    <xf numFmtId="3" fontId="54" fillId="0" borderId="51" xfId="1" applyFont="1" applyFill="1" applyBorder="1" applyAlignment="1">
      <alignment horizontal="left"/>
    </xf>
    <xf numFmtId="3" fontId="54" fillId="0" borderId="75" xfId="1" applyFont="1" applyFill="1" applyBorder="1" applyAlignment="1">
      <alignment horizontal="left"/>
    </xf>
    <xf numFmtId="3" fontId="56" fillId="0" borderId="53" xfId="1" applyFont="1" applyBorder="1" applyAlignment="1">
      <alignment horizontal="left"/>
    </xf>
    <xf numFmtId="3" fontId="56" fillId="0" borderId="68" xfId="1" applyFont="1" applyBorder="1" applyAlignment="1">
      <alignment horizontal="left"/>
    </xf>
    <xf numFmtId="4" fontId="56" fillId="0" borderId="72" xfId="1" applyNumberFormat="1" applyFont="1" applyBorder="1" applyAlignment="1">
      <alignment horizontal="left"/>
    </xf>
    <xf numFmtId="4" fontId="56" fillId="0" borderId="69" xfId="1" applyNumberFormat="1" applyFont="1" applyBorder="1" applyAlignment="1">
      <alignment horizontal="left"/>
    </xf>
    <xf numFmtId="3" fontId="56" fillId="0" borderId="54" xfId="1" applyFont="1" applyBorder="1" applyAlignment="1">
      <alignment horizontal="left"/>
    </xf>
    <xf numFmtId="3" fontId="56" fillId="0" borderId="71" xfId="1" applyFont="1" applyBorder="1" applyAlignment="1">
      <alignment horizontal="left"/>
    </xf>
    <xf numFmtId="4" fontId="46" fillId="8" borderId="2" xfId="0" applyFont="1" applyFill="1" applyBorder="1" applyAlignment="1">
      <alignment horizontal="left" vertical="center" wrapText="1"/>
    </xf>
    <xf numFmtId="4" fontId="14" fillId="0" borderId="2" xfId="0" applyFont="1" applyBorder="1" applyAlignment="1">
      <alignment horizontal="left" vertical="center" wrapText="1"/>
    </xf>
    <xf numFmtId="4" fontId="46" fillId="8" borderId="6" xfId="0" applyFont="1" applyFill="1" applyBorder="1" applyAlignment="1">
      <alignment horizontal="left" vertical="center" wrapText="1"/>
    </xf>
    <xf numFmtId="4" fontId="14" fillId="0" borderId="6" xfId="0" applyFont="1" applyBorder="1" applyAlignment="1">
      <alignment horizontal="left" vertical="center" wrapText="1"/>
    </xf>
    <xf numFmtId="4" fontId="0" fillId="0" borderId="0" xfId="0" applyAlignment="1"/>
    <xf numFmtId="4" fontId="14" fillId="0" borderId="21" xfId="0" applyFont="1" applyBorder="1" applyAlignment="1">
      <alignment horizontal="left" vertical="center" wrapText="1"/>
    </xf>
    <xf numFmtId="3" fontId="6" fillId="2" borderId="74" xfId="1" applyFont="1" applyFill="1" applyBorder="1" applyAlignment="1">
      <alignment horizontal="center"/>
    </xf>
    <xf numFmtId="3" fontId="6" fillId="2" borderId="52" xfId="1" applyFont="1" applyFill="1" applyBorder="1" applyAlignment="1">
      <alignment horizontal="center"/>
    </xf>
    <xf numFmtId="3" fontId="6" fillId="2" borderId="4" xfId="1" applyFont="1" applyFill="1" applyBorder="1" applyAlignment="1">
      <alignment horizontal="center" wrapText="1"/>
    </xf>
    <xf numFmtId="4" fontId="18" fillId="0" borderId="7" xfId="0" applyFont="1" applyBorder="1" applyAlignment="1">
      <alignment horizontal="left" vertical="top" wrapText="1"/>
    </xf>
    <xf numFmtId="4" fontId="18" fillId="0" borderId="23" xfId="0" applyFont="1" applyBorder="1" applyAlignment="1">
      <alignment horizontal="left" vertical="top" wrapText="1"/>
    </xf>
    <xf numFmtId="4" fontId="18" fillId="0" borderId="24" xfId="0" applyFont="1" applyBorder="1" applyAlignment="1">
      <alignment horizontal="left" vertical="top" wrapText="1"/>
    </xf>
    <xf numFmtId="4" fontId="18" fillId="0" borderId="8" xfId="0" applyFont="1" applyBorder="1" applyAlignment="1">
      <alignment horizontal="left" vertical="top" wrapText="1"/>
    </xf>
    <xf numFmtId="4" fontId="18" fillId="0" borderId="20" xfId="0" applyFont="1" applyBorder="1" applyAlignment="1">
      <alignment horizontal="left" vertical="top" wrapText="1"/>
    </xf>
    <xf numFmtId="4" fontId="18" fillId="0" borderId="14" xfId="0" applyFont="1" applyBorder="1" applyAlignment="1">
      <alignment horizontal="left" vertical="top" wrapText="1"/>
    </xf>
    <xf numFmtId="4" fontId="18" fillId="0" borderId="9" xfId="0" applyFont="1" applyBorder="1" applyAlignment="1">
      <alignment horizontal="left" vertical="top" wrapText="1"/>
    </xf>
    <xf numFmtId="4" fontId="18" fillId="0" borderId="25" xfId="0" applyFont="1" applyBorder="1" applyAlignment="1">
      <alignment horizontal="left" vertical="top" wrapText="1"/>
    </xf>
    <xf numFmtId="4" fontId="18" fillId="0" borderId="26" xfId="0" applyFont="1" applyBorder="1" applyAlignment="1">
      <alignment horizontal="left" vertical="top" wrapText="1"/>
    </xf>
    <xf numFmtId="4" fontId="13" fillId="6" borderId="8" xfId="0" applyFont="1" applyFill="1" applyBorder="1" applyAlignment="1">
      <alignment horizontal="left" vertical="top"/>
    </xf>
    <xf numFmtId="4" fontId="13" fillId="6" borderId="20" xfId="0" applyFont="1" applyFill="1" applyBorder="1" applyAlignment="1">
      <alignment horizontal="left" vertical="top"/>
    </xf>
    <xf numFmtId="4" fontId="13" fillId="6" borderId="14" xfId="0" applyFont="1" applyFill="1" applyBorder="1" applyAlignment="1">
      <alignment horizontal="left" vertical="top"/>
    </xf>
    <xf numFmtId="4" fontId="47" fillId="0" borderId="2" xfId="0" applyFont="1" applyBorder="1" applyAlignment="1">
      <alignment horizontal="left" vertical="center" wrapText="1"/>
    </xf>
    <xf numFmtId="4" fontId="46" fillId="8" borderId="2" xfId="0" applyFont="1" applyFill="1" applyBorder="1" applyAlignment="1">
      <alignment horizontal="left" vertical="top" wrapText="1"/>
    </xf>
    <xf numFmtId="4" fontId="47" fillId="0" borderId="2" xfId="0" applyFont="1" applyBorder="1" applyAlignment="1">
      <alignment horizontal="left" vertical="top" wrapText="1"/>
    </xf>
    <xf numFmtId="4" fontId="13" fillId="2" borderId="4" xfId="0" applyFont="1" applyFill="1" applyBorder="1" applyAlignment="1">
      <alignment horizontal="center" vertical="center" wrapText="1"/>
    </xf>
    <xf numFmtId="4" fontId="13" fillId="2" borderId="122" xfId="0" applyFont="1" applyFill="1" applyBorder="1" applyAlignment="1">
      <alignment horizontal="center" vertical="center" wrapText="1"/>
    </xf>
    <xf numFmtId="4" fontId="13" fillId="2" borderId="11" xfId="0" applyFont="1" applyFill="1" applyBorder="1" applyAlignment="1">
      <alignment horizontal="center" vertical="center" wrapText="1"/>
    </xf>
    <xf numFmtId="4" fontId="11" fillId="0" borderId="12" xfId="0" applyFont="1" applyBorder="1" applyAlignment="1">
      <alignment horizontal="left" vertical="top" wrapText="1"/>
    </xf>
    <xf numFmtId="4" fontId="11" fillId="0" borderId="0" xfId="0" applyFont="1" applyBorder="1" applyAlignment="1">
      <alignment horizontal="left" vertical="top" wrapText="1"/>
    </xf>
    <xf numFmtId="4" fontId="12" fillId="0" borderId="0" xfId="0" applyFont="1" applyAlignment="1">
      <alignment horizontal="center"/>
    </xf>
    <xf numFmtId="4" fontId="39" fillId="0" borderId="8" xfId="0" applyFont="1" applyBorder="1" applyAlignment="1">
      <alignment horizontal="left" vertical="center" wrapText="1"/>
    </xf>
    <xf numFmtId="4" fontId="39" fillId="0" borderId="14" xfId="0" applyFont="1" applyBorder="1" applyAlignment="1">
      <alignment horizontal="left" vertical="center" wrapText="1"/>
    </xf>
    <xf numFmtId="4" fontId="95" fillId="22" borderId="0" xfId="0" applyFont="1" applyFill="1" applyAlignment="1">
      <alignment horizontal="left" vertical="center"/>
    </xf>
    <xf numFmtId="4" fontId="39" fillId="0" borderId="24" xfId="0" applyFont="1" applyBorder="1" applyAlignment="1">
      <alignment horizontal="left" vertical="center" wrapText="1"/>
    </xf>
    <xf numFmtId="4" fontId="39" fillId="0" borderId="12" xfId="0" applyFont="1" applyBorder="1" applyAlignment="1">
      <alignment horizontal="left" vertical="center" wrapText="1"/>
    </xf>
    <xf numFmtId="4" fontId="39" fillId="0" borderId="29" xfId="0" applyFont="1" applyBorder="1" applyAlignment="1">
      <alignment horizontal="left" vertical="center" wrapText="1"/>
    </xf>
    <xf numFmtId="4" fontId="39" fillId="0" borderId="18" xfId="0" applyFont="1" applyBorder="1" applyAlignment="1">
      <alignment horizontal="left" vertical="center" wrapText="1"/>
    </xf>
    <xf numFmtId="4" fontId="39" fillId="0" borderId="19" xfId="0" applyFont="1" applyBorder="1" applyAlignment="1">
      <alignment horizontal="left" vertical="center" wrapText="1"/>
    </xf>
    <xf numFmtId="4" fontId="39" fillId="0" borderId="63" xfId="0" applyFont="1" applyBorder="1" applyAlignment="1">
      <alignment horizontal="left" vertical="center" wrapText="1"/>
    </xf>
    <xf numFmtId="4" fontId="39" fillId="0" borderId="72" xfId="0" applyFont="1" applyBorder="1" applyAlignment="1">
      <alignment horizontal="left" vertical="center" wrapText="1"/>
    </xf>
    <xf numFmtId="4" fontId="39" fillId="0" borderId="126" xfId="0" applyFont="1" applyBorder="1" applyAlignment="1">
      <alignment horizontal="left" vertical="center" wrapText="1"/>
    </xf>
    <xf numFmtId="4" fontId="39" fillId="0" borderId="127" xfId="0" applyFont="1" applyBorder="1" applyAlignment="1">
      <alignment horizontal="left" vertical="center" wrapText="1"/>
    </xf>
    <xf numFmtId="4" fontId="39" fillId="0" borderId="72" xfId="0" applyFont="1" applyBorder="1" applyAlignment="1">
      <alignment horizontal="left" vertical="center"/>
    </xf>
    <xf numFmtId="4" fontId="39" fillId="0" borderId="14" xfId="0" applyFont="1" applyBorder="1" applyAlignment="1">
      <alignment horizontal="left" vertical="center"/>
    </xf>
    <xf numFmtId="4" fontId="39" fillId="2" borderId="4" xfId="0" applyFont="1" applyFill="1" applyBorder="1" applyAlignment="1">
      <alignment horizontal="center" vertical="center" wrapText="1"/>
    </xf>
    <xf numFmtId="4" fontId="39" fillId="2" borderId="11" xfId="0" applyFont="1" applyFill="1" applyBorder="1" applyAlignment="1">
      <alignment horizontal="center" vertical="center" wrapText="1"/>
    </xf>
    <xf numFmtId="4" fontId="0" fillId="0" borderId="0" xfId="0" applyAlignment="1">
      <alignment horizontal="left"/>
    </xf>
    <xf numFmtId="4" fontId="105" fillId="0" borderId="3" xfId="1" applyNumberFormat="1" applyFont="1" applyBorder="1" applyAlignment="1">
      <alignment horizontal="left"/>
    </xf>
    <xf numFmtId="3" fontId="105" fillId="0" borderId="43" xfId="1" applyFont="1" applyBorder="1" applyAlignment="1">
      <alignment horizontal="left"/>
    </xf>
    <xf numFmtId="3" fontId="103" fillId="0" borderId="3" xfId="1" applyFont="1" applyBorder="1" applyAlignment="1">
      <alignment horizontal="left"/>
    </xf>
    <xf numFmtId="3" fontId="103" fillId="3" borderId="3" xfId="1" applyFont="1" applyFill="1" applyBorder="1" applyAlignment="1">
      <alignment horizontal="left"/>
    </xf>
    <xf numFmtId="3" fontId="105" fillId="0" borderId="3" xfId="1" applyFont="1" applyBorder="1" applyAlignment="1">
      <alignment horizontal="left"/>
    </xf>
    <xf numFmtId="4" fontId="103" fillId="2" borderId="3" xfId="1" applyNumberFormat="1" applyFont="1" applyFill="1" applyBorder="1" applyAlignment="1">
      <alignment horizontal="center"/>
    </xf>
    <xf numFmtId="3" fontId="103" fillId="2" borderId="39" xfId="1" applyFont="1" applyFill="1" applyBorder="1" applyAlignment="1">
      <alignment horizontal="center" wrapText="1"/>
    </xf>
    <xf numFmtId="3" fontId="101" fillId="0" borderId="0" xfId="1" applyFont="1" applyBorder="1" applyAlignment="1">
      <alignment horizontal="center"/>
    </xf>
    <xf numFmtId="3" fontId="103" fillId="2" borderId="34" xfId="1" applyFont="1" applyFill="1" applyBorder="1" applyAlignment="1">
      <alignment horizontal="center" wrapText="1"/>
    </xf>
    <xf numFmtId="4" fontId="102" fillId="2" borderId="38" xfId="0" applyFont="1" applyFill="1" applyBorder="1" applyAlignment="1">
      <alignment horizontal="center" wrapText="1"/>
    </xf>
    <xf numFmtId="49" fontId="103" fillId="2" borderId="35" xfId="1" applyNumberFormat="1" applyFont="1" applyFill="1" applyBorder="1" applyAlignment="1">
      <alignment horizontal="center" wrapText="1"/>
    </xf>
    <xf numFmtId="4" fontId="102" fillId="2" borderId="35" xfId="0" applyFont="1" applyFill="1" applyBorder="1" applyAlignment="1">
      <alignment horizontal="center" wrapText="1"/>
    </xf>
    <xf numFmtId="4" fontId="102" fillId="2" borderId="3" xfId="0" applyFont="1" applyFill="1" applyBorder="1" applyAlignment="1">
      <alignment horizontal="center" wrapText="1"/>
    </xf>
    <xf numFmtId="49" fontId="103" fillId="2" borderId="36" xfId="1" applyNumberFormat="1" applyFont="1" applyFill="1" applyBorder="1" applyAlignment="1">
      <alignment horizontal="center" wrapText="1"/>
    </xf>
    <xf numFmtId="49" fontId="103" fillId="2" borderId="39" xfId="1" applyNumberFormat="1" applyFont="1" applyFill="1" applyBorder="1" applyAlignment="1">
      <alignment horizontal="center" wrapText="1"/>
    </xf>
    <xf numFmtId="3" fontId="103" fillId="2" borderId="34" xfId="1" applyFont="1" applyFill="1" applyBorder="1" applyAlignment="1">
      <alignment horizontal="center"/>
    </xf>
    <xf numFmtId="3" fontId="103" fillId="2" borderId="35" xfId="1" applyFont="1" applyFill="1" applyBorder="1" applyAlignment="1">
      <alignment horizontal="center"/>
    </xf>
    <xf numFmtId="3" fontId="103" fillId="2" borderId="36" xfId="1" applyFont="1" applyFill="1" applyBorder="1" applyAlignment="1">
      <alignment horizontal="center"/>
    </xf>
    <xf numFmtId="4" fontId="103" fillId="2" borderId="38" xfId="1" applyNumberFormat="1" applyFont="1" applyFill="1" applyBorder="1" applyAlignment="1">
      <alignment horizontal="center" wrapText="1"/>
    </xf>
    <xf numFmtId="3" fontId="103" fillId="0" borderId="3" xfId="1" applyFont="1" applyFill="1" applyBorder="1" applyAlignment="1">
      <alignment horizontal="left"/>
    </xf>
    <xf numFmtId="4" fontId="107" fillId="0" borderId="8" xfId="0" applyFont="1" applyBorder="1" applyAlignment="1">
      <alignment horizontal="left" vertical="center" wrapText="1"/>
    </xf>
    <xf numFmtId="4" fontId="107" fillId="0" borderId="20" xfId="0" applyFont="1" applyBorder="1" applyAlignment="1">
      <alignment horizontal="left" vertical="center" wrapText="1"/>
    </xf>
    <xf numFmtId="4" fontId="107" fillId="0" borderId="14" xfId="0" applyFont="1" applyBorder="1" applyAlignment="1">
      <alignment horizontal="left" vertical="center" wrapText="1"/>
    </xf>
    <xf numFmtId="4" fontId="65" fillId="5" borderId="0" xfId="0" applyFont="1" applyFill="1" applyAlignment="1">
      <alignment horizontal="left"/>
    </xf>
    <xf numFmtId="4" fontId="52" fillId="0" borderId="3" xfId="0" applyFont="1" applyBorder="1" applyAlignment="1">
      <alignment horizontal="left" vertical="top" wrapText="1"/>
    </xf>
    <xf numFmtId="4" fontId="64" fillId="5" borderId="0" xfId="0" applyFont="1" applyFill="1" applyAlignment="1">
      <alignment horizontal="left"/>
    </xf>
    <xf numFmtId="4" fontId="108" fillId="3" borderId="3" xfId="0" applyFont="1" applyFill="1" applyBorder="1" applyAlignment="1">
      <alignment horizontal="center"/>
    </xf>
    <xf numFmtId="4" fontId="52" fillId="0" borderId="3" xfId="0" applyFont="1" applyBorder="1" applyAlignment="1">
      <alignment horizontal="center" vertical="top" wrapText="1"/>
    </xf>
    <xf numFmtId="4" fontId="108" fillId="3" borderId="10" xfId="0" applyFont="1" applyFill="1" applyBorder="1" applyAlignment="1">
      <alignment horizontal="center"/>
    </xf>
    <xf numFmtId="4" fontId="108" fillId="3" borderId="32" xfId="0" applyFont="1" applyFill="1" applyBorder="1" applyAlignment="1">
      <alignment horizontal="center"/>
    </xf>
    <xf numFmtId="4" fontId="112" fillId="0" borderId="7" xfId="0" applyFont="1" applyBorder="1" applyAlignment="1">
      <alignment horizontal="left" vertical="center" wrapText="1"/>
    </xf>
    <xf numFmtId="4" fontId="112" fillId="0" borderId="23" xfId="0" applyFont="1" applyBorder="1" applyAlignment="1">
      <alignment horizontal="left" vertical="center" wrapText="1"/>
    </xf>
    <xf numFmtId="4" fontId="112" fillId="0" borderId="24" xfId="0" applyFont="1" applyBorder="1" applyAlignment="1">
      <alignment horizontal="left" vertical="center" wrapText="1"/>
    </xf>
    <xf numFmtId="4" fontId="112" fillId="0" borderId="8" xfId="0" applyFont="1" applyBorder="1" applyAlignment="1">
      <alignment horizontal="left" vertical="center" wrapText="1"/>
    </xf>
    <xf numFmtId="4" fontId="112" fillId="0" borderId="20" xfId="0" applyFont="1" applyBorder="1" applyAlignment="1">
      <alignment horizontal="left" vertical="center" wrapText="1"/>
    </xf>
    <xf numFmtId="4" fontId="112" fillId="0" borderId="14" xfId="0" applyFont="1" applyBorder="1" applyAlignment="1">
      <alignment horizontal="left" vertical="center" wrapText="1"/>
    </xf>
    <xf numFmtId="4" fontId="112" fillId="0" borderId="9" xfId="0" applyFont="1" applyBorder="1" applyAlignment="1">
      <alignment horizontal="left" vertical="center" wrapText="1"/>
    </xf>
    <xf numFmtId="4" fontId="112" fillId="0" borderId="25" xfId="0" applyFont="1" applyBorder="1" applyAlignment="1">
      <alignment horizontal="left" vertical="center" wrapText="1"/>
    </xf>
    <xf numFmtId="4" fontId="112" fillId="0" borderId="26" xfId="0" applyFont="1" applyBorder="1" applyAlignment="1">
      <alignment horizontal="left" vertical="center" wrapText="1"/>
    </xf>
    <xf numFmtId="4" fontId="65" fillId="6" borderId="5" xfId="0" applyNumberFormat="1" applyFont="1" applyFill="1" applyBorder="1" applyAlignment="1">
      <alignment horizontal="left"/>
    </xf>
    <xf numFmtId="4" fontId="108" fillId="3" borderId="10" xfId="0" applyNumberFormat="1" applyFont="1" applyFill="1" applyBorder="1" applyAlignment="1">
      <alignment horizontal="center"/>
    </xf>
    <xf numFmtId="4" fontId="108" fillId="3" borderId="32" xfId="0" applyNumberFormat="1" applyFont="1" applyFill="1" applyBorder="1" applyAlignment="1">
      <alignment horizontal="center"/>
    </xf>
    <xf numFmtId="4" fontId="109" fillId="0" borderId="2" xfId="0" applyNumberFormat="1" applyFont="1" applyBorder="1" applyAlignment="1">
      <alignment horizontal="left" vertical="center" wrapText="1"/>
    </xf>
    <xf numFmtId="4" fontId="109" fillId="0" borderId="13" xfId="0" applyNumberFormat="1" applyFont="1" applyBorder="1" applyAlignment="1">
      <alignment horizontal="left" vertical="center" wrapText="1"/>
    </xf>
    <xf numFmtId="4" fontId="65" fillId="2" borderId="3" xfId="0" applyNumberFormat="1" applyFont="1" applyFill="1" applyBorder="1" applyAlignment="1">
      <alignment horizontal="center"/>
    </xf>
    <xf numFmtId="4" fontId="113" fillId="0" borderId="20" xfId="0" applyFont="1" applyBorder="1" applyAlignment="1">
      <alignment horizontal="left" vertical="center" wrapText="1"/>
    </xf>
    <xf numFmtId="4" fontId="113" fillId="0" borderId="14" xfId="0" applyFont="1" applyBorder="1" applyAlignment="1">
      <alignment horizontal="left" vertical="center" wrapText="1"/>
    </xf>
    <xf numFmtId="4" fontId="65" fillId="6" borderId="3" xfId="0" applyFont="1" applyFill="1" applyBorder="1" applyAlignment="1">
      <alignment horizontal="left"/>
    </xf>
    <xf numFmtId="4" fontId="65" fillId="6" borderId="16" xfId="0" applyFont="1" applyFill="1" applyBorder="1" applyAlignment="1">
      <alignment horizontal="left"/>
    </xf>
    <xf numFmtId="4" fontId="52" fillId="0" borderId="27" xfId="0" applyFont="1" applyBorder="1" applyAlignment="1">
      <alignment horizontal="left" vertical="top" wrapText="1"/>
    </xf>
    <xf numFmtId="4" fontId="52" fillId="0" borderId="28" xfId="0" applyFont="1" applyBorder="1" applyAlignment="1">
      <alignment horizontal="left" vertical="top" wrapText="1"/>
    </xf>
    <xf numFmtId="4" fontId="52" fillId="0" borderId="17" xfId="0" applyFont="1" applyBorder="1" applyAlignment="1">
      <alignment horizontal="left" vertical="top" wrapText="1"/>
    </xf>
    <xf numFmtId="4" fontId="52" fillId="0" borderId="21" xfId="0" applyFont="1" applyBorder="1" applyAlignment="1">
      <alignment horizontal="left" vertical="top" wrapText="1"/>
    </xf>
    <xf numFmtId="4" fontId="52" fillId="0" borderId="0" xfId="0" applyFont="1" applyBorder="1" applyAlignment="1">
      <alignment horizontal="left" vertical="top" wrapText="1"/>
    </xf>
    <xf numFmtId="4" fontId="52" fillId="0" borderId="29" xfId="0" applyFont="1" applyBorder="1" applyAlignment="1">
      <alignment horizontal="left" vertical="top" wrapText="1"/>
    </xf>
    <xf numFmtId="4" fontId="114" fillId="6" borderId="3" xfId="0" applyNumberFormat="1" applyFont="1" applyFill="1" applyBorder="1" applyAlignment="1">
      <alignment horizontal="left"/>
    </xf>
    <xf numFmtId="4" fontId="65" fillId="2" borderId="13" xfId="0" applyFont="1" applyFill="1" applyBorder="1" applyAlignment="1">
      <alignment horizontal="left" vertical="center"/>
    </xf>
    <xf numFmtId="4" fontId="65" fillId="2" borderId="22" xfId="0" applyFont="1" applyFill="1" applyBorder="1" applyAlignment="1">
      <alignment horizontal="left" vertical="center"/>
    </xf>
    <xf numFmtId="4" fontId="65" fillId="2" borderId="33" xfId="0" applyFont="1" applyFill="1" applyBorder="1" applyAlignment="1">
      <alignment horizontal="left" vertical="center"/>
    </xf>
    <xf numFmtId="4" fontId="65" fillId="2" borderId="51" xfId="0" applyFont="1" applyFill="1" applyBorder="1" applyAlignment="1">
      <alignment horizontal="left" vertical="center"/>
    </xf>
    <xf numFmtId="4" fontId="65" fillId="2" borderId="1" xfId="0" applyFont="1" applyFill="1" applyBorder="1" applyAlignment="1">
      <alignment horizontal="left" vertical="center"/>
    </xf>
    <xf numFmtId="4" fontId="107" fillId="6" borderId="17" xfId="0" applyFont="1" applyFill="1" applyBorder="1" applyAlignment="1">
      <alignment horizontal="left"/>
    </xf>
    <xf numFmtId="4" fontId="107" fillId="6" borderId="15" xfId="0" applyFont="1" applyFill="1" applyBorder="1" applyAlignment="1">
      <alignment horizontal="left"/>
    </xf>
    <xf numFmtId="4" fontId="65" fillId="2" borderId="18" xfId="0" applyFont="1" applyFill="1" applyBorder="1" applyAlignment="1">
      <alignment horizontal="left" vertical="center"/>
    </xf>
    <xf numFmtId="4" fontId="65" fillId="2" borderId="19" xfId="0" applyFont="1" applyFill="1" applyBorder="1" applyAlignment="1">
      <alignment horizontal="left" vertical="center"/>
    </xf>
    <xf numFmtId="4" fontId="109" fillId="0" borderId="2" xfId="0" applyFont="1" applyBorder="1" applyAlignment="1">
      <alignment horizontal="left" vertical="center" wrapText="1"/>
    </xf>
    <xf numFmtId="4" fontId="65" fillId="2" borderId="8" xfId="0" applyFont="1" applyFill="1" applyBorder="1" applyAlignment="1">
      <alignment horizontal="left" vertical="center"/>
    </xf>
    <xf numFmtId="4" fontId="65" fillId="2" borderId="14" xfId="0" applyFont="1" applyFill="1" applyBorder="1" applyAlignment="1">
      <alignment horizontal="left" vertical="center"/>
    </xf>
    <xf numFmtId="4" fontId="65" fillId="6" borderId="8" xfId="0" applyFont="1" applyFill="1" applyBorder="1" applyAlignment="1">
      <alignment horizontal="left"/>
    </xf>
    <xf numFmtId="4" fontId="65" fillId="6" borderId="20" xfId="0" applyFont="1" applyFill="1" applyBorder="1" applyAlignment="1">
      <alignment horizontal="left"/>
    </xf>
    <xf numFmtId="4" fontId="65" fillId="6" borderId="14" xfId="0" applyFont="1" applyFill="1" applyBorder="1" applyAlignment="1">
      <alignment horizontal="left"/>
    </xf>
    <xf numFmtId="4" fontId="0" fillId="0" borderId="0" xfId="0" applyAlignment="1">
      <alignment horizontal="center"/>
    </xf>
    <xf numFmtId="4" fontId="21" fillId="8" borderId="136" xfId="0" applyFont="1" applyFill="1" applyBorder="1" applyAlignment="1">
      <alignment horizontal="left" vertical="center"/>
    </xf>
    <xf numFmtId="4" fontId="0" fillId="0" borderId="136" xfId="0" applyBorder="1" applyAlignment="1">
      <alignment horizontal="left" vertical="center"/>
    </xf>
    <xf numFmtId="4" fontId="21" fillId="8" borderId="135" xfId="0" applyFont="1" applyFill="1" applyBorder="1" applyAlignment="1">
      <alignment horizontal="left" vertical="center"/>
    </xf>
    <xf numFmtId="4" fontId="0" fillId="0" borderId="135" xfId="0" applyBorder="1" applyAlignment="1">
      <alignment horizontal="left" vertical="center"/>
    </xf>
    <xf numFmtId="4" fontId="21" fillId="8" borderId="139" xfId="0" applyFont="1" applyFill="1" applyBorder="1" applyAlignment="1">
      <alignment horizontal="left" vertical="center"/>
    </xf>
    <xf numFmtId="4" fontId="0" fillId="0" borderId="139" xfId="0" applyBorder="1" applyAlignment="1">
      <alignment horizontal="left" vertical="center"/>
    </xf>
    <xf numFmtId="4" fontId="14" fillId="0" borderId="28" xfId="0" applyFont="1" applyBorder="1" applyAlignment="1">
      <alignment horizontal="left"/>
    </xf>
    <xf numFmtId="4" fontId="14" fillId="0" borderId="0" xfId="0" applyFont="1" applyAlignment="1">
      <alignment horizontal="left"/>
    </xf>
    <xf numFmtId="4" fontId="13" fillId="14" borderId="0" xfId="0" applyFont="1" applyFill="1" applyBorder="1" applyAlignment="1">
      <alignment horizontal="left"/>
    </xf>
    <xf numFmtId="4" fontId="59" fillId="0" borderId="0" xfId="0" applyFont="1" applyBorder="1" applyAlignment="1"/>
    <xf numFmtId="4" fontId="15" fillId="15" borderId="84" xfId="0" applyFont="1" applyFill="1" applyBorder="1" applyAlignment="1">
      <alignment horizontal="center"/>
    </xf>
    <xf numFmtId="4" fontId="59" fillId="0" borderId="85" xfId="0" applyFont="1" applyBorder="1" applyAlignment="1"/>
    <xf numFmtId="4" fontId="59" fillId="0" borderId="87" xfId="0" applyFont="1" applyBorder="1" applyAlignment="1"/>
    <xf numFmtId="4" fontId="13" fillId="16" borderId="84" xfId="0" applyFont="1" applyFill="1" applyBorder="1" applyAlignment="1">
      <alignment horizontal="left" vertical="center"/>
    </xf>
    <xf numFmtId="4" fontId="14" fillId="17" borderId="88" xfId="0" applyFont="1" applyFill="1" applyBorder="1" applyAlignment="1">
      <alignment horizontal="left"/>
    </xf>
    <xf numFmtId="4" fontId="59" fillId="0" borderId="88" xfId="0" applyFont="1" applyBorder="1" applyAlignment="1"/>
    <xf numFmtId="4" fontId="59" fillId="0" borderId="89" xfId="0" applyFont="1" applyBorder="1" applyAlignment="1"/>
    <xf numFmtId="4" fontId="13" fillId="16" borderId="90" xfId="0" applyFont="1" applyFill="1" applyBorder="1" applyAlignment="1">
      <alignment horizontal="left" vertical="center"/>
    </xf>
    <xf numFmtId="4" fontId="59" fillId="0" borderId="91" xfId="0" applyFont="1" applyBorder="1" applyAlignment="1"/>
    <xf numFmtId="4" fontId="61" fillId="0" borderId="93" xfId="0" applyFont="1" applyBorder="1" applyAlignment="1">
      <alignment horizontal="left" vertical="center" wrapText="1"/>
    </xf>
    <xf numFmtId="4" fontId="59" fillId="0" borderId="93" xfId="0" applyFont="1" applyBorder="1" applyAlignment="1"/>
    <xf numFmtId="4" fontId="61" fillId="0" borderId="93" xfId="0" applyFont="1" applyBorder="1" applyAlignment="1">
      <alignment vertical="center" wrapText="1"/>
    </xf>
    <xf numFmtId="4" fontId="61" fillId="0" borderId="105" xfId="0" applyFont="1" applyBorder="1" applyAlignment="1">
      <alignment vertical="center" wrapText="1"/>
    </xf>
    <xf numFmtId="4" fontId="59" fillId="0" borderId="105" xfId="0" applyFont="1" applyBorder="1" applyAlignment="1"/>
    <xf numFmtId="4" fontId="59" fillId="0" borderId="106" xfId="0" applyFont="1" applyBorder="1" applyAlignment="1"/>
    <xf numFmtId="4" fontId="13" fillId="16" borderId="94" xfId="0" applyFont="1" applyFill="1" applyBorder="1" applyAlignment="1">
      <alignment horizontal="left" vertical="center"/>
    </xf>
    <xf numFmtId="4" fontId="59" fillId="0" borderId="95" xfId="0" applyFont="1" applyBorder="1" applyAlignment="1"/>
    <xf numFmtId="4" fontId="61" fillId="0" borderId="97" xfId="0" applyFont="1" applyBorder="1" applyAlignment="1">
      <alignment vertical="center" wrapText="1"/>
    </xf>
    <xf numFmtId="4" fontId="13" fillId="17" borderId="94" xfId="0" applyFont="1" applyFill="1" applyBorder="1" applyAlignment="1">
      <alignment horizontal="left"/>
    </xf>
    <xf numFmtId="4" fontId="59" fillId="0" borderId="98" xfId="0" applyFont="1" applyBorder="1" applyAlignment="1"/>
    <xf numFmtId="4" fontId="13" fillId="16" borderId="102" xfId="0" applyFont="1" applyFill="1" applyBorder="1" applyAlignment="1">
      <alignment horizontal="left" vertical="center"/>
    </xf>
    <xf numFmtId="4" fontId="59" fillId="0" borderId="103" xfId="0" applyFont="1" applyBorder="1" applyAlignment="1"/>
    <xf numFmtId="4" fontId="59" fillId="0" borderId="104" xfId="0" applyFont="1" applyBorder="1" applyAlignment="1"/>
    <xf numFmtId="4" fontId="15" fillId="15" borderId="111" xfId="0" applyFont="1" applyFill="1" applyBorder="1" applyAlignment="1">
      <alignment horizontal="center"/>
    </xf>
    <xf numFmtId="4" fontId="40" fillId="0" borderId="94" xfId="0" applyFont="1" applyBorder="1" applyAlignment="1">
      <alignment horizontal="left" vertical="center" wrapText="1"/>
    </xf>
    <xf numFmtId="4" fontId="13" fillId="17" borderId="84" xfId="0" applyNumberFormat="1" applyFont="1" applyFill="1" applyBorder="1" applyAlignment="1">
      <alignment horizontal="left"/>
    </xf>
    <xf numFmtId="4" fontId="13" fillId="17" borderId="84" xfId="0" applyFont="1" applyFill="1" applyBorder="1" applyAlignment="1">
      <alignment horizontal="left"/>
    </xf>
    <xf numFmtId="4" fontId="59" fillId="0" borderId="107" xfId="0" applyFont="1" applyBorder="1" applyAlignment="1"/>
    <xf numFmtId="4" fontId="40" fillId="0" borderId="108" xfId="0" applyFont="1" applyBorder="1" applyAlignment="1">
      <alignment horizontal="left" vertical="center" wrapText="1"/>
    </xf>
    <xf numFmtId="4" fontId="59" fillId="0" borderId="101" xfId="0" applyFont="1" applyBorder="1" applyAlignment="1"/>
    <xf numFmtId="4" fontId="0" fillId="0" borderId="0" xfId="0" applyFont="1" applyAlignment="1"/>
    <xf numFmtId="4" fontId="59" fillId="0" borderId="109" xfId="0" applyFont="1" applyBorder="1" applyAlignment="1"/>
    <xf numFmtId="4" fontId="20" fillId="17" borderId="84" xfId="0" applyNumberFormat="1" applyFont="1" applyFill="1" applyBorder="1" applyAlignment="1">
      <alignment horizontal="left"/>
    </xf>
    <xf numFmtId="4" fontId="63" fillId="0" borderId="97" xfId="0" applyFont="1" applyBorder="1" applyAlignment="1">
      <alignment wrapText="1"/>
    </xf>
    <xf numFmtId="4" fontId="63" fillId="0" borderId="116" xfId="0" applyFont="1" applyBorder="1" applyAlignment="1">
      <alignment wrapText="1"/>
    </xf>
    <xf numFmtId="4" fontId="15" fillId="15" borderId="111" xfId="0" applyNumberFormat="1" applyFont="1" applyFill="1" applyBorder="1" applyAlignment="1">
      <alignment horizontal="center"/>
    </xf>
    <xf numFmtId="4" fontId="14" fillId="0" borderId="94" xfId="0" applyNumberFormat="1" applyFont="1" applyBorder="1" applyAlignment="1">
      <alignment horizontal="left" vertical="center" wrapText="1"/>
    </xf>
    <xf numFmtId="4" fontId="14" fillId="0" borderId="110" xfId="0" applyNumberFormat="1" applyFont="1" applyBorder="1" applyAlignment="1">
      <alignment horizontal="left" vertical="center" wrapText="1"/>
    </xf>
    <xf numFmtId="4" fontId="59" fillId="0" borderId="113" xfId="0" applyFont="1" applyBorder="1" applyAlignment="1"/>
    <xf numFmtId="4" fontId="59" fillId="0" borderId="114" xfId="0" applyFont="1" applyBorder="1" applyAlignment="1"/>
    <xf numFmtId="4" fontId="13" fillId="16" borderId="84" xfId="0" applyNumberFormat="1" applyFont="1" applyFill="1" applyBorder="1" applyAlignment="1">
      <alignment horizontal="center"/>
    </xf>
    <xf numFmtId="4" fontId="63" fillId="0" borderId="118" xfId="0" applyFont="1" applyBorder="1" applyAlignment="1">
      <alignment wrapText="1"/>
    </xf>
    <xf numFmtId="4" fontId="65" fillId="15" borderId="84" xfId="0" applyFont="1" applyFill="1" applyBorder="1" applyAlignment="1">
      <alignment horizontal="center" wrapText="1"/>
    </xf>
    <xf numFmtId="4" fontId="14" fillId="0" borderId="84" xfId="0" applyFont="1" applyBorder="1" applyAlignment="1"/>
    <xf numFmtId="4" fontId="62" fillId="0" borderId="94" xfId="0" applyFont="1" applyBorder="1" applyAlignment="1">
      <alignment horizontal="left" vertical="center" wrapText="1"/>
    </xf>
    <xf numFmtId="4" fontId="14" fillId="0" borderId="94" xfId="0" applyFont="1" applyBorder="1" applyAlignment="1">
      <alignment horizontal="left" vertical="center" wrapText="1"/>
    </xf>
  </cellXfs>
  <cellStyles count="4">
    <cellStyle name="Normální" xfId="0" builtinId="0"/>
    <cellStyle name="Normální 2" xfId="2"/>
    <cellStyle name="Normální 3" xfId="3"/>
    <cellStyle name="normální_MŠ Raisova"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achanova%20jana\Desktop\ROZPO&#268;ET\Z&#225;v&#283;re&#269;n&#253;%20&#250;&#269;et%20za%20rok%202019\PO\Z&#352;%20a%20M&#352;%20Melantrichova\Z&#352;_M&#352;_Melantrichova_Zpr&#225;va_o_hospoda&#345;en&#237;_PO_2019_oprava_26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2"/>
    </sheetNames>
    <sheetDataSet>
      <sheetData sheetId="0"/>
      <sheetData sheetId="1">
        <row r="22">
          <cell r="B22">
            <v>2778787.73</v>
          </cell>
          <cell r="C22">
            <v>2481702</v>
          </cell>
        </row>
        <row r="248">
          <cell r="C248">
            <v>2238702</v>
          </cell>
          <cell r="E248">
            <v>2742642</v>
          </cell>
        </row>
        <row r="262">
          <cell r="C262">
            <v>0</v>
          </cell>
          <cell r="E262">
            <v>3000</v>
          </cell>
        </row>
        <row r="324">
          <cell r="B324">
            <v>137221</v>
          </cell>
          <cell r="E324">
            <v>135357</v>
          </cell>
          <cell r="F324">
            <v>135357</v>
          </cell>
        </row>
        <row r="385">
          <cell r="C385">
            <v>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tabSelected="1" zoomScale="130" zoomScaleNormal="130" workbookViewId="0">
      <selection activeCell="J28" sqref="J28"/>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99</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7"/>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4" t="s">
        <v>101</v>
      </c>
      <c r="O4" s="1228" t="s">
        <v>44</v>
      </c>
      <c r="P4" s="1229" t="s">
        <v>100</v>
      </c>
      <c r="Q4" s="1229"/>
      <c r="R4" s="1232"/>
      <c r="S4" s="1230" t="s">
        <v>101</v>
      </c>
      <c r="T4" s="1231"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5"/>
      <c r="O5" s="1228"/>
      <c r="P5" s="3" t="s">
        <v>35</v>
      </c>
      <c r="Q5" s="3" t="s">
        <v>36</v>
      </c>
      <c r="R5" s="48" t="s">
        <v>37</v>
      </c>
      <c r="S5" s="1230"/>
      <c r="T5" s="1231"/>
      <c r="U5" s="3" t="s">
        <v>35</v>
      </c>
      <c r="V5" s="3" t="s">
        <v>36</v>
      </c>
      <c r="W5" s="3" t="s">
        <v>37</v>
      </c>
      <c r="X5" s="1230"/>
    </row>
    <row r="6" spans="1:24" s="34" customFormat="1" x14ac:dyDescent="0.15">
      <c r="A6" s="49" t="s">
        <v>0</v>
      </c>
      <c r="B6" s="1236" t="s">
        <v>1</v>
      </c>
      <c r="C6" s="1236"/>
      <c r="D6" s="50" t="s">
        <v>25</v>
      </c>
      <c r="E6" s="51">
        <f>SUM(E7:E9)</f>
        <v>14050403</v>
      </c>
      <c r="F6" s="52">
        <f>SUM(F7:F9)</f>
        <v>15296802</v>
      </c>
      <c r="G6" s="52">
        <f>SUM(G7:G9)</f>
        <v>15289666</v>
      </c>
      <c r="H6" s="4">
        <f t="shared" ref="H6:H36" si="0">G6/F6*100</f>
        <v>99.953349726302264</v>
      </c>
      <c r="I6" s="53">
        <f>SUM(I7:I9)</f>
        <v>15406046</v>
      </c>
      <c r="J6" s="51">
        <f>SUM(J7:J9)</f>
        <v>5874743</v>
      </c>
      <c r="K6" s="52">
        <f t="shared" ref="K6:V6" si="1">SUM(K7:K9)</f>
        <v>6472670</v>
      </c>
      <c r="L6" s="52">
        <f t="shared" si="1"/>
        <v>6465534</v>
      </c>
      <c r="M6" s="4">
        <f t="shared" ref="M6:M36" si="2">L6/K6*100</f>
        <v>99.8897518334783</v>
      </c>
      <c r="N6" s="52">
        <f t="shared" ref="N6:O6" si="3">SUM(N7:N9)</f>
        <v>6672933</v>
      </c>
      <c r="O6" s="54">
        <f t="shared" si="3"/>
        <v>8175660</v>
      </c>
      <c r="P6" s="52">
        <f t="shared" si="1"/>
        <v>8824132</v>
      </c>
      <c r="Q6" s="52">
        <f t="shared" si="1"/>
        <v>8824132</v>
      </c>
      <c r="R6" s="4">
        <f t="shared" ref="R6:R36" si="4">Q6/P6*100</f>
        <v>100</v>
      </c>
      <c r="S6" s="52">
        <f t="shared" ref="S6" si="5">SUM(S7:S9)</f>
        <v>8733113</v>
      </c>
      <c r="T6" s="52">
        <f t="shared" ref="T6" si="6">SUM(T7:T9)</f>
        <v>43438</v>
      </c>
      <c r="U6" s="52">
        <f t="shared" si="1"/>
        <v>43438</v>
      </c>
      <c r="V6" s="52">
        <f t="shared" si="1"/>
        <v>43438</v>
      </c>
      <c r="W6" s="4">
        <f t="shared" ref="W6:W36" si="7">V6/U6*100</f>
        <v>100</v>
      </c>
      <c r="X6" s="52">
        <f t="shared" ref="X6" si="8">SUM(X7:X9)</f>
        <v>43438</v>
      </c>
    </row>
    <row r="7" spans="1:24" s="34" customFormat="1" x14ac:dyDescent="0.15">
      <c r="A7" s="55" t="s">
        <v>2</v>
      </c>
      <c r="B7" s="1233" t="s">
        <v>46</v>
      </c>
      <c r="C7" s="1233"/>
      <c r="D7" s="50" t="s">
        <v>25</v>
      </c>
      <c r="E7" s="56">
        <f t="shared" ref="E7:G10" si="9">SUM(J7,O7)</f>
        <v>3090000</v>
      </c>
      <c r="F7" s="57">
        <f t="shared" si="9"/>
        <v>3567927</v>
      </c>
      <c r="G7" s="57">
        <f t="shared" si="9"/>
        <v>3567927</v>
      </c>
      <c r="H7" s="58">
        <f t="shared" si="0"/>
        <v>100</v>
      </c>
      <c r="I7" s="59">
        <f>SUM(N7,S7)</f>
        <v>3488190</v>
      </c>
      <c r="J7" s="60">
        <v>3090000</v>
      </c>
      <c r="K7" s="61">
        <v>3567927</v>
      </c>
      <c r="L7" s="61">
        <v>3567927</v>
      </c>
      <c r="M7" s="58">
        <f t="shared" si="2"/>
        <v>100</v>
      </c>
      <c r="N7" s="61">
        <v>3488190</v>
      </c>
      <c r="O7" s="62">
        <v>0</v>
      </c>
      <c r="P7" s="61">
        <v>0</v>
      </c>
      <c r="Q7" s="61">
        <v>0</v>
      </c>
      <c r="R7" s="58">
        <v>0</v>
      </c>
      <c r="S7" s="61">
        <v>0</v>
      </c>
      <c r="T7" s="61">
        <v>43438</v>
      </c>
      <c r="U7" s="61">
        <v>43438</v>
      </c>
      <c r="V7" s="61">
        <v>43438</v>
      </c>
      <c r="W7" s="58">
        <f t="shared" si="7"/>
        <v>100</v>
      </c>
      <c r="X7" s="61">
        <v>43438</v>
      </c>
    </row>
    <row r="8" spans="1:24" s="34" customFormat="1" x14ac:dyDescent="0.15">
      <c r="A8" s="63" t="s">
        <v>3</v>
      </c>
      <c r="B8" s="1237" t="s">
        <v>47</v>
      </c>
      <c r="C8" s="1237"/>
      <c r="D8" s="50" t="s">
        <v>25</v>
      </c>
      <c r="E8" s="56">
        <f t="shared" si="9"/>
        <v>0</v>
      </c>
      <c r="F8" s="57">
        <f t="shared" si="9"/>
        <v>0</v>
      </c>
      <c r="G8" s="57">
        <f t="shared" si="9"/>
        <v>0</v>
      </c>
      <c r="H8" s="58">
        <v>0</v>
      </c>
      <c r="I8" s="59">
        <f>SUM(N8,S8)</f>
        <v>0</v>
      </c>
      <c r="J8" s="64">
        <v>0</v>
      </c>
      <c r="K8" s="57">
        <v>0</v>
      </c>
      <c r="L8" s="57">
        <v>0</v>
      </c>
      <c r="M8" s="58">
        <v>0</v>
      </c>
      <c r="N8" s="57">
        <v>0</v>
      </c>
      <c r="O8" s="65">
        <v>0</v>
      </c>
      <c r="P8" s="57">
        <v>0</v>
      </c>
      <c r="Q8" s="57">
        <v>0</v>
      </c>
      <c r="R8" s="58">
        <v>0</v>
      </c>
      <c r="S8" s="57">
        <v>0</v>
      </c>
      <c r="T8" s="57">
        <v>0</v>
      </c>
      <c r="U8" s="57">
        <v>0</v>
      </c>
      <c r="V8" s="57">
        <v>0</v>
      </c>
      <c r="W8" s="58">
        <v>0</v>
      </c>
      <c r="X8" s="57">
        <v>0</v>
      </c>
    </row>
    <row r="9" spans="1:24" s="34" customFormat="1" ht="8.4" x14ac:dyDescent="0.2">
      <c r="A9" s="63" t="s">
        <v>4</v>
      </c>
      <c r="B9" s="66" t="s">
        <v>62</v>
      </c>
      <c r="C9" s="67"/>
      <c r="D9" s="50" t="s">
        <v>25</v>
      </c>
      <c r="E9" s="56">
        <f t="shared" si="9"/>
        <v>10960403</v>
      </c>
      <c r="F9" s="57">
        <f t="shared" si="9"/>
        <v>11728875</v>
      </c>
      <c r="G9" s="57">
        <f t="shared" si="9"/>
        <v>11721739</v>
      </c>
      <c r="H9" s="58">
        <f t="shared" si="0"/>
        <v>99.939158700216353</v>
      </c>
      <c r="I9" s="59">
        <f>SUM(N9,S9)</f>
        <v>11917856</v>
      </c>
      <c r="J9" s="64">
        <v>2784743</v>
      </c>
      <c r="K9" s="57">
        <v>2904743</v>
      </c>
      <c r="L9" s="57">
        <v>2897607</v>
      </c>
      <c r="M9" s="58">
        <f t="shared" si="2"/>
        <v>99.754332827379216</v>
      </c>
      <c r="N9" s="57">
        <v>3184743</v>
      </c>
      <c r="O9" s="65">
        <v>8175660</v>
      </c>
      <c r="P9" s="57">
        <v>8824132</v>
      </c>
      <c r="Q9" s="57">
        <v>8824132</v>
      </c>
      <c r="R9" s="58">
        <f t="shared" si="4"/>
        <v>100</v>
      </c>
      <c r="S9" s="57">
        <v>8733113</v>
      </c>
      <c r="T9" s="57">
        <v>0</v>
      </c>
      <c r="U9" s="57">
        <v>0</v>
      </c>
      <c r="V9" s="57">
        <v>0</v>
      </c>
      <c r="W9" s="58">
        <v>0</v>
      </c>
      <c r="X9" s="57">
        <v>0</v>
      </c>
    </row>
    <row r="10" spans="1:24" s="34" customFormat="1" x14ac:dyDescent="0.15">
      <c r="A10" s="49" t="s">
        <v>5</v>
      </c>
      <c r="B10" s="1236" t="s">
        <v>7</v>
      </c>
      <c r="C10" s="1236"/>
      <c r="D10" s="50" t="s">
        <v>25</v>
      </c>
      <c r="E10" s="68">
        <f t="shared" si="9"/>
        <v>0</v>
      </c>
      <c r="F10" s="69">
        <f t="shared" si="9"/>
        <v>0</v>
      </c>
      <c r="G10" s="69">
        <f t="shared" si="9"/>
        <v>0</v>
      </c>
      <c r="H10" s="4">
        <v>0</v>
      </c>
      <c r="I10" s="70">
        <f>SUM(N10,S10)</f>
        <v>0</v>
      </c>
      <c r="J10" s="71"/>
      <c r="K10" s="69"/>
      <c r="L10" s="69"/>
      <c r="M10" s="4">
        <v>0</v>
      </c>
      <c r="N10" s="69">
        <v>0</v>
      </c>
      <c r="O10" s="72"/>
      <c r="P10" s="69"/>
      <c r="Q10" s="69"/>
      <c r="R10" s="4">
        <v>0</v>
      </c>
      <c r="S10" s="69">
        <v>0</v>
      </c>
      <c r="T10" s="69"/>
      <c r="U10" s="69"/>
      <c r="V10" s="69"/>
      <c r="W10" s="4">
        <v>0</v>
      </c>
      <c r="X10" s="69">
        <v>0</v>
      </c>
    </row>
    <row r="11" spans="1:24" s="34" customFormat="1" x14ac:dyDescent="0.15">
      <c r="A11" s="49" t="s">
        <v>6</v>
      </c>
      <c r="B11" s="1236" t="s">
        <v>9</v>
      </c>
      <c r="C11" s="1236"/>
      <c r="D11" s="50" t="s">
        <v>25</v>
      </c>
      <c r="E11" s="51">
        <v>14050403</v>
      </c>
      <c r="F11" s="52">
        <f>SUM(F12:F31)</f>
        <v>15296802</v>
      </c>
      <c r="G11" s="52">
        <f>SUM(G12:G31)</f>
        <v>15213084</v>
      </c>
      <c r="H11" s="4">
        <f t="shared" si="0"/>
        <v>99.452709134889759</v>
      </c>
      <c r="I11" s="53">
        <v>15114220</v>
      </c>
      <c r="J11" s="51">
        <f>SUM(J12:J31)</f>
        <v>5874743</v>
      </c>
      <c r="K11" s="52">
        <f>SUM(K12:K31)</f>
        <v>6472670</v>
      </c>
      <c r="L11" s="52">
        <f>SUM(L12:L31)</f>
        <v>6388952</v>
      </c>
      <c r="M11" s="4">
        <f t="shared" si="2"/>
        <v>98.706592488107688</v>
      </c>
      <c r="N11" s="52">
        <f>SUM(N12:N31)</f>
        <v>6381107</v>
      </c>
      <c r="O11" s="54">
        <f>SUM(O12:O31)</f>
        <v>8175660</v>
      </c>
      <c r="P11" s="52">
        <f>SUM(P12:P31)</f>
        <v>8824132</v>
      </c>
      <c r="Q11" s="52">
        <f>SUM(Q12:Q31)</f>
        <v>8824132</v>
      </c>
      <c r="R11" s="4">
        <f t="shared" si="4"/>
        <v>100</v>
      </c>
      <c r="S11" s="52">
        <f>SUM(S12:S31)</f>
        <v>8733113</v>
      </c>
      <c r="T11" s="52">
        <f>SUM(T12:T31)</f>
        <v>11140</v>
      </c>
      <c r="U11" s="52">
        <f>SUM(U12:U31)</f>
        <v>15597</v>
      </c>
      <c r="V11" s="52">
        <f>SUM(V12:V31)</f>
        <v>13097</v>
      </c>
      <c r="W11" s="4">
        <f t="shared" si="7"/>
        <v>83.971276527537341</v>
      </c>
      <c r="X11" s="52">
        <f>SUM(X12:X31)</f>
        <v>8142</v>
      </c>
    </row>
    <row r="12" spans="1:24" s="34" customFormat="1" x14ac:dyDescent="0.15">
      <c r="A12" s="73" t="s">
        <v>8</v>
      </c>
      <c r="B12" s="1238" t="s">
        <v>28</v>
      </c>
      <c r="C12" s="1238"/>
      <c r="D12" s="50" t="s">
        <v>25</v>
      </c>
      <c r="E12" s="56">
        <f>SUM(J12,O12)</f>
        <v>3297000</v>
      </c>
      <c r="F12" s="57">
        <f t="shared" ref="E12:J27" si="10">SUM(K12,P12)</f>
        <v>3143183</v>
      </c>
      <c r="G12" s="57">
        <f t="shared" si="10"/>
        <v>3143183</v>
      </c>
      <c r="H12" s="58">
        <f t="shared" si="0"/>
        <v>100</v>
      </c>
      <c r="I12" s="59">
        <f t="shared" si="10"/>
        <v>3346397</v>
      </c>
      <c r="J12" s="74">
        <v>3297000</v>
      </c>
      <c r="K12" s="75">
        <v>3125356</v>
      </c>
      <c r="L12" s="75">
        <v>3125356</v>
      </c>
      <c r="M12" s="58">
        <f t="shared" si="2"/>
        <v>100</v>
      </c>
      <c r="N12" s="75">
        <v>3335126</v>
      </c>
      <c r="O12" s="61">
        <v>0</v>
      </c>
      <c r="P12" s="75">
        <v>17827</v>
      </c>
      <c r="Q12" s="75">
        <v>17827</v>
      </c>
      <c r="R12" s="58">
        <f t="shared" si="4"/>
        <v>100</v>
      </c>
      <c r="S12" s="75">
        <v>11271</v>
      </c>
      <c r="T12" s="57">
        <v>0</v>
      </c>
      <c r="U12" s="75">
        <v>0</v>
      </c>
      <c r="V12" s="75">
        <v>0</v>
      </c>
      <c r="W12" s="58">
        <v>0</v>
      </c>
      <c r="X12" s="75">
        <v>0</v>
      </c>
    </row>
    <row r="13" spans="1:24" s="34" customFormat="1" x14ac:dyDescent="0.15">
      <c r="A13" s="55" t="s">
        <v>10</v>
      </c>
      <c r="B13" s="1233" t="s">
        <v>29</v>
      </c>
      <c r="C13" s="1233"/>
      <c r="D13" s="50" t="s">
        <v>25</v>
      </c>
      <c r="E13" s="56">
        <f t="shared" si="10"/>
        <v>564000</v>
      </c>
      <c r="F13" s="57">
        <f t="shared" si="10"/>
        <v>564000</v>
      </c>
      <c r="G13" s="57">
        <v>487417</v>
      </c>
      <c r="H13" s="58">
        <f t="shared" si="0"/>
        <v>86.421453900709224</v>
      </c>
      <c r="I13" s="59">
        <f t="shared" si="10"/>
        <v>459096</v>
      </c>
      <c r="J13" s="74">
        <v>564000</v>
      </c>
      <c r="K13" s="57">
        <v>564000</v>
      </c>
      <c r="L13" s="57">
        <v>487417</v>
      </c>
      <c r="M13" s="58">
        <f t="shared" si="2"/>
        <v>86.421453900709224</v>
      </c>
      <c r="N13" s="57">
        <v>459096</v>
      </c>
      <c r="O13" s="57">
        <v>0</v>
      </c>
      <c r="P13" s="57">
        <v>0</v>
      </c>
      <c r="Q13" s="57">
        <v>0</v>
      </c>
      <c r="R13" s="58" t="e">
        <f t="shared" si="4"/>
        <v>#DIV/0!</v>
      </c>
      <c r="S13" s="57">
        <v>0</v>
      </c>
      <c r="T13" s="57">
        <v>0</v>
      </c>
      <c r="U13" s="57">
        <v>0</v>
      </c>
      <c r="V13" s="57">
        <v>0</v>
      </c>
      <c r="W13" s="58">
        <v>0</v>
      </c>
      <c r="X13" s="75">
        <v>0</v>
      </c>
    </row>
    <row r="14" spans="1:24" s="34" customFormat="1" x14ac:dyDescent="0.15">
      <c r="A14" s="55" t="s">
        <v>11</v>
      </c>
      <c r="B14" s="76" t="s">
        <v>63</v>
      </c>
      <c r="C14" s="76"/>
      <c r="D14" s="50" t="s">
        <v>25</v>
      </c>
      <c r="E14" s="56">
        <f t="shared" si="10"/>
        <v>0</v>
      </c>
      <c r="F14" s="57">
        <f t="shared" si="10"/>
        <v>0</v>
      </c>
      <c r="G14" s="57">
        <f t="shared" si="10"/>
        <v>0</v>
      </c>
      <c r="H14" s="58">
        <v>0</v>
      </c>
      <c r="I14" s="59">
        <f t="shared" si="10"/>
        <v>0</v>
      </c>
      <c r="J14" s="74">
        <v>0</v>
      </c>
      <c r="K14" s="57">
        <v>0</v>
      </c>
      <c r="L14" s="57">
        <v>0</v>
      </c>
      <c r="M14" s="58">
        <v>0</v>
      </c>
      <c r="N14" s="57">
        <v>0</v>
      </c>
      <c r="O14" s="61">
        <v>0</v>
      </c>
      <c r="P14" s="57">
        <v>0</v>
      </c>
      <c r="Q14" s="57">
        <v>0</v>
      </c>
      <c r="R14" s="58" t="e">
        <f t="shared" si="4"/>
        <v>#DIV/0!</v>
      </c>
      <c r="S14" s="57">
        <v>0</v>
      </c>
      <c r="T14" s="57">
        <v>0</v>
      </c>
      <c r="U14" s="57">
        <v>0</v>
      </c>
      <c r="V14" s="57">
        <v>0</v>
      </c>
      <c r="W14" s="58">
        <v>0</v>
      </c>
      <c r="X14" s="75">
        <v>0</v>
      </c>
    </row>
    <row r="15" spans="1:24" s="34" customFormat="1" x14ac:dyDescent="0.15">
      <c r="A15" s="55" t="s">
        <v>12</v>
      </c>
      <c r="B15" s="1233" t="s">
        <v>64</v>
      </c>
      <c r="C15" s="1233"/>
      <c r="D15" s="50" t="s">
        <v>25</v>
      </c>
      <c r="E15" s="56">
        <f t="shared" si="10"/>
        <v>464000</v>
      </c>
      <c r="F15" s="57">
        <f t="shared" si="10"/>
        <v>1169047</v>
      </c>
      <c r="G15" s="57">
        <f t="shared" si="10"/>
        <v>1169047</v>
      </c>
      <c r="H15" s="58">
        <f t="shared" si="0"/>
        <v>100</v>
      </c>
      <c r="I15" s="59">
        <f t="shared" si="10"/>
        <v>1093985</v>
      </c>
      <c r="J15" s="74">
        <v>464000</v>
      </c>
      <c r="K15" s="57">
        <v>1169047</v>
      </c>
      <c r="L15" s="57">
        <v>1169047</v>
      </c>
      <c r="M15" s="58">
        <f t="shared" si="2"/>
        <v>100</v>
      </c>
      <c r="N15" s="57">
        <v>1093985</v>
      </c>
      <c r="O15" s="57">
        <v>0</v>
      </c>
      <c r="P15" s="57">
        <v>0</v>
      </c>
      <c r="Q15" s="57">
        <v>0</v>
      </c>
      <c r="R15" s="58" t="e">
        <f t="shared" si="4"/>
        <v>#DIV/0!</v>
      </c>
      <c r="S15" s="57">
        <v>0</v>
      </c>
      <c r="T15" s="57">
        <v>3000</v>
      </c>
      <c r="U15" s="57">
        <v>7457</v>
      </c>
      <c r="V15" s="57">
        <v>7457</v>
      </c>
      <c r="W15" s="58">
        <f t="shared" si="7"/>
        <v>100</v>
      </c>
      <c r="X15" s="57">
        <v>2502</v>
      </c>
    </row>
    <row r="16" spans="1:24" s="34" customFormat="1" x14ac:dyDescent="0.15">
      <c r="A16" s="55" t="s">
        <v>13</v>
      </c>
      <c r="B16" s="1233" t="s">
        <v>30</v>
      </c>
      <c r="C16" s="1233"/>
      <c r="D16" s="50" t="s">
        <v>25</v>
      </c>
      <c r="E16" s="56">
        <f t="shared" si="10"/>
        <v>5000</v>
      </c>
      <c r="F16" s="57">
        <f t="shared" si="10"/>
        <v>5923</v>
      </c>
      <c r="G16" s="57">
        <f t="shared" si="10"/>
        <v>5923</v>
      </c>
      <c r="H16" s="58">
        <f t="shared" si="0"/>
        <v>100</v>
      </c>
      <c r="I16" s="59">
        <f t="shared" si="10"/>
        <v>30144</v>
      </c>
      <c r="J16" s="74">
        <v>5000</v>
      </c>
      <c r="K16" s="57">
        <v>2175</v>
      </c>
      <c r="L16" s="57">
        <v>2175</v>
      </c>
      <c r="M16" s="58">
        <f t="shared" si="2"/>
        <v>100</v>
      </c>
      <c r="N16" s="57">
        <v>324</v>
      </c>
      <c r="O16" s="57">
        <v>0</v>
      </c>
      <c r="P16" s="57">
        <v>3748</v>
      </c>
      <c r="Q16" s="57">
        <v>3748</v>
      </c>
      <c r="R16" s="58">
        <f t="shared" si="4"/>
        <v>100</v>
      </c>
      <c r="S16" s="57">
        <v>29820</v>
      </c>
      <c r="T16" s="57">
        <v>0</v>
      </c>
      <c r="U16" s="57">
        <v>0</v>
      </c>
      <c r="V16" s="57">
        <v>0</v>
      </c>
      <c r="W16" s="58">
        <v>0</v>
      </c>
      <c r="X16" s="75">
        <v>0</v>
      </c>
    </row>
    <row r="17" spans="1:24" s="34" customFormat="1" x14ac:dyDescent="0.15">
      <c r="A17" s="55" t="s">
        <v>14</v>
      </c>
      <c r="B17" s="76" t="s">
        <v>48</v>
      </c>
      <c r="C17" s="76"/>
      <c r="D17" s="50" t="s">
        <v>25</v>
      </c>
      <c r="E17" s="56">
        <f t="shared" si="10"/>
        <v>0</v>
      </c>
      <c r="F17" s="57">
        <f t="shared" si="10"/>
        <v>0</v>
      </c>
      <c r="G17" s="57">
        <f t="shared" si="10"/>
        <v>0</v>
      </c>
      <c r="H17" s="58">
        <v>0</v>
      </c>
      <c r="I17" s="59">
        <f t="shared" si="10"/>
        <v>0</v>
      </c>
      <c r="J17" s="74">
        <v>0</v>
      </c>
      <c r="K17" s="57">
        <v>0</v>
      </c>
      <c r="L17" s="57">
        <v>0</v>
      </c>
      <c r="M17" s="58">
        <v>0</v>
      </c>
      <c r="N17" s="57">
        <v>0</v>
      </c>
      <c r="O17" s="61">
        <v>0</v>
      </c>
      <c r="P17" s="57">
        <v>0</v>
      </c>
      <c r="Q17" s="57">
        <v>0</v>
      </c>
      <c r="R17" s="58" t="e">
        <f t="shared" si="4"/>
        <v>#DIV/0!</v>
      </c>
      <c r="S17" s="57">
        <v>0</v>
      </c>
      <c r="T17" s="57">
        <v>0</v>
      </c>
      <c r="U17" s="57">
        <v>0</v>
      </c>
      <c r="V17" s="57">
        <v>0</v>
      </c>
      <c r="W17" s="58">
        <v>0</v>
      </c>
      <c r="X17" s="75">
        <v>0</v>
      </c>
    </row>
    <row r="18" spans="1:24" s="34" customFormat="1" x14ac:dyDescent="0.15">
      <c r="A18" s="55" t="s">
        <v>15</v>
      </c>
      <c r="B18" s="1233" t="s">
        <v>31</v>
      </c>
      <c r="C18" s="1233"/>
      <c r="D18" s="50" t="s">
        <v>25</v>
      </c>
      <c r="E18" s="56">
        <f t="shared" si="10"/>
        <v>390860</v>
      </c>
      <c r="F18" s="57">
        <f t="shared" si="10"/>
        <v>365170</v>
      </c>
      <c r="G18" s="57">
        <f t="shared" si="10"/>
        <v>365170</v>
      </c>
      <c r="H18" s="58">
        <f t="shared" si="0"/>
        <v>100</v>
      </c>
      <c r="I18" s="59">
        <f t="shared" si="10"/>
        <v>402418</v>
      </c>
      <c r="J18" s="74">
        <v>390860</v>
      </c>
      <c r="K18" s="57">
        <v>350670</v>
      </c>
      <c r="L18" s="57">
        <v>350670</v>
      </c>
      <c r="M18" s="58">
        <f t="shared" si="2"/>
        <v>100</v>
      </c>
      <c r="N18" s="57">
        <v>358738</v>
      </c>
      <c r="O18" s="57">
        <v>0</v>
      </c>
      <c r="P18" s="57">
        <v>14500</v>
      </c>
      <c r="Q18" s="57">
        <v>14500</v>
      </c>
      <c r="R18" s="58">
        <f t="shared" si="4"/>
        <v>100</v>
      </c>
      <c r="S18" s="57">
        <v>43680</v>
      </c>
      <c r="T18" s="57">
        <v>2500</v>
      </c>
      <c r="U18" s="57">
        <v>2500</v>
      </c>
      <c r="V18" s="57">
        <v>0</v>
      </c>
      <c r="W18" s="58">
        <f t="shared" si="7"/>
        <v>0</v>
      </c>
      <c r="X18" s="57">
        <v>0</v>
      </c>
    </row>
    <row r="19" spans="1:24" s="37" customFormat="1" x14ac:dyDescent="0.15">
      <c r="A19" s="55" t="s">
        <v>16</v>
      </c>
      <c r="B19" s="1233" t="s">
        <v>32</v>
      </c>
      <c r="C19" s="1233"/>
      <c r="D19" s="50" t="s">
        <v>25</v>
      </c>
      <c r="E19" s="56">
        <f t="shared" si="10"/>
        <v>6206900</v>
      </c>
      <c r="F19" s="57">
        <f t="shared" si="10"/>
        <v>6555852</v>
      </c>
      <c r="G19" s="57">
        <f t="shared" si="10"/>
        <v>6555852</v>
      </c>
      <c r="H19" s="58">
        <f t="shared" si="0"/>
        <v>100</v>
      </c>
      <c r="I19" s="59">
        <f t="shared" si="10"/>
        <v>6523129</v>
      </c>
      <c r="J19" s="77">
        <v>217000</v>
      </c>
      <c r="K19" s="57">
        <v>220500</v>
      </c>
      <c r="L19" s="57">
        <v>220500</v>
      </c>
      <c r="M19" s="58">
        <f t="shared" si="2"/>
        <v>100</v>
      </c>
      <c r="N19" s="57">
        <v>204800</v>
      </c>
      <c r="O19" s="65">
        <v>5989900</v>
      </c>
      <c r="P19" s="57">
        <v>6335352</v>
      </c>
      <c r="Q19" s="57">
        <v>6335352</v>
      </c>
      <c r="R19" s="58">
        <f t="shared" si="4"/>
        <v>100</v>
      </c>
      <c r="S19" s="57">
        <v>6318329</v>
      </c>
      <c r="T19" s="57">
        <v>0</v>
      </c>
      <c r="U19" s="78">
        <v>0</v>
      </c>
      <c r="V19" s="78">
        <v>0</v>
      </c>
      <c r="W19" s="58">
        <v>0</v>
      </c>
      <c r="X19" s="75">
        <v>0</v>
      </c>
    </row>
    <row r="20" spans="1:24" s="34" customFormat="1" x14ac:dyDescent="0.15">
      <c r="A20" s="55" t="s">
        <v>17</v>
      </c>
      <c r="B20" s="1233" t="s">
        <v>49</v>
      </c>
      <c r="C20" s="1233"/>
      <c r="D20" s="50" t="s">
        <v>25</v>
      </c>
      <c r="E20" s="56">
        <f t="shared" si="10"/>
        <v>2131812</v>
      </c>
      <c r="F20" s="57">
        <f t="shared" si="10"/>
        <v>2227490</v>
      </c>
      <c r="G20" s="57">
        <f t="shared" si="10"/>
        <v>2220572</v>
      </c>
      <c r="H20" s="58">
        <f t="shared" si="0"/>
        <v>99.689426215156971</v>
      </c>
      <c r="I20" s="59">
        <f t="shared" si="10"/>
        <v>2226379</v>
      </c>
      <c r="J20" s="74">
        <v>80412</v>
      </c>
      <c r="K20" s="57">
        <v>81595</v>
      </c>
      <c r="L20" s="57">
        <v>74677</v>
      </c>
      <c r="M20" s="58">
        <f t="shared" si="2"/>
        <v>91.521539310006744</v>
      </c>
      <c r="N20" s="57">
        <v>73258</v>
      </c>
      <c r="O20" s="65">
        <v>2051400</v>
      </c>
      <c r="P20" s="57">
        <v>2145895</v>
      </c>
      <c r="Q20" s="57">
        <v>2145895</v>
      </c>
      <c r="R20" s="58">
        <f t="shared" si="4"/>
        <v>100</v>
      </c>
      <c r="S20" s="57">
        <v>2153121</v>
      </c>
      <c r="T20" s="57">
        <v>0</v>
      </c>
      <c r="U20" s="57">
        <v>0</v>
      </c>
      <c r="V20" s="57">
        <v>0</v>
      </c>
      <c r="W20" s="58">
        <v>0</v>
      </c>
      <c r="X20" s="75">
        <v>0</v>
      </c>
    </row>
    <row r="21" spans="1:24" s="34" customFormat="1" x14ac:dyDescent="0.15">
      <c r="A21" s="55" t="s">
        <v>18</v>
      </c>
      <c r="B21" s="1233" t="s">
        <v>50</v>
      </c>
      <c r="C21" s="1233"/>
      <c r="D21" s="50" t="s">
        <v>25</v>
      </c>
      <c r="E21" s="56">
        <f t="shared" si="10"/>
        <v>149860</v>
      </c>
      <c r="F21" s="57">
        <f t="shared" si="10"/>
        <v>187911</v>
      </c>
      <c r="G21" s="57">
        <f t="shared" si="10"/>
        <v>187694</v>
      </c>
      <c r="H21" s="58">
        <f t="shared" si="0"/>
        <v>99.88451979926667</v>
      </c>
      <c r="I21" s="59">
        <f t="shared" si="10"/>
        <v>183383</v>
      </c>
      <c r="J21" s="74">
        <v>15500</v>
      </c>
      <c r="K21" s="57">
        <v>15570</v>
      </c>
      <c r="L21" s="57">
        <v>15353</v>
      </c>
      <c r="M21" s="58">
        <f t="shared" si="2"/>
        <v>98.606294155427094</v>
      </c>
      <c r="N21" s="57">
        <v>16291</v>
      </c>
      <c r="O21" s="65">
        <v>134360</v>
      </c>
      <c r="P21" s="57">
        <v>172341</v>
      </c>
      <c r="Q21" s="57">
        <v>172341</v>
      </c>
      <c r="R21" s="58">
        <f t="shared" si="4"/>
        <v>100</v>
      </c>
      <c r="S21" s="57">
        <v>167092</v>
      </c>
      <c r="T21" s="57">
        <v>0</v>
      </c>
      <c r="U21" s="57">
        <v>0</v>
      </c>
      <c r="V21" s="57">
        <v>0</v>
      </c>
      <c r="W21" s="58">
        <v>0</v>
      </c>
      <c r="X21" s="75">
        <v>0</v>
      </c>
    </row>
    <row r="22" spans="1:24" s="34" customFormat="1" x14ac:dyDescent="0.15">
      <c r="A22" s="55" t="s">
        <v>19</v>
      </c>
      <c r="B22" s="1233" t="s">
        <v>65</v>
      </c>
      <c r="C22" s="1233"/>
      <c r="D22" s="50" t="s">
        <v>25</v>
      </c>
      <c r="E22" s="56">
        <f t="shared" si="10"/>
        <v>0</v>
      </c>
      <c r="F22" s="57">
        <f t="shared" si="10"/>
        <v>0</v>
      </c>
      <c r="G22" s="57">
        <f t="shared" si="10"/>
        <v>0</v>
      </c>
      <c r="H22" s="58">
        <v>0</v>
      </c>
      <c r="I22" s="59">
        <f t="shared" si="10"/>
        <v>0</v>
      </c>
      <c r="J22" s="79">
        <f t="shared" si="10"/>
        <v>0</v>
      </c>
      <c r="K22" s="57">
        <v>0</v>
      </c>
      <c r="L22" s="57">
        <v>0</v>
      </c>
      <c r="M22" s="58">
        <v>0</v>
      </c>
      <c r="N22" s="57">
        <v>0</v>
      </c>
      <c r="O22" s="57">
        <v>0</v>
      </c>
      <c r="P22" s="57">
        <v>0</v>
      </c>
      <c r="Q22" s="57">
        <v>0</v>
      </c>
      <c r="R22" s="58">
        <v>0</v>
      </c>
      <c r="S22" s="57">
        <v>0</v>
      </c>
      <c r="T22" s="57">
        <v>0</v>
      </c>
      <c r="U22" s="57">
        <v>0</v>
      </c>
      <c r="V22" s="57">
        <v>0</v>
      </c>
      <c r="W22" s="58">
        <v>0</v>
      </c>
      <c r="X22" s="75">
        <v>0</v>
      </c>
    </row>
    <row r="23" spans="1:24" s="34" customFormat="1" x14ac:dyDescent="0.15">
      <c r="A23" s="55" t="s">
        <v>20</v>
      </c>
      <c r="B23" s="76" t="s">
        <v>66</v>
      </c>
      <c r="C23" s="76"/>
      <c r="D23" s="50" t="s">
        <v>25</v>
      </c>
      <c r="E23" s="56">
        <f t="shared" si="10"/>
        <v>0</v>
      </c>
      <c r="F23" s="57">
        <f t="shared" si="10"/>
        <v>0</v>
      </c>
      <c r="G23" s="57">
        <f t="shared" si="10"/>
        <v>0</v>
      </c>
      <c r="H23" s="58">
        <v>0</v>
      </c>
      <c r="I23" s="59">
        <f t="shared" si="10"/>
        <v>0</v>
      </c>
      <c r="J23" s="79">
        <f t="shared" si="10"/>
        <v>0</v>
      </c>
      <c r="K23" s="57">
        <v>0</v>
      </c>
      <c r="L23" s="57">
        <v>0</v>
      </c>
      <c r="M23" s="58">
        <v>0</v>
      </c>
      <c r="N23" s="57">
        <v>0</v>
      </c>
      <c r="O23" s="61">
        <v>0</v>
      </c>
      <c r="P23" s="57">
        <v>0</v>
      </c>
      <c r="Q23" s="57">
        <v>0</v>
      </c>
      <c r="R23" s="58">
        <v>0</v>
      </c>
      <c r="S23" s="57">
        <v>0</v>
      </c>
      <c r="T23" s="57">
        <v>0</v>
      </c>
      <c r="U23" s="57">
        <v>0</v>
      </c>
      <c r="V23" s="57">
        <v>0</v>
      </c>
      <c r="W23" s="58">
        <v>0</v>
      </c>
      <c r="X23" s="75">
        <v>0</v>
      </c>
    </row>
    <row r="24" spans="1:24" s="34" customFormat="1" x14ac:dyDescent="0.15">
      <c r="A24" s="55" t="s">
        <v>21</v>
      </c>
      <c r="B24" s="76" t="s">
        <v>73</v>
      </c>
      <c r="C24" s="76"/>
      <c r="D24" s="50" t="s">
        <v>25</v>
      </c>
      <c r="E24" s="56">
        <f t="shared" si="10"/>
        <v>0</v>
      </c>
      <c r="F24" s="57">
        <f t="shared" si="10"/>
        <v>0</v>
      </c>
      <c r="G24" s="57">
        <f t="shared" si="10"/>
        <v>0</v>
      </c>
      <c r="H24" s="58">
        <v>0</v>
      </c>
      <c r="I24" s="59">
        <f t="shared" si="10"/>
        <v>0</v>
      </c>
      <c r="J24" s="79">
        <f t="shared" si="10"/>
        <v>0</v>
      </c>
      <c r="K24" s="57">
        <v>0</v>
      </c>
      <c r="L24" s="57">
        <v>0</v>
      </c>
      <c r="M24" s="58">
        <v>0</v>
      </c>
      <c r="N24" s="57">
        <v>0</v>
      </c>
      <c r="O24" s="57">
        <v>0</v>
      </c>
      <c r="P24" s="57">
        <v>0</v>
      </c>
      <c r="Q24" s="57">
        <v>0</v>
      </c>
      <c r="R24" s="58">
        <v>0</v>
      </c>
      <c r="S24" s="57">
        <v>0</v>
      </c>
      <c r="T24" s="57">
        <v>0</v>
      </c>
      <c r="U24" s="57">
        <v>0</v>
      </c>
      <c r="V24" s="57">
        <v>0</v>
      </c>
      <c r="W24" s="58">
        <v>0</v>
      </c>
      <c r="X24" s="75">
        <v>0</v>
      </c>
    </row>
    <row r="25" spans="1:24" s="34" customFormat="1" x14ac:dyDescent="0.15">
      <c r="A25" s="73" t="s">
        <v>22</v>
      </c>
      <c r="B25" s="80" t="s">
        <v>68</v>
      </c>
      <c r="C25" s="80"/>
      <c r="D25" s="50" t="s">
        <v>25</v>
      </c>
      <c r="E25" s="56">
        <f t="shared" si="10"/>
        <v>0</v>
      </c>
      <c r="F25" s="57">
        <f t="shared" si="10"/>
        <v>0</v>
      </c>
      <c r="G25" s="57">
        <f t="shared" si="10"/>
        <v>0</v>
      </c>
      <c r="H25" s="58">
        <v>0</v>
      </c>
      <c r="I25" s="59">
        <f t="shared" si="10"/>
        <v>0</v>
      </c>
      <c r="J25" s="79">
        <f t="shared" si="10"/>
        <v>0</v>
      </c>
      <c r="K25" s="75">
        <v>0</v>
      </c>
      <c r="L25" s="75">
        <v>0</v>
      </c>
      <c r="M25" s="58">
        <v>0</v>
      </c>
      <c r="N25" s="75">
        <v>0</v>
      </c>
      <c r="O25" s="57">
        <v>0</v>
      </c>
      <c r="P25" s="75">
        <v>0</v>
      </c>
      <c r="Q25" s="75">
        <v>0</v>
      </c>
      <c r="R25" s="58">
        <v>0</v>
      </c>
      <c r="S25" s="57">
        <v>0</v>
      </c>
      <c r="T25" s="57">
        <v>0</v>
      </c>
      <c r="U25" s="75">
        <v>0</v>
      </c>
      <c r="V25" s="75">
        <v>0</v>
      </c>
      <c r="W25" s="58">
        <v>0</v>
      </c>
      <c r="X25" s="75">
        <v>0</v>
      </c>
    </row>
    <row r="26" spans="1:24" s="38" customFormat="1" x14ac:dyDescent="0.15">
      <c r="A26" s="55" t="s">
        <v>23</v>
      </c>
      <c r="B26" s="1233" t="s">
        <v>69</v>
      </c>
      <c r="C26" s="1233"/>
      <c r="D26" s="50" t="s">
        <v>25</v>
      </c>
      <c r="E26" s="56">
        <f t="shared" si="10"/>
        <v>648349</v>
      </c>
      <c r="F26" s="57">
        <f t="shared" si="10"/>
        <v>549362</v>
      </c>
      <c r="G26" s="57">
        <f t="shared" si="10"/>
        <v>549362</v>
      </c>
      <c r="H26" s="81">
        <f t="shared" si="0"/>
        <v>100</v>
      </c>
      <c r="I26" s="59">
        <f t="shared" si="10"/>
        <v>648349</v>
      </c>
      <c r="J26" s="74">
        <v>648349</v>
      </c>
      <c r="K26" s="82">
        <v>549362</v>
      </c>
      <c r="L26" s="82">
        <v>549362</v>
      </c>
      <c r="M26" s="58">
        <f t="shared" si="2"/>
        <v>100</v>
      </c>
      <c r="N26" s="82">
        <v>648349</v>
      </c>
      <c r="O26" s="61">
        <v>0</v>
      </c>
      <c r="P26" s="82">
        <v>0</v>
      </c>
      <c r="Q26" s="82">
        <v>0</v>
      </c>
      <c r="R26" s="58">
        <v>0</v>
      </c>
      <c r="S26" s="57">
        <v>0</v>
      </c>
      <c r="T26" s="83">
        <v>5640</v>
      </c>
      <c r="U26" s="83">
        <v>5640</v>
      </c>
      <c r="V26" s="83">
        <v>5640</v>
      </c>
      <c r="W26" s="58">
        <f t="shared" si="7"/>
        <v>100</v>
      </c>
      <c r="X26" s="83">
        <v>5640</v>
      </c>
    </row>
    <row r="27" spans="1:24" s="39" customFormat="1" x14ac:dyDescent="0.15">
      <c r="A27" s="55" t="s">
        <v>45</v>
      </c>
      <c r="B27" s="76" t="s">
        <v>70</v>
      </c>
      <c r="C27" s="76"/>
      <c r="D27" s="50" t="s">
        <v>25</v>
      </c>
      <c r="E27" s="56">
        <f t="shared" si="10"/>
        <v>0</v>
      </c>
      <c r="F27" s="57">
        <f t="shared" si="10"/>
        <v>0</v>
      </c>
      <c r="G27" s="57">
        <f t="shared" si="10"/>
        <v>0</v>
      </c>
      <c r="H27" s="81">
        <v>0</v>
      </c>
      <c r="I27" s="59">
        <f t="shared" si="10"/>
        <v>0</v>
      </c>
      <c r="J27" s="74">
        <v>0</v>
      </c>
      <c r="K27" s="82">
        <v>0</v>
      </c>
      <c r="L27" s="82">
        <v>0</v>
      </c>
      <c r="M27" s="58">
        <v>0</v>
      </c>
      <c r="N27" s="82">
        <v>0</v>
      </c>
      <c r="O27" s="57">
        <v>0</v>
      </c>
      <c r="P27" s="82">
        <v>0</v>
      </c>
      <c r="Q27" s="82">
        <v>0</v>
      </c>
      <c r="R27" s="58">
        <v>0</v>
      </c>
      <c r="S27" s="57">
        <v>0</v>
      </c>
      <c r="T27" s="57">
        <v>0</v>
      </c>
      <c r="U27" s="83">
        <v>0</v>
      </c>
      <c r="V27" s="83">
        <v>0</v>
      </c>
      <c r="W27" s="58">
        <v>0</v>
      </c>
      <c r="X27" s="75">
        <v>0</v>
      </c>
    </row>
    <row r="28" spans="1:24" s="39" customFormat="1" x14ac:dyDescent="0.15">
      <c r="A28" s="55" t="s">
        <v>51</v>
      </c>
      <c r="B28" s="76" t="s">
        <v>74</v>
      </c>
      <c r="C28" s="76"/>
      <c r="D28" s="50" t="s">
        <v>25</v>
      </c>
      <c r="E28" s="56">
        <v>192253</v>
      </c>
      <c r="F28" s="57">
        <v>443882</v>
      </c>
      <c r="G28" s="57">
        <v>443882</v>
      </c>
      <c r="H28" s="81">
        <f t="shared" si="0"/>
        <v>100</v>
      </c>
      <c r="I28" s="59">
        <v>161371</v>
      </c>
      <c r="J28" s="74">
        <v>192253</v>
      </c>
      <c r="K28" s="82">
        <v>309413</v>
      </c>
      <c r="L28" s="82">
        <v>309413</v>
      </c>
      <c r="M28" s="58">
        <f t="shared" si="2"/>
        <v>100</v>
      </c>
      <c r="N28" s="82">
        <v>151571</v>
      </c>
      <c r="O28" s="57">
        <v>0</v>
      </c>
      <c r="P28" s="82">
        <v>134469</v>
      </c>
      <c r="Q28" s="82">
        <v>134469</v>
      </c>
      <c r="R28" s="58">
        <f t="shared" si="4"/>
        <v>100</v>
      </c>
      <c r="S28" s="82">
        <v>9800</v>
      </c>
      <c r="T28" s="57">
        <v>0</v>
      </c>
      <c r="U28" s="83">
        <v>0</v>
      </c>
      <c r="V28" s="83">
        <v>0</v>
      </c>
      <c r="W28" s="58">
        <v>0</v>
      </c>
      <c r="X28" s="75">
        <v>0</v>
      </c>
    </row>
    <row r="29" spans="1:24" s="38" customFormat="1" x14ac:dyDescent="0.15">
      <c r="A29" s="55" t="s">
        <v>52</v>
      </c>
      <c r="B29" s="1233" t="s">
        <v>67</v>
      </c>
      <c r="C29" s="1233"/>
      <c r="D29" s="50" t="s">
        <v>25</v>
      </c>
      <c r="E29" s="56">
        <f t="shared" ref="E29:G31" si="11">SUM(J29,O29)</f>
        <v>369</v>
      </c>
      <c r="F29" s="57">
        <f t="shared" si="11"/>
        <v>84982</v>
      </c>
      <c r="G29" s="57">
        <f t="shared" si="11"/>
        <v>84982</v>
      </c>
      <c r="H29" s="81">
        <f t="shared" si="0"/>
        <v>100</v>
      </c>
      <c r="I29" s="59">
        <f>SUM(N29,S29)</f>
        <v>39569</v>
      </c>
      <c r="J29" s="74">
        <v>369</v>
      </c>
      <c r="K29" s="82">
        <v>84982</v>
      </c>
      <c r="L29" s="82">
        <v>84982</v>
      </c>
      <c r="M29" s="58">
        <f t="shared" si="2"/>
        <v>100</v>
      </c>
      <c r="N29" s="82">
        <v>39569</v>
      </c>
      <c r="O29" s="61">
        <v>0</v>
      </c>
      <c r="P29" s="82">
        <v>0</v>
      </c>
      <c r="Q29" s="82">
        <v>0</v>
      </c>
      <c r="R29" s="58">
        <v>0</v>
      </c>
      <c r="S29" s="57">
        <v>0</v>
      </c>
      <c r="T29" s="57">
        <v>0</v>
      </c>
      <c r="U29" s="83">
        <v>0</v>
      </c>
      <c r="V29" s="83">
        <v>0</v>
      </c>
      <c r="W29" s="58">
        <v>0</v>
      </c>
      <c r="X29" s="75">
        <v>0</v>
      </c>
    </row>
    <row r="30" spans="1:24" s="34" customFormat="1" x14ac:dyDescent="0.15">
      <c r="A30" s="55" t="s">
        <v>54</v>
      </c>
      <c r="B30" s="76" t="s">
        <v>53</v>
      </c>
      <c r="C30" s="76"/>
      <c r="D30" s="50" t="s">
        <v>25</v>
      </c>
      <c r="E30" s="56">
        <f t="shared" si="11"/>
        <v>0</v>
      </c>
      <c r="F30" s="57">
        <f t="shared" si="11"/>
        <v>0</v>
      </c>
      <c r="G30" s="57">
        <f t="shared" si="11"/>
        <v>0</v>
      </c>
      <c r="H30" s="81">
        <v>0</v>
      </c>
      <c r="I30" s="59">
        <f>SUM(N30,S30)</f>
        <v>0</v>
      </c>
      <c r="J30" s="74">
        <v>0</v>
      </c>
      <c r="K30" s="82">
        <v>0</v>
      </c>
      <c r="L30" s="82">
        <v>0</v>
      </c>
      <c r="M30" s="58">
        <v>0</v>
      </c>
      <c r="N30" s="82">
        <v>0</v>
      </c>
      <c r="O30" s="57">
        <v>0</v>
      </c>
      <c r="P30" s="82">
        <v>0</v>
      </c>
      <c r="Q30" s="82">
        <v>0</v>
      </c>
      <c r="R30" s="58">
        <v>0</v>
      </c>
      <c r="S30" s="57">
        <v>0</v>
      </c>
      <c r="T30" s="57">
        <v>0</v>
      </c>
      <c r="U30" s="83">
        <v>0</v>
      </c>
      <c r="V30" s="83">
        <v>0</v>
      </c>
      <c r="W30" s="58">
        <v>0</v>
      </c>
      <c r="X30" s="75">
        <v>0</v>
      </c>
    </row>
    <row r="31" spans="1:24" s="5" customFormat="1" ht="8.4" x14ac:dyDescent="0.2">
      <c r="A31" s="55" t="s">
        <v>55</v>
      </c>
      <c r="B31" s="66" t="s">
        <v>71</v>
      </c>
      <c r="C31" s="66"/>
      <c r="D31" s="50" t="s">
        <v>25</v>
      </c>
      <c r="E31" s="56">
        <f t="shared" si="11"/>
        <v>0</v>
      </c>
      <c r="F31" s="57">
        <f t="shared" si="11"/>
        <v>0</v>
      </c>
      <c r="G31" s="57">
        <f t="shared" si="11"/>
        <v>0</v>
      </c>
      <c r="H31" s="81">
        <v>0</v>
      </c>
      <c r="I31" s="59">
        <f>SUM(N31,S31)</f>
        <v>0</v>
      </c>
      <c r="J31" s="74">
        <v>0</v>
      </c>
      <c r="K31" s="84">
        <v>0</v>
      </c>
      <c r="L31" s="84">
        <v>0</v>
      </c>
      <c r="M31" s="58">
        <v>0</v>
      </c>
      <c r="N31" s="84">
        <v>0</v>
      </c>
      <c r="O31" s="85">
        <v>0</v>
      </c>
      <c r="P31" s="84">
        <v>0</v>
      </c>
      <c r="Q31" s="84">
        <v>0</v>
      </c>
      <c r="R31" s="58">
        <v>0</v>
      </c>
      <c r="S31" s="57">
        <v>0</v>
      </c>
      <c r="T31" s="57">
        <v>0</v>
      </c>
      <c r="U31" s="31">
        <v>0</v>
      </c>
      <c r="V31" s="31">
        <v>0</v>
      </c>
      <c r="W31" s="58">
        <v>0</v>
      </c>
      <c r="X31" s="75">
        <v>0</v>
      </c>
    </row>
    <row r="32" spans="1:24" s="5" customFormat="1" x14ac:dyDescent="0.15">
      <c r="A32" s="73" t="s">
        <v>56</v>
      </c>
      <c r="B32" s="80" t="s">
        <v>72</v>
      </c>
      <c r="C32" s="80"/>
      <c r="D32" s="50" t="s">
        <v>25</v>
      </c>
      <c r="E32" s="56">
        <f>SUM(J32,O32)</f>
        <v>0</v>
      </c>
      <c r="F32" s="57">
        <f>SUM(K32,P32)</f>
        <v>0</v>
      </c>
      <c r="G32" s="57">
        <f>SUM(L32,Q32)</f>
        <v>0</v>
      </c>
      <c r="H32" s="81">
        <v>0</v>
      </c>
      <c r="I32" s="59">
        <f>SUM(N32,S32)</f>
        <v>0</v>
      </c>
      <c r="J32" s="86">
        <v>0</v>
      </c>
      <c r="K32" s="31">
        <v>0</v>
      </c>
      <c r="L32" s="31">
        <v>0</v>
      </c>
      <c r="M32" s="58">
        <v>0</v>
      </c>
      <c r="N32" s="31">
        <v>0</v>
      </c>
      <c r="O32" s="87">
        <v>0</v>
      </c>
      <c r="P32" s="31">
        <v>0</v>
      </c>
      <c r="Q32" s="31">
        <v>0</v>
      </c>
      <c r="R32" s="58">
        <v>0</v>
      </c>
      <c r="S32" s="57">
        <v>0</v>
      </c>
      <c r="T32" s="31">
        <v>0</v>
      </c>
      <c r="U32" s="31">
        <v>0</v>
      </c>
      <c r="V32" s="31">
        <v>0</v>
      </c>
      <c r="W32" s="58">
        <v>0</v>
      </c>
      <c r="X32" s="75">
        <v>0</v>
      </c>
    </row>
    <row r="33" spans="1:24" s="5" customFormat="1" x14ac:dyDescent="0.15">
      <c r="A33" s="49" t="s">
        <v>57</v>
      </c>
      <c r="B33" s="88" t="s">
        <v>58</v>
      </c>
      <c r="C33" s="88"/>
      <c r="D33" s="50" t="s">
        <v>25</v>
      </c>
      <c r="E33" s="51">
        <f>E6-E11</f>
        <v>0</v>
      </c>
      <c r="F33" s="52">
        <f t="shared" ref="F33:G33" si="12">F6-F11</f>
        <v>0</v>
      </c>
      <c r="G33" s="52">
        <f t="shared" si="12"/>
        <v>76582</v>
      </c>
      <c r="H33" s="89" t="e">
        <f t="shared" si="0"/>
        <v>#DIV/0!</v>
      </c>
      <c r="I33" s="53">
        <f t="shared" ref="I33:L33" si="13">I6-I11</f>
        <v>291826</v>
      </c>
      <c r="J33" s="51">
        <f>J6-J11</f>
        <v>0</v>
      </c>
      <c r="K33" s="52">
        <f t="shared" si="13"/>
        <v>0</v>
      </c>
      <c r="L33" s="52">
        <f t="shared" si="13"/>
        <v>76582</v>
      </c>
      <c r="M33" s="4" t="e">
        <f t="shared" si="2"/>
        <v>#DIV/0!</v>
      </c>
      <c r="N33" s="52">
        <f t="shared" ref="N33" si="14">N6-N11</f>
        <v>291826</v>
      </c>
      <c r="O33" s="54">
        <f>O6-O11</f>
        <v>0</v>
      </c>
      <c r="P33" s="52">
        <f t="shared" ref="P33:Q33" si="15">P6-P11</f>
        <v>0</v>
      </c>
      <c r="Q33" s="52">
        <f t="shared" si="15"/>
        <v>0</v>
      </c>
      <c r="R33" s="4">
        <v>0</v>
      </c>
      <c r="S33" s="52">
        <f t="shared" ref="S33" si="16">S6-S11</f>
        <v>0</v>
      </c>
      <c r="T33" s="52">
        <f>T6-T11</f>
        <v>32298</v>
      </c>
      <c r="U33" s="52">
        <f t="shared" ref="U33:V33" si="17">U6-U11</f>
        <v>27841</v>
      </c>
      <c r="V33" s="52">
        <f t="shared" si="17"/>
        <v>30341</v>
      </c>
      <c r="W33" s="58">
        <f t="shared" si="7"/>
        <v>108.97956251571424</v>
      </c>
      <c r="X33" s="52">
        <f t="shared" ref="X33" si="18">X6-X11</f>
        <v>35296</v>
      </c>
    </row>
    <row r="34" spans="1:24" s="6" customFormat="1" x14ac:dyDescent="0.15">
      <c r="A34" s="90" t="s">
        <v>59</v>
      </c>
      <c r="B34" s="1239" t="s">
        <v>24</v>
      </c>
      <c r="C34" s="1239"/>
      <c r="D34" s="91" t="s">
        <v>25</v>
      </c>
      <c r="E34" s="92">
        <v>23532</v>
      </c>
      <c r="F34" s="93">
        <v>26015</v>
      </c>
      <c r="G34" s="93">
        <v>26015</v>
      </c>
      <c r="H34" s="81">
        <f t="shared" si="0"/>
        <v>100</v>
      </c>
      <c r="I34" s="94">
        <v>22751</v>
      </c>
      <c r="J34" s="95">
        <v>15790</v>
      </c>
      <c r="K34" s="96">
        <v>17843</v>
      </c>
      <c r="L34" s="96">
        <v>17843</v>
      </c>
      <c r="M34" s="58">
        <f t="shared" si="2"/>
        <v>100</v>
      </c>
      <c r="N34" s="96">
        <v>16526</v>
      </c>
      <c r="O34" s="97">
        <v>23788</v>
      </c>
      <c r="P34" s="96">
        <v>26529</v>
      </c>
      <c r="Q34" s="96">
        <v>26529</v>
      </c>
      <c r="R34" s="58">
        <f t="shared" si="4"/>
        <v>100</v>
      </c>
      <c r="S34" s="96">
        <v>22893</v>
      </c>
      <c r="T34" s="98">
        <v>0</v>
      </c>
      <c r="U34" s="96">
        <v>0</v>
      </c>
      <c r="V34" s="96">
        <v>0</v>
      </c>
      <c r="W34" s="58" t="e">
        <f t="shared" si="7"/>
        <v>#DIV/0!</v>
      </c>
      <c r="X34" s="96">
        <v>0</v>
      </c>
    </row>
    <row r="35" spans="1:24" s="6" customFormat="1" x14ac:dyDescent="0.15">
      <c r="A35" s="99" t="s">
        <v>60</v>
      </c>
      <c r="B35" s="1240" t="s">
        <v>33</v>
      </c>
      <c r="C35" s="1240"/>
      <c r="D35" s="100" t="s">
        <v>26</v>
      </c>
      <c r="E35" s="92">
        <v>21.98</v>
      </c>
      <c r="F35" s="93">
        <v>21</v>
      </c>
      <c r="G35" s="93">
        <v>21</v>
      </c>
      <c r="H35" s="81">
        <f t="shared" si="0"/>
        <v>100</v>
      </c>
      <c r="I35" s="94">
        <v>24</v>
      </c>
      <c r="J35" s="101">
        <v>1</v>
      </c>
      <c r="K35" s="96">
        <v>1</v>
      </c>
      <c r="L35" s="96">
        <v>1</v>
      </c>
      <c r="M35" s="58">
        <f t="shared" si="2"/>
        <v>100</v>
      </c>
      <c r="N35" s="96">
        <v>1</v>
      </c>
      <c r="O35" s="102">
        <v>20.98</v>
      </c>
      <c r="P35" s="96">
        <v>19.899999999999999</v>
      </c>
      <c r="Q35" s="96">
        <v>19.899999999999999</v>
      </c>
      <c r="R35" s="58">
        <f t="shared" si="4"/>
        <v>100</v>
      </c>
      <c r="S35" s="96">
        <v>23</v>
      </c>
      <c r="T35" s="98">
        <v>0</v>
      </c>
      <c r="U35" s="96">
        <v>0</v>
      </c>
      <c r="V35" s="96">
        <v>0</v>
      </c>
      <c r="W35" s="58" t="e">
        <f t="shared" si="7"/>
        <v>#DIV/0!</v>
      </c>
      <c r="X35" s="96">
        <v>0</v>
      </c>
    </row>
    <row r="36" spans="1:24" s="6" customFormat="1" ht="8.4" thickBot="1" x14ac:dyDescent="0.2">
      <c r="A36" s="103" t="s">
        <v>61</v>
      </c>
      <c r="B36" s="1241" t="s">
        <v>27</v>
      </c>
      <c r="C36" s="1241"/>
      <c r="D36" s="104" t="s">
        <v>26</v>
      </c>
      <c r="E36" s="105">
        <v>19</v>
      </c>
      <c r="F36" s="106">
        <v>21</v>
      </c>
      <c r="G36" s="106">
        <v>21</v>
      </c>
      <c r="H36" s="107">
        <f t="shared" si="0"/>
        <v>100</v>
      </c>
      <c r="I36" s="108">
        <v>37</v>
      </c>
      <c r="J36" s="109">
        <v>1</v>
      </c>
      <c r="K36" s="110">
        <v>1</v>
      </c>
      <c r="L36" s="110">
        <v>1</v>
      </c>
      <c r="M36" s="111">
        <f t="shared" si="2"/>
        <v>100</v>
      </c>
      <c r="N36" s="96">
        <v>1</v>
      </c>
      <c r="O36" s="112">
        <v>18</v>
      </c>
      <c r="P36" s="110">
        <v>20</v>
      </c>
      <c r="Q36" s="110">
        <v>20</v>
      </c>
      <c r="R36" s="111">
        <f t="shared" si="4"/>
        <v>100</v>
      </c>
      <c r="S36" s="96">
        <v>36</v>
      </c>
      <c r="T36" s="98">
        <v>0</v>
      </c>
      <c r="U36" s="110">
        <v>0</v>
      </c>
      <c r="V36" s="110">
        <v>0</v>
      </c>
      <c r="W36" s="111" t="e">
        <f t="shared" si="7"/>
        <v>#DIV/0!</v>
      </c>
      <c r="X36" s="96">
        <v>0</v>
      </c>
    </row>
  </sheetData>
  <mergeCells count="39">
    <mergeCell ref="B26:C26"/>
    <mergeCell ref="B29:C29"/>
    <mergeCell ref="B34:C34"/>
    <mergeCell ref="B35:C35"/>
    <mergeCell ref="B36:C36"/>
    <mergeCell ref="B22:C22"/>
    <mergeCell ref="B8:C8"/>
    <mergeCell ref="B10:C10"/>
    <mergeCell ref="B11:C11"/>
    <mergeCell ref="B12:C12"/>
    <mergeCell ref="B13:C13"/>
    <mergeCell ref="B15:C15"/>
    <mergeCell ref="B16:C16"/>
    <mergeCell ref="B18:C18"/>
    <mergeCell ref="B19:C19"/>
    <mergeCell ref="B20:C20"/>
    <mergeCell ref="B21:C21"/>
    <mergeCell ref="B7:C7"/>
    <mergeCell ref="I4:I5"/>
    <mergeCell ref="J4:J5"/>
    <mergeCell ref="K4:M4"/>
    <mergeCell ref="N4:N5"/>
    <mergeCell ref="B6:C6"/>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s>
  <pageMargins left="0.23622047244094491" right="0.23622047244094491" top="0.74803149606299213" bottom="0.74803149606299213" header="0.31496062992125984" footer="0.31496062992125984"/>
  <pageSetup paperSize="9" scale="99" firstPageNumber="123" orientation="landscape"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zoomScale="130" zoomScaleNormal="130" workbookViewId="0">
      <selection activeCell="L5" sqref="L5"/>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861" customFormat="1" ht="17.399999999999999" x14ac:dyDescent="0.3">
      <c r="A1" s="861" t="s">
        <v>75</v>
      </c>
      <c r="B1" s="861" t="s">
        <v>233</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854" t="s">
        <v>25</v>
      </c>
      <c r="D5" s="1256" t="s">
        <v>103</v>
      </c>
      <c r="E5" s="1256"/>
      <c r="F5" s="1256"/>
      <c r="G5" s="1256"/>
      <c r="H5" s="1256"/>
      <c r="I5" s="1256"/>
    </row>
    <row r="6" spans="1:9" s="8" customFormat="1" ht="15" customHeight="1" x14ac:dyDescent="0.2">
      <c r="A6" s="1267" t="s">
        <v>104</v>
      </c>
      <c r="B6" s="1267"/>
      <c r="C6" s="113">
        <f>SUM(C7:C9)</f>
        <v>215204.4</v>
      </c>
      <c r="D6" s="1262"/>
      <c r="E6" s="1263"/>
      <c r="F6" s="1263"/>
      <c r="G6" s="1263"/>
      <c r="H6" s="1263"/>
      <c r="I6" s="1263"/>
    </row>
    <row r="7" spans="1:9" s="8" customFormat="1" ht="29.25" customHeight="1" x14ac:dyDescent="0.2">
      <c r="A7" s="1257" t="s">
        <v>77</v>
      </c>
      <c r="B7" s="1258"/>
      <c r="C7" s="114">
        <v>210204.4</v>
      </c>
      <c r="D7" s="1261" t="s">
        <v>836</v>
      </c>
      <c r="E7" s="1261"/>
      <c r="F7" s="1261"/>
      <c r="G7" s="1261"/>
      <c r="H7" s="1261"/>
      <c r="I7" s="1261"/>
    </row>
    <row r="8" spans="1:9" s="7" customFormat="1" ht="29.25" customHeight="1" x14ac:dyDescent="0.2">
      <c r="A8" s="1259" t="s">
        <v>78</v>
      </c>
      <c r="B8" s="1260"/>
      <c r="C8" s="115">
        <v>5000</v>
      </c>
      <c r="D8" s="1261" t="s">
        <v>837</v>
      </c>
      <c r="E8" s="1261"/>
      <c r="F8" s="1261"/>
      <c r="G8" s="1261"/>
      <c r="H8" s="1261"/>
      <c r="I8" s="1261"/>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854" t="s">
        <v>76</v>
      </c>
      <c r="B13" s="854" t="s">
        <v>80</v>
      </c>
      <c r="C13" s="854" t="s">
        <v>25</v>
      </c>
      <c r="D13" s="118"/>
      <c r="E13" s="119"/>
      <c r="F13" s="119"/>
      <c r="G13" s="119"/>
      <c r="H13" s="119"/>
      <c r="I13" s="119"/>
    </row>
    <row r="14" spans="1:9" s="8" customFormat="1" ht="15" customHeight="1" x14ac:dyDescent="0.2">
      <c r="A14" s="12" t="s">
        <v>81</v>
      </c>
      <c r="B14" s="13"/>
      <c r="C14" s="120"/>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215204.4</v>
      </c>
      <c r="D16" s="126"/>
      <c r="E16" s="127"/>
      <c r="F16" s="127"/>
      <c r="G16" s="127"/>
      <c r="H16" s="127"/>
      <c r="I16" s="127"/>
    </row>
    <row r="17" spans="1:9" s="8" customFormat="1" ht="15" customHeight="1" x14ac:dyDescent="0.2">
      <c r="A17" s="1251"/>
      <c r="B17" s="15" t="s">
        <v>84</v>
      </c>
      <c r="C17" s="128">
        <v>0</v>
      </c>
      <c r="D17" s="129"/>
      <c r="E17" s="130"/>
      <c r="F17" s="130"/>
      <c r="G17" s="130"/>
      <c r="H17" s="130"/>
      <c r="I17" s="130"/>
    </row>
    <row r="18" spans="1:9" s="8" customFormat="1" ht="15" customHeight="1" x14ac:dyDescent="0.2">
      <c r="A18" s="855" t="s">
        <v>104</v>
      </c>
      <c r="B18" s="16"/>
      <c r="C18" s="131">
        <f>SUM(C14:C17)</f>
        <v>215204.4</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854" t="s">
        <v>80</v>
      </c>
      <c r="B22" s="854" t="s">
        <v>109</v>
      </c>
      <c r="C22" s="860" t="s">
        <v>110</v>
      </c>
      <c r="D22" s="854" t="s">
        <v>111</v>
      </c>
      <c r="E22" s="854" t="s">
        <v>112</v>
      </c>
      <c r="F22" s="1256" t="s">
        <v>113</v>
      </c>
      <c r="G22" s="1256"/>
      <c r="H22" s="1256"/>
      <c r="I22" s="1256"/>
    </row>
    <row r="23" spans="1:9" s="8" customFormat="1" ht="41.1" customHeight="1" x14ac:dyDescent="0.2">
      <c r="A23" s="17" t="s">
        <v>85</v>
      </c>
      <c r="B23" s="139">
        <v>103014.72</v>
      </c>
      <c r="C23" s="139">
        <v>164976.64000000001</v>
      </c>
      <c r="D23" s="139">
        <v>25880.54</v>
      </c>
      <c r="E23" s="139">
        <f>B23+C23-D23</f>
        <v>242110.81999999998</v>
      </c>
      <c r="F23" s="1253" t="s">
        <v>838</v>
      </c>
      <c r="G23" s="1254"/>
      <c r="H23" s="1254"/>
      <c r="I23" s="1255"/>
    </row>
    <row r="24" spans="1:9" s="8" customFormat="1" ht="41.1" customHeight="1" x14ac:dyDescent="0.2">
      <c r="A24" s="14" t="s">
        <v>86</v>
      </c>
      <c r="B24" s="140">
        <v>301412.21999999997</v>
      </c>
      <c r="C24" s="140">
        <v>774039</v>
      </c>
      <c r="D24" s="140">
        <v>663780</v>
      </c>
      <c r="E24" s="140">
        <f t="shared" ref="E24:E26" si="0">B24+C24-D24</f>
        <v>411671.22</v>
      </c>
      <c r="F24" s="1242" t="s">
        <v>839</v>
      </c>
      <c r="G24" s="1243"/>
      <c r="H24" s="1243"/>
      <c r="I24" s="1244"/>
    </row>
    <row r="25" spans="1:9" s="8" customFormat="1" ht="41.1" customHeight="1" x14ac:dyDescent="0.2">
      <c r="A25" s="14" t="s">
        <v>84</v>
      </c>
      <c r="B25" s="140">
        <v>78810.67</v>
      </c>
      <c r="C25" s="140">
        <v>0</v>
      </c>
      <c r="D25" s="140">
        <v>0</v>
      </c>
      <c r="E25" s="140">
        <f t="shared" si="0"/>
        <v>78810.67</v>
      </c>
      <c r="F25" s="1242" t="s">
        <v>840</v>
      </c>
      <c r="G25" s="1243"/>
      <c r="H25" s="1243"/>
      <c r="I25" s="1244"/>
    </row>
    <row r="26" spans="1:9" s="8" customFormat="1" ht="41.1" customHeight="1" x14ac:dyDescent="0.2">
      <c r="A26" s="15" t="s">
        <v>87</v>
      </c>
      <c r="B26" s="141">
        <v>336363.89</v>
      </c>
      <c r="C26" s="141">
        <v>317331.40000000002</v>
      </c>
      <c r="D26" s="141">
        <v>175773</v>
      </c>
      <c r="E26" s="140">
        <f t="shared" si="0"/>
        <v>477922.29000000004</v>
      </c>
      <c r="F26" s="1245" t="s">
        <v>841</v>
      </c>
      <c r="G26" s="1246"/>
      <c r="H26" s="1246"/>
      <c r="I26" s="1247"/>
    </row>
    <row r="27" spans="1:9" s="7" customFormat="1" ht="10.199999999999999" x14ac:dyDescent="0.2">
      <c r="A27" s="10" t="s">
        <v>34</v>
      </c>
      <c r="B27" s="113">
        <f>SUM(B23:B26)</f>
        <v>819601.5</v>
      </c>
      <c r="C27" s="113">
        <f t="shared" ref="C27:E27" si="1">SUM(C23:C26)</f>
        <v>1256347.04</v>
      </c>
      <c r="D27" s="113">
        <f t="shared" si="1"/>
        <v>865433.54</v>
      </c>
      <c r="E27" s="113">
        <f t="shared" si="1"/>
        <v>1210515</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854" t="s">
        <v>88</v>
      </c>
      <c r="B31" s="854" t="s">
        <v>25</v>
      </c>
      <c r="C31" s="860" t="s">
        <v>89</v>
      </c>
      <c r="D31" s="1256" t="s">
        <v>90</v>
      </c>
      <c r="E31" s="1256"/>
      <c r="F31" s="1256"/>
      <c r="G31" s="1256"/>
      <c r="H31" s="1256"/>
      <c r="I31" s="1256"/>
    </row>
    <row r="32" spans="1:9" s="8" customFormat="1" ht="15" customHeight="1" x14ac:dyDescent="0.2">
      <c r="A32" s="19"/>
      <c r="B32" s="139"/>
      <c r="C32" s="20"/>
      <c r="D32" s="1270"/>
      <c r="E32" s="1271"/>
      <c r="F32" s="1271"/>
      <c r="G32" s="1271"/>
      <c r="H32" s="1271"/>
      <c r="I32" s="1272"/>
    </row>
    <row r="33" spans="1:9" s="8" customFormat="1" ht="15" customHeight="1" x14ac:dyDescent="0.2">
      <c r="A33" s="18"/>
      <c r="B33" s="141"/>
      <c r="C33" s="32"/>
      <c r="D33" s="1273"/>
      <c r="E33" s="1274"/>
      <c r="F33" s="1274"/>
      <c r="G33" s="1274"/>
      <c r="H33" s="1274"/>
      <c r="I33" s="1275"/>
    </row>
    <row r="34" spans="1:9" s="8" customFormat="1" ht="15" customHeight="1" x14ac:dyDescent="0.2">
      <c r="A34" s="18"/>
      <c r="B34" s="141"/>
      <c r="C34" s="33"/>
      <c r="D34" s="1273"/>
      <c r="E34" s="1274"/>
      <c r="F34" s="1274"/>
      <c r="G34" s="1274"/>
      <c r="H34" s="1274"/>
      <c r="I34" s="1275"/>
    </row>
    <row r="35" spans="1:9" s="7" customFormat="1" ht="10.199999999999999" x14ac:dyDescent="0.2">
      <c r="A35" s="10" t="s">
        <v>34</v>
      </c>
      <c r="B35" s="113">
        <f>SUM(B32:B34)</f>
        <v>0</v>
      </c>
      <c r="C35" s="1276"/>
      <c r="D35" s="1277"/>
      <c r="E35" s="1277"/>
      <c r="F35" s="1277"/>
      <c r="G35" s="1277"/>
      <c r="H35" s="1277"/>
      <c r="I35" s="1278"/>
    </row>
    <row r="36" spans="1:9" s="8" customFormat="1" ht="10.199999999999999" x14ac:dyDescent="0.2">
      <c r="C36" s="116"/>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row>
    <row r="39" spans="1:9" s="8" customFormat="1" ht="10.199999999999999" x14ac:dyDescent="0.2">
      <c r="A39" s="854" t="s">
        <v>88</v>
      </c>
      <c r="B39" s="854" t="s">
        <v>25</v>
      </c>
      <c r="C39" s="860" t="s">
        <v>89</v>
      </c>
      <c r="D39" s="1279" t="s">
        <v>90</v>
      </c>
      <c r="E39" s="1279"/>
      <c r="F39" s="1279"/>
      <c r="G39" s="1279"/>
      <c r="H39" s="1279"/>
      <c r="I39" s="1280"/>
    </row>
    <row r="40" spans="1:9" s="8" customFormat="1" ht="15" customHeight="1" x14ac:dyDescent="0.2">
      <c r="A40" s="19"/>
      <c r="B40" s="139"/>
      <c r="C40" s="20"/>
      <c r="D40" s="1242"/>
      <c r="E40" s="1281"/>
      <c r="F40" s="1281"/>
      <c r="G40" s="1281"/>
      <c r="H40" s="1281"/>
      <c r="I40" s="1282"/>
    </row>
    <row r="41" spans="1:9" s="8" customFormat="1" ht="15" customHeight="1" x14ac:dyDescent="0.2">
      <c r="A41" s="21"/>
      <c r="B41" s="140"/>
      <c r="C41" s="22"/>
      <c r="D41" s="1242"/>
      <c r="E41" s="1281"/>
      <c r="F41" s="1281"/>
      <c r="G41" s="1281"/>
      <c r="H41" s="1281"/>
      <c r="I41" s="1282"/>
    </row>
    <row r="42" spans="1:9" s="8" customFormat="1" ht="15" customHeight="1" x14ac:dyDescent="0.2">
      <c r="A42" s="21"/>
      <c r="B42" s="140"/>
      <c r="C42" s="22"/>
      <c r="D42" s="1242"/>
      <c r="E42" s="1281"/>
      <c r="F42" s="1281"/>
      <c r="G42" s="1281"/>
      <c r="H42" s="1281"/>
      <c r="I42" s="1282"/>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C44" s="116"/>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row>
    <row r="47" spans="1:9" s="8" customFormat="1" ht="10.199999999999999" x14ac:dyDescent="0.2">
      <c r="A47" s="856" t="s">
        <v>25</v>
      </c>
      <c r="B47" s="857" t="s">
        <v>122</v>
      </c>
      <c r="C47" s="1285" t="s">
        <v>91</v>
      </c>
      <c r="D47" s="1285"/>
      <c r="E47" s="1285"/>
      <c r="F47" s="1285"/>
      <c r="G47" s="1285"/>
      <c r="H47" s="1285"/>
      <c r="I47" s="1286"/>
    </row>
    <row r="48" spans="1:9" s="8" customFormat="1" ht="10.199999999999999" x14ac:dyDescent="0.2">
      <c r="A48" s="140"/>
      <c r="B48" s="140"/>
      <c r="C48" s="1287"/>
      <c r="D48" s="1287"/>
      <c r="E48" s="1287"/>
      <c r="F48" s="1287"/>
      <c r="G48" s="1287"/>
      <c r="H48" s="1287"/>
      <c r="I48" s="1287"/>
    </row>
    <row r="49" spans="1:9" s="8" customFormat="1" ht="10.199999999999999" x14ac:dyDescent="0.2">
      <c r="A49" s="140"/>
      <c r="B49" s="140"/>
      <c r="C49" s="1287"/>
      <c r="D49" s="1287"/>
      <c r="E49" s="1287"/>
      <c r="F49" s="1287"/>
      <c r="G49" s="1287"/>
      <c r="H49" s="1287"/>
      <c r="I49" s="1287"/>
    </row>
    <row r="50" spans="1:9" s="8" customFormat="1" ht="10.199999999999999" x14ac:dyDescent="0.2">
      <c r="A50" s="141"/>
      <c r="B50" s="141"/>
      <c r="C50" s="1288"/>
      <c r="D50" s="1288"/>
      <c r="E50" s="1288"/>
      <c r="F50" s="1288"/>
      <c r="G50" s="1288"/>
      <c r="H50" s="1288"/>
      <c r="I50" s="1288"/>
    </row>
    <row r="51" spans="1:9" s="7" customFormat="1" ht="10.199999999999999" x14ac:dyDescent="0.2">
      <c r="A51" s="113">
        <f>A48+A49+A50</f>
        <v>0</v>
      </c>
      <c r="B51" s="113">
        <f>B48+B49+B50</f>
        <v>0</v>
      </c>
      <c r="C51" s="1289" t="s">
        <v>34</v>
      </c>
      <c r="D51" s="1289"/>
      <c r="E51" s="1289"/>
      <c r="F51" s="1289"/>
      <c r="G51" s="1289"/>
      <c r="H51" s="1289"/>
      <c r="I51" s="1289"/>
    </row>
    <row r="52" spans="1:9" s="8" customFormat="1" ht="10.199999999999999" x14ac:dyDescent="0.2">
      <c r="C52" s="116"/>
    </row>
    <row r="53" spans="1:9" s="8" customFormat="1" ht="10.199999999999999" x14ac:dyDescent="0.2">
      <c r="A53" s="1248" t="s">
        <v>123</v>
      </c>
      <c r="B53" s="1248"/>
      <c r="C53" s="1248"/>
      <c r="D53" s="1248"/>
      <c r="E53" s="1248"/>
      <c r="F53" s="1248"/>
      <c r="G53" s="1248"/>
      <c r="H53" s="1248"/>
      <c r="I53" s="1248"/>
    </row>
    <row r="54" spans="1:9" s="8" customFormat="1" ht="10.199999999999999" x14ac:dyDescent="0.2">
      <c r="C54" s="116"/>
    </row>
    <row r="55" spans="1:9" s="23" customFormat="1" ht="10.199999999999999" x14ac:dyDescent="0.2">
      <c r="A55" s="1256" t="s">
        <v>92</v>
      </c>
      <c r="B55" s="1256"/>
      <c r="C55" s="860" t="s">
        <v>93</v>
      </c>
      <c r="D55" s="854" t="s">
        <v>94</v>
      </c>
      <c r="E55" s="854" t="s">
        <v>25</v>
      </c>
    </row>
    <row r="56" spans="1:9" s="8" customFormat="1" ht="11.25" customHeight="1" x14ac:dyDescent="0.2">
      <c r="A56" s="1399" t="s">
        <v>842</v>
      </c>
      <c r="B56" s="1400"/>
      <c r="C56" s="30">
        <v>43578</v>
      </c>
      <c r="D56" s="30"/>
      <c r="E56" s="145">
        <v>180000</v>
      </c>
    </row>
    <row r="57" spans="1:9" s="8" customFormat="1" ht="11.25" customHeight="1" x14ac:dyDescent="0.2">
      <c r="A57" s="1295" t="s">
        <v>843</v>
      </c>
      <c r="B57" s="1296"/>
      <c r="C57" s="25"/>
      <c r="D57" s="25">
        <v>43585</v>
      </c>
      <c r="E57" s="27">
        <v>180000</v>
      </c>
    </row>
    <row r="58" spans="1:9" s="8" customFormat="1" ht="11.25" customHeight="1" x14ac:dyDescent="0.2">
      <c r="A58" s="1295" t="s">
        <v>844</v>
      </c>
      <c r="B58" s="1296"/>
      <c r="C58" s="25">
        <v>43578</v>
      </c>
      <c r="D58" s="25"/>
      <c r="E58" s="27">
        <v>300000</v>
      </c>
    </row>
    <row r="59" spans="1:9" s="8" customFormat="1" ht="11.25" customHeight="1" x14ac:dyDescent="0.2">
      <c r="A59" s="1295" t="s">
        <v>845</v>
      </c>
      <c r="B59" s="1296"/>
      <c r="C59" s="25"/>
      <c r="D59" s="25">
        <v>43585</v>
      </c>
      <c r="E59" s="27">
        <v>300000</v>
      </c>
    </row>
    <row r="60" spans="1:9" s="8" customFormat="1" ht="11.25" customHeight="1" x14ac:dyDescent="0.2">
      <c r="A60" s="1295" t="s">
        <v>846</v>
      </c>
      <c r="B60" s="1296"/>
      <c r="C60" s="25">
        <v>43644</v>
      </c>
      <c r="D60" s="25"/>
      <c r="E60" s="27">
        <v>13200</v>
      </c>
    </row>
    <row r="61" spans="1:9" s="8" customFormat="1" ht="11.25" customHeight="1" x14ac:dyDescent="0.2">
      <c r="A61" s="1295" t="s">
        <v>847</v>
      </c>
      <c r="B61" s="1296"/>
      <c r="C61" s="25"/>
      <c r="D61" s="25">
        <v>43644</v>
      </c>
      <c r="E61" s="27">
        <v>-13200</v>
      </c>
    </row>
    <row r="62" spans="1:9" s="8" customFormat="1" ht="11.25" customHeight="1" x14ac:dyDescent="0.2">
      <c r="A62" s="1295" t="s">
        <v>848</v>
      </c>
      <c r="B62" s="1296"/>
      <c r="C62" s="25">
        <v>43752</v>
      </c>
      <c r="D62" s="25"/>
      <c r="E62" s="27">
        <v>25880.54</v>
      </c>
    </row>
    <row r="63" spans="1:9" s="8" customFormat="1" ht="11.25" customHeight="1" x14ac:dyDescent="0.2">
      <c r="A63" s="1295" t="s">
        <v>849</v>
      </c>
      <c r="B63" s="1296"/>
      <c r="C63" s="25"/>
      <c r="D63" s="25">
        <v>43753</v>
      </c>
      <c r="E63" s="27">
        <v>25880.54</v>
      </c>
    </row>
    <row r="64" spans="1:9" s="8" customFormat="1" ht="11.25" customHeight="1" x14ac:dyDescent="0.2">
      <c r="A64" s="1295" t="s">
        <v>850</v>
      </c>
      <c r="B64" s="1296"/>
      <c r="C64" s="25">
        <v>43817</v>
      </c>
      <c r="D64" s="25"/>
      <c r="E64" s="27">
        <v>-14197</v>
      </c>
    </row>
    <row r="65" spans="1:9" s="8" customFormat="1" ht="11.25" customHeight="1" x14ac:dyDescent="0.2">
      <c r="A65" s="1295" t="s">
        <v>851</v>
      </c>
      <c r="B65" s="1296"/>
      <c r="C65" s="25"/>
      <c r="D65" s="25">
        <v>43817</v>
      </c>
      <c r="E65" s="27">
        <v>14197</v>
      </c>
    </row>
    <row r="66" spans="1:9" s="8" customFormat="1" ht="11.25" customHeight="1" x14ac:dyDescent="0.2">
      <c r="A66" s="1295" t="s">
        <v>852</v>
      </c>
      <c r="B66" s="1296"/>
      <c r="C66" s="25">
        <v>43829</v>
      </c>
      <c r="D66" s="25"/>
      <c r="E66" s="27">
        <v>-135000</v>
      </c>
    </row>
    <row r="67" spans="1:9" s="8" customFormat="1" ht="11.25" customHeight="1" x14ac:dyDescent="0.2">
      <c r="A67" s="1295" t="s">
        <v>853</v>
      </c>
      <c r="B67" s="1296"/>
      <c r="C67" s="25"/>
      <c r="D67" s="25">
        <v>43829</v>
      </c>
      <c r="E67" s="27">
        <v>60000</v>
      </c>
    </row>
    <row r="68" spans="1:9" s="8" customFormat="1" ht="11.25" customHeight="1" x14ac:dyDescent="0.2">
      <c r="A68" s="1292" t="s">
        <v>854</v>
      </c>
      <c r="B68" s="1293"/>
      <c r="C68" s="25"/>
      <c r="D68" s="25">
        <v>43829</v>
      </c>
      <c r="E68" s="27">
        <v>75000</v>
      </c>
    </row>
    <row r="69" spans="1:9" s="8" customFormat="1" ht="11.25" customHeight="1" x14ac:dyDescent="0.2">
      <c r="A69" s="1295" t="s">
        <v>855</v>
      </c>
      <c r="B69" s="1296"/>
      <c r="C69" s="25">
        <v>43830</v>
      </c>
      <c r="D69" s="25"/>
      <c r="E69" s="27">
        <v>-7000</v>
      </c>
    </row>
    <row r="70" spans="1:9" s="8" customFormat="1" ht="11.25" customHeight="1" x14ac:dyDescent="0.2">
      <c r="A70" s="1292" t="s">
        <v>856</v>
      </c>
      <c r="B70" s="1293"/>
      <c r="C70" s="25"/>
      <c r="D70" s="25">
        <v>43830</v>
      </c>
      <c r="E70" s="27">
        <v>7000</v>
      </c>
    </row>
    <row r="71" spans="1:9" s="8" customFormat="1" ht="11.25" customHeight="1" x14ac:dyDescent="0.2">
      <c r="A71" s="1292" t="s">
        <v>857</v>
      </c>
      <c r="B71" s="1293"/>
      <c r="C71" s="25">
        <v>43830</v>
      </c>
      <c r="D71" s="25"/>
      <c r="E71" s="27">
        <v>-500</v>
      </c>
    </row>
    <row r="72" spans="1:9" s="8" customFormat="1" ht="11.25" customHeight="1" x14ac:dyDescent="0.2">
      <c r="A72" s="1292" t="s">
        <v>858</v>
      </c>
      <c r="B72" s="1293"/>
      <c r="C72" s="25"/>
      <c r="D72" s="25">
        <v>43830</v>
      </c>
      <c r="E72" s="27">
        <v>500</v>
      </c>
    </row>
    <row r="73" spans="1:9" s="8" customFormat="1" ht="11.25" customHeight="1" x14ac:dyDescent="0.2">
      <c r="A73" s="1292" t="s">
        <v>859</v>
      </c>
      <c r="B73" s="1293"/>
      <c r="C73" s="25">
        <v>43830</v>
      </c>
      <c r="D73" s="25"/>
      <c r="E73" s="27">
        <v>-9000</v>
      </c>
    </row>
    <row r="74" spans="1:9" s="8" customFormat="1" ht="11.25" customHeight="1" x14ac:dyDescent="0.2">
      <c r="A74" s="858" t="s">
        <v>860</v>
      </c>
      <c r="B74" s="859"/>
      <c r="C74" s="25"/>
      <c r="D74" s="25">
        <v>43830</v>
      </c>
      <c r="E74" s="27">
        <v>1000</v>
      </c>
    </row>
    <row r="75" spans="1:9" s="8" customFormat="1" ht="11.25" customHeight="1" x14ac:dyDescent="0.2">
      <c r="A75" s="858" t="s">
        <v>856</v>
      </c>
      <c r="B75" s="859"/>
      <c r="C75" s="25"/>
      <c r="D75" s="25">
        <v>43830</v>
      </c>
      <c r="E75" s="27">
        <v>8000</v>
      </c>
    </row>
    <row r="76" spans="1:9" s="8" customFormat="1" ht="11.25" customHeight="1" x14ac:dyDescent="0.2">
      <c r="A76" s="1292" t="s">
        <v>861</v>
      </c>
      <c r="B76" s="1293"/>
      <c r="C76" s="25">
        <v>43830</v>
      </c>
      <c r="D76" s="25"/>
      <c r="E76" s="27">
        <v>-54000</v>
      </c>
    </row>
    <row r="77" spans="1:9" s="8" customFormat="1" ht="11.25" customHeight="1" x14ac:dyDescent="0.2">
      <c r="A77" s="858" t="s">
        <v>856</v>
      </c>
      <c r="B77" s="859"/>
      <c r="C77" s="25"/>
      <c r="D77" s="25">
        <v>43830</v>
      </c>
      <c r="E77" s="27">
        <v>54000</v>
      </c>
    </row>
    <row r="78" spans="1:9" s="8" customFormat="1" ht="11.25" customHeight="1" x14ac:dyDescent="0.2">
      <c r="A78" s="1295"/>
      <c r="B78" s="1296"/>
      <c r="C78" s="25"/>
      <c r="D78" s="25"/>
      <c r="E78" s="27"/>
    </row>
    <row r="79" spans="1:9" s="8" customFormat="1" ht="11.25" customHeight="1" x14ac:dyDescent="0.2">
      <c r="A79" s="147"/>
      <c r="B79" s="148"/>
      <c r="C79" s="149"/>
      <c r="D79" s="149"/>
      <c r="E79" s="150"/>
    </row>
    <row r="80" spans="1:9" s="8" customFormat="1" ht="10.199999999999999" x14ac:dyDescent="0.2">
      <c r="A80" s="1300" t="s">
        <v>154</v>
      </c>
      <c r="B80" s="1300"/>
      <c r="C80" s="1300"/>
      <c r="D80" s="1300"/>
      <c r="E80" s="1300"/>
      <c r="F80" s="1300"/>
      <c r="G80" s="1300"/>
      <c r="H80" s="1300"/>
      <c r="I80" s="1300"/>
    </row>
    <row r="81" spans="1:18" s="8" customFormat="1" ht="10.199999999999999" x14ac:dyDescent="0.2">
      <c r="A81" s="8" t="s">
        <v>95</v>
      </c>
    </row>
    <row r="82" spans="1:18" s="8" customFormat="1" ht="10.199999999999999" x14ac:dyDescent="0.2">
      <c r="A82" s="1297" t="s">
        <v>862</v>
      </c>
      <c r="B82" s="1298"/>
      <c r="C82" s="1298"/>
      <c r="D82" s="1298"/>
      <c r="E82" s="1298"/>
      <c r="F82" s="1298"/>
      <c r="G82" s="1298"/>
      <c r="H82" s="1298"/>
      <c r="I82" s="1299"/>
    </row>
    <row r="83" spans="1:18" s="8" customFormat="1" ht="10.199999999999999" x14ac:dyDescent="0.2"/>
    <row r="84" spans="1:18" s="8" customFormat="1" ht="0.75" customHeight="1" x14ac:dyDescent="0.2">
      <c r="A84" s="1297"/>
      <c r="B84" s="1298"/>
      <c r="C84" s="1298"/>
      <c r="D84" s="1298"/>
      <c r="E84" s="1298"/>
      <c r="F84" s="1298"/>
      <c r="G84" s="1298"/>
      <c r="H84" s="1298"/>
      <c r="I84" s="1299"/>
    </row>
    <row r="85" spans="1:18" s="8" customFormat="1" ht="10.199999999999999" hidden="1" x14ac:dyDescent="0.2"/>
    <row r="86" spans="1:18" s="7" customFormat="1" ht="10.199999999999999" x14ac:dyDescent="0.2">
      <c r="A86" s="1248" t="s">
        <v>156</v>
      </c>
      <c r="B86" s="1248"/>
      <c r="C86" s="1248"/>
      <c r="D86" s="1248"/>
      <c r="E86" s="1248"/>
      <c r="F86" s="1248"/>
      <c r="G86" s="1248"/>
      <c r="H86" s="1248"/>
      <c r="I86" s="1248"/>
    </row>
    <row r="87" spans="1:18" s="8" customFormat="1" ht="10.199999999999999" x14ac:dyDescent="0.2">
      <c r="A87" s="8" t="s">
        <v>95</v>
      </c>
    </row>
    <row r="88" spans="1:18" s="8" customFormat="1" ht="30" customHeight="1" x14ac:dyDescent="0.2">
      <c r="A88" s="1397" t="s">
        <v>863</v>
      </c>
      <c r="B88" s="1397"/>
      <c r="C88" s="1397"/>
      <c r="D88" s="1397"/>
      <c r="E88" s="1397"/>
      <c r="F88" s="1397"/>
      <c r="G88" s="1397"/>
      <c r="H88" s="1397"/>
      <c r="I88" s="1397"/>
    </row>
    <row r="89" spans="1:18" ht="30" customHeight="1" x14ac:dyDescent="0.25">
      <c r="A89" s="1398" t="s">
        <v>864</v>
      </c>
      <c r="B89" s="1398"/>
      <c r="C89" s="1398"/>
      <c r="D89" s="1398"/>
      <c r="E89" s="1398"/>
      <c r="F89" s="1398"/>
      <c r="G89" s="1398"/>
      <c r="H89" s="1398"/>
      <c r="I89" s="1398"/>
    </row>
    <row r="90" spans="1:18" x14ac:dyDescent="0.25">
      <c r="A90" s="8" t="s">
        <v>835</v>
      </c>
    </row>
    <row r="91" spans="1:18" x14ac:dyDescent="0.25">
      <c r="A91" s="26"/>
      <c r="R91" s="853"/>
    </row>
    <row r="92" spans="1:18" x14ac:dyDescent="0.25">
      <c r="A92" s="322" t="s">
        <v>865</v>
      </c>
    </row>
  </sheetData>
  <mergeCells count="64">
    <mergeCell ref="A7:B7"/>
    <mergeCell ref="D7:I7"/>
    <mergeCell ref="A3:I3"/>
    <mergeCell ref="A5:B5"/>
    <mergeCell ref="D5:I5"/>
    <mergeCell ref="A6:B6"/>
    <mergeCell ref="D6:I6"/>
    <mergeCell ref="F26:I26"/>
    <mergeCell ref="A8:B8"/>
    <mergeCell ref="D8:I8"/>
    <mergeCell ref="A9:B9"/>
    <mergeCell ref="D9:I9"/>
    <mergeCell ref="A11:I11"/>
    <mergeCell ref="A15:A17"/>
    <mergeCell ref="A20:I20"/>
    <mergeCell ref="F22:I22"/>
    <mergeCell ref="F23:I23"/>
    <mergeCell ref="F24:I24"/>
    <mergeCell ref="F25:I25"/>
    <mergeCell ref="A45:I45"/>
    <mergeCell ref="F27:I27"/>
    <mergeCell ref="A29:I29"/>
    <mergeCell ref="D31:I31"/>
    <mergeCell ref="D32:I34"/>
    <mergeCell ref="C35:I35"/>
    <mergeCell ref="A37:I37"/>
    <mergeCell ref="D39:I39"/>
    <mergeCell ref="D40:I40"/>
    <mergeCell ref="D41:I41"/>
    <mergeCell ref="D42:I42"/>
    <mergeCell ref="C43:I43"/>
    <mergeCell ref="A60:B60"/>
    <mergeCell ref="C47:I47"/>
    <mergeCell ref="C48:I48"/>
    <mergeCell ref="C49:I49"/>
    <mergeCell ref="C50:I50"/>
    <mergeCell ref="C51:I51"/>
    <mergeCell ref="A53:I53"/>
    <mergeCell ref="A55:B55"/>
    <mergeCell ref="A56:B56"/>
    <mergeCell ref="A57:B57"/>
    <mergeCell ref="A58:B58"/>
    <mergeCell ref="A59:B59"/>
    <mergeCell ref="A72:B72"/>
    <mergeCell ref="A61:B61"/>
    <mergeCell ref="A62:B62"/>
    <mergeCell ref="A63:B63"/>
    <mergeCell ref="A64:B64"/>
    <mergeCell ref="A65:B65"/>
    <mergeCell ref="A66:B66"/>
    <mergeCell ref="A67:B67"/>
    <mergeCell ref="A68:B68"/>
    <mergeCell ref="A69:B69"/>
    <mergeCell ref="A70:B70"/>
    <mergeCell ref="A71:B71"/>
    <mergeCell ref="A86:I86"/>
    <mergeCell ref="A88:I88"/>
    <mergeCell ref="A89:I89"/>
    <mergeCell ref="A73:B73"/>
    <mergeCell ref="A76:B76"/>
    <mergeCell ref="A78:B78"/>
    <mergeCell ref="A80:I80"/>
    <mergeCell ref="A82:I82"/>
    <mergeCell ref="A84:I84"/>
  </mergeCells>
  <pageMargins left="0.70866141732283472" right="0.70866141732283472" top="0.78740157480314965" bottom="0.78740157480314965" header="0.31496062992125984" footer="0.31496062992125984"/>
  <pageSetup paperSize="9" firstPageNumber="142" orientation="landscape" useFirstPageNumber="1"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Z32" sqref="Z32"/>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0" width="11" customWidth="1"/>
    <col min="11" max="11" width="11.3984375" customWidth="1"/>
    <col min="12" max="12" width="11" customWidth="1"/>
    <col min="13" max="13" width="8.796875" customWidth="1"/>
    <col min="14" max="17" width="11" customWidth="1"/>
    <col min="18" max="18" width="8.796875" customWidth="1"/>
    <col min="19" max="22" width="11" customWidth="1"/>
    <col min="23" max="23" width="8.796875" customWidth="1"/>
    <col min="24" max="24" width="11" customWidth="1"/>
    <col min="26" max="26" width="6.3984375" customWidth="1"/>
    <col min="28" max="28" width="10" bestFit="1" customWidth="1"/>
  </cols>
  <sheetData>
    <row r="1" spans="1:24" s="2" customFormat="1" ht="15.6" x14ac:dyDescent="0.3">
      <c r="A1" s="1216" t="s">
        <v>234</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38896382</v>
      </c>
      <c r="F6" s="52">
        <f>SUM(F7:F9)</f>
        <v>43807305.579999998</v>
      </c>
      <c r="G6" s="52">
        <f>SUM(G7:G9)</f>
        <v>43690106.75</v>
      </c>
      <c r="H6" s="4">
        <f t="shared" ref="H6:H36" si="0">G6/F6*100</f>
        <v>99.732467385409109</v>
      </c>
      <c r="I6" s="53">
        <f>SUM(I7:I9)</f>
        <v>37161612</v>
      </c>
      <c r="J6" s="51">
        <f>SUM(J7:J9)</f>
        <v>7138319</v>
      </c>
      <c r="K6" s="52">
        <f t="shared" ref="K6:X6" si="1">SUM(K7:K9)</f>
        <v>9841634</v>
      </c>
      <c r="L6" s="52">
        <f t="shared" si="1"/>
        <v>9750983.1699999999</v>
      </c>
      <c r="M6" s="4">
        <f t="shared" ref="M6:M29" si="2">L6/K6*100</f>
        <v>99.078904681885135</v>
      </c>
      <c r="N6" s="53">
        <f t="shared" si="1"/>
        <v>8323728</v>
      </c>
      <c r="O6" s="51">
        <f t="shared" si="1"/>
        <v>31758063</v>
      </c>
      <c r="P6" s="52">
        <f t="shared" si="1"/>
        <v>33965671.579999998</v>
      </c>
      <c r="Q6" s="52">
        <f t="shared" si="1"/>
        <v>33939123.579999998</v>
      </c>
      <c r="R6" s="4">
        <f t="shared" ref="R6:R36" si="3">Q6/P6*100</f>
        <v>99.921838730797745</v>
      </c>
      <c r="S6" s="53">
        <f t="shared" si="1"/>
        <v>28837884</v>
      </c>
      <c r="T6" s="51">
        <f t="shared" si="1"/>
        <v>573000</v>
      </c>
      <c r="U6" s="52">
        <f t="shared" si="1"/>
        <v>715500</v>
      </c>
      <c r="V6" s="52">
        <f t="shared" si="1"/>
        <v>662066.1</v>
      </c>
      <c r="W6" s="4">
        <f t="shared" ref="W6:W33" si="4">V6/U6*100</f>
        <v>92.531949685534585</v>
      </c>
      <c r="X6" s="53">
        <f t="shared" si="1"/>
        <v>656540</v>
      </c>
    </row>
    <row r="7" spans="1:24" s="34" customFormat="1" x14ac:dyDescent="0.15">
      <c r="A7" s="55" t="s">
        <v>2</v>
      </c>
      <c r="B7" s="1233" t="s">
        <v>46</v>
      </c>
      <c r="C7" s="1233"/>
      <c r="D7" s="50" t="s">
        <v>25</v>
      </c>
      <c r="E7" s="56">
        <f t="shared" ref="E7:G10" si="5">SUM(J7,O7)</f>
        <v>2238702</v>
      </c>
      <c r="F7" s="57">
        <f t="shared" si="5"/>
        <v>2739642</v>
      </c>
      <c r="G7" s="57">
        <f t="shared" si="5"/>
        <v>2651194.9</v>
      </c>
      <c r="H7" s="58">
        <f t="shared" si="0"/>
        <v>96.77158183441486</v>
      </c>
      <c r="I7" s="59">
        <f>SUM(N7,S7)</f>
        <v>2554140</v>
      </c>
      <c r="J7" s="60">
        <f>[1]List2!$C$248-[1]List2!$C$262</f>
        <v>2238702</v>
      </c>
      <c r="K7" s="61">
        <f>[1]List2!$E$248-[1]List2!$E$262</f>
        <v>2739642</v>
      </c>
      <c r="L7" s="61">
        <f>2652971.17-1776.27</f>
        <v>2651194.9</v>
      </c>
      <c r="M7" s="58">
        <f t="shared" si="2"/>
        <v>96.77158183441486</v>
      </c>
      <c r="N7" s="244">
        <v>2554140</v>
      </c>
      <c r="O7" s="245">
        <v>0</v>
      </c>
      <c r="P7" s="61">
        <v>0</v>
      </c>
      <c r="Q7" s="61">
        <v>0</v>
      </c>
      <c r="R7" s="58">
        <v>0</v>
      </c>
      <c r="S7" s="244">
        <v>0</v>
      </c>
      <c r="T7" s="245">
        <v>573000</v>
      </c>
      <c r="U7" s="61">
        <v>710000</v>
      </c>
      <c r="V7" s="61">
        <f>619897+36697</f>
        <v>656594</v>
      </c>
      <c r="W7" s="58">
        <f t="shared" si="4"/>
        <v>92.478028169014081</v>
      </c>
      <c r="X7" s="244">
        <v>586263</v>
      </c>
    </row>
    <row r="8" spans="1:24" s="34" customFormat="1" x14ac:dyDescent="0.15">
      <c r="A8" s="63" t="s">
        <v>3</v>
      </c>
      <c r="B8" s="1237" t="s">
        <v>47</v>
      </c>
      <c r="C8" s="1237"/>
      <c r="D8" s="50" t="s">
        <v>25</v>
      </c>
      <c r="E8" s="56">
        <f t="shared" si="5"/>
        <v>0</v>
      </c>
      <c r="F8" s="57">
        <f t="shared" si="5"/>
        <v>3000</v>
      </c>
      <c r="G8" s="57">
        <f t="shared" si="5"/>
        <v>1776.27</v>
      </c>
      <c r="H8" s="58">
        <f t="shared" si="0"/>
        <v>59.209000000000003</v>
      </c>
      <c r="I8" s="59">
        <f>SUM(N8,S8)</f>
        <v>1595</v>
      </c>
      <c r="J8" s="64">
        <f>[1]List2!$C$262</f>
        <v>0</v>
      </c>
      <c r="K8" s="57">
        <f>[1]List2!$E$262</f>
        <v>3000</v>
      </c>
      <c r="L8" s="57">
        <v>1776.27</v>
      </c>
      <c r="M8" s="58">
        <f t="shared" si="2"/>
        <v>59.209000000000003</v>
      </c>
      <c r="N8" s="59">
        <v>1595</v>
      </c>
      <c r="O8" s="56">
        <v>0</v>
      </c>
      <c r="P8" s="57">
        <v>0</v>
      </c>
      <c r="Q8" s="57">
        <v>0</v>
      </c>
      <c r="R8" s="58">
        <v>0</v>
      </c>
      <c r="S8" s="59">
        <v>0</v>
      </c>
      <c r="T8" s="56">
        <v>0</v>
      </c>
      <c r="U8" s="57">
        <v>0</v>
      </c>
      <c r="V8" s="57">
        <v>0</v>
      </c>
      <c r="W8" s="58">
        <v>0</v>
      </c>
      <c r="X8" s="59">
        <v>0</v>
      </c>
    </row>
    <row r="9" spans="1:24" s="34" customFormat="1" ht="8.4" x14ac:dyDescent="0.2">
      <c r="A9" s="63" t="s">
        <v>4</v>
      </c>
      <c r="B9" s="66" t="s">
        <v>62</v>
      </c>
      <c r="C9" s="67"/>
      <c r="D9" s="50" t="s">
        <v>25</v>
      </c>
      <c r="E9" s="56">
        <f t="shared" si="5"/>
        <v>36657680</v>
      </c>
      <c r="F9" s="57">
        <f t="shared" si="5"/>
        <v>41064663.579999998</v>
      </c>
      <c r="G9" s="57">
        <f t="shared" si="5"/>
        <v>41037135.579999998</v>
      </c>
      <c r="H9" s="58">
        <f t="shared" si="0"/>
        <v>99.932964262701503</v>
      </c>
      <c r="I9" s="59">
        <f>SUM(N9,S9)</f>
        <v>34605877</v>
      </c>
      <c r="J9" s="64">
        <v>4899617</v>
      </c>
      <c r="K9" s="57">
        <v>7098992</v>
      </c>
      <c r="L9" s="57">
        <v>7098012</v>
      </c>
      <c r="M9" s="58">
        <f t="shared" si="2"/>
        <v>99.986195223209151</v>
      </c>
      <c r="N9" s="59">
        <v>5767993</v>
      </c>
      <c r="O9" s="56">
        <v>31758063</v>
      </c>
      <c r="P9" s="57">
        <f>32868160+1097511.58</f>
        <v>33965671.579999998</v>
      </c>
      <c r="Q9" s="57">
        <f>32841612+1097511.58</f>
        <v>33939123.579999998</v>
      </c>
      <c r="R9" s="58">
        <f t="shared" si="3"/>
        <v>99.921838730797745</v>
      </c>
      <c r="S9" s="59">
        <v>28837884</v>
      </c>
      <c r="T9" s="56">
        <f>[1]List2!$C$385</f>
        <v>0</v>
      </c>
      <c r="U9" s="57">
        <v>5500</v>
      </c>
      <c r="V9" s="57">
        <v>5472.1</v>
      </c>
      <c r="W9" s="58">
        <f t="shared" si="4"/>
        <v>99.492727272727279</v>
      </c>
      <c r="X9" s="59">
        <v>70277</v>
      </c>
    </row>
    <row r="10" spans="1:24" s="34" customFormat="1" x14ac:dyDescent="0.15">
      <c r="A10" s="49" t="s">
        <v>5</v>
      </c>
      <c r="B10" s="1236" t="s">
        <v>7</v>
      </c>
      <c r="C10" s="1236"/>
      <c r="D10" s="50" t="s">
        <v>25</v>
      </c>
      <c r="E10" s="68">
        <f t="shared" si="5"/>
        <v>0</v>
      </c>
      <c r="F10" s="69">
        <f t="shared" si="5"/>
        <v>0</v>
      </c>
      <c r="G10" s="69">
        <f t="shared" si="5"/>
        <v>0</v>
      </c>
      <c r="H10" s="4">
        <v>0</v>
      </c>
      <c r="I10" s="70">
        <f>SUM(N10,S10)</f>
        <v>0</v>
      </c>
      <c r="J10" s="71">
        <v>0</v>
      </c>
      <c r="K10" s="69">
        <v>0</v>
      </c>
      <c r="L10" s="69">
        <v>0</v>
      </c>
      <c r="M10" s="4">
        <v>0</v>
      </c>
      <c r="N10" s="70">
        <v>0</v>
      </c>
      <c r="O10" s="68">
        <v>0</v>
      </c>
      <c r="P10" s="69">
        <v>0</v>
      </c>
      <c r="Q10" s="69">
        <v>0</v>
      </c>
      <c r="R10" s="4">
        <v>0</v>
      </c>
      <c r="S10" s="70">
        <v>0</v>
      </c>
      <c r="T10" s="68">
        <v>0</v>
      </c>
      <c r="U10" s="69">
        <v>0</v>
      </c>
      <c r="V10" s="69">
        <v>0</v>
      </c>
      <c r="W10" s="4">
        <v>0</v>
      </c>
      <c r="X10" s="70">
        <v>0</v>
      </c>
    </row>
    <row r="11" spans="1:24" s="34" customFormat="1" x14ac:dyDescent="0.15">
      <c r="A11" s="49" t="s">
        <v>6</v>
      </c>
      <c r="B11" s="1236" t="s">
        <v>9</v>
      </c>
      <c r="C11" s="1236"/>
      <c r="D11" s="50" t="s">
        <v>25</v>
      </c>
      <c r="E11" s="51">
        <f>SUM(E12:E31)</f>
        <v>38896382</v>
      </c>
      <c r="F11" s="52">
        <f>SUM(F12:F31)</f>
        <v>43807306</v>
      </c>
      <c r="G11" s="52">
        <f>SUM(G12:G31)</f>
        <v>43688583.900000006</v>
      </c>
      <c r="H11" s="4">
        <f t="shared" si="0"/>
        <v>99.728990182596505</v>
      </c>
      <c r="I11" s="53">
        <f>SUM(I12:I31)</f>
        <v>37161198.730000004</v>
      </c>
      <c r="J11" s="51">
        <f>SUM(J12:J31)</f>
        <v>7138319</v>
      </c>
      <c r="K11" s="52">
        <f>SUM(K12:K31)</f>
        <v>9841634</v>
      </c>
      <c r="L11" s="52">
        <f>SUM(L12:L31)</f>
        <v>9749460.3200000003</v>
      </c>
      <c r="M11" s="4">
        <f t="shared" si="2"/>
        <v>99.063431133488606</v>
      </c>
      <c r="N11" s="53">
        <f>SUM(N12:N31)</f>
        <v>8323314.7300000004</v>
      </c>
      <c r="O11" s="51">
        <f>SUM(O12:O31)</f>
        <v>31758063</v>
      </c>
      <c r="P11" s="52">
        <f>SUM(P12:P31)</f>
        <v>33965672</v>
      </c>
      <c r="Q11" s="52">
        <f>SUM(Q12:Q31)</f>
        <v>33939123.579999998</v>
      </c>
      <c r="R11" s="4">
        <f t="shared" si="3"/>
        <v>99.921837495221638</v>
      </c>
      <c r="S11" s="53">
        <f>SUM(S12:S31)</f>
        <v>28837884</v>
      </c>
      <c r="T11" s="51">
        <f>SUM(T12:T31)</f>
        <v>445462</v>
      </c>
      <c r="U11" s="52">
        <f>SUM(U12:U31)</f>
        <v>500132</v>
      </c>
      <c r="V11" s="52">
        <f>SUM(V12:V31)</f>
        <v>478138.99</v>
      </c>
      <c r="W11" s="4">
        <f t="shared" si="4"/>
        <v>95.602558924443954</v>
      </c>
      <c r="X11" s="53">
        <f>SUM(X12:X31)</f>
        <v>495057</v>
      </c>
    </row>
    <row r="12" spans="1:24" s="34" customFormat="1" x14ac:dyDescent="0.15">
      <c r="A12" s="73" t="s">
        <v>8</v>
      </c>
      <c r="B12" s="1238" t="s">
        <v>28</v>
      </c>
      <c r="C12" s="1238"/>
      <c r="D12" s="50" t="s">
        <v>25</v>
      </c>
      <c r="E12" s="56">
        <f>SUM(J12,O12)</f>
        <v>2651702</v>
      </c>
      <c r="F12" s="57">
        <f t="shared" ref="E12:I27" si="6">SUM(K12,P12)</f>
        <v>2956374</v>
      </c>
      <c r="G12" s="57">
        <f t="shared" si="6"/>
        <v>2947690.9499999997</v>
      </c>
      <c r="H12" s="58">
        <f t="shared" si="0"/>
        <v>99.70629392627589</v>
      </c>
      <c r="I12" s="59">
        <f t="shared" si="6"/>
        <v>2976399.73</v>
      </c>
      <c r="J12" s="74">
        <f>[1]List2!$C$22</f>
        <v>2481702</v>
      </c>
      <c r="K12" s="75">
        <v>2784702</v>
      </c>
      <c r="L12" s="75">
        <f>2779466.92</f>
        <v>2779466.92</v>
      </c>
      <c r="M12" s="58">
        <f t="shared" si="2"/>
        <v>99.812005737059124</v>
      </c>
      <c r="N12" s="246">
        <f>[1]List2!$B$22</f>
        <v>2778787.73</v>
      </c>
      <c r="O12" s="247">
        <v>170000</v>
      </c>
      <c r="P12" s="75">
        <f>169000+2672</f>
        <v>171672</v>
      </c>
      <c r="Q12" s="75">
        <f>59386.03+102952+5886</f>
        <v>168224.03</v>
      </c>
      <c r="R12" s="58">
        <f t="shared" si="3"/>
        <v>97.991536185283564</v>
      </c>
      <c r="S12" s="248">
        <v>197612</v>
      </c>
      <c r="T12" s="247">
        <v>18000</v>
      </c>
      <c r="U12" s="75">
        <v>32200</v>
      </c>
      <c r="V12" s="75">
        <v>31972.01</v>
      </c>
      <c r="W12" s="58">
        <f t="shared" si="4"/>
        <v>99.291956521739124</v>
      </c>
      <c r="X12" s="246">
        <v>29926</v>
      </c>
    </row>
    <row r="13" spans="1:24" s="34" customFormat="1" x14ac:dyDescent="0.15">
      <c r="A13" s="55" t="s">
        <v>10</v>
      </c>
      <c r="B13" s="1233" t="s">
        <v>29</v>
      </c>
      <c r="C13" s="1233"/>
      <c r="D13" s="50" t="s">
        <v>25</v>
      </c>
      <c r="E13" s="56">
        <f t="shared" si="6"/>
        <v>2055000</v>
      </c>
      <c r="F13" s="57">
        <f t="shared" si="6"/>
        <v>1855000</v>
      </c>
      <c r="G13" s="57">
        <f t="shared" si="6"/>
        <v>1773131.53</v>
      </c>
      <c r="H13" s="58">
        <f t="shared" si="0"/>
        <v>95.586605390835572</v>
      </c>
      <c r="I13" s="59">
        <f t="shared" si="6"/>
        <v>1296964</v>
      </c>
      <c r="J13" s="74">
        <v>2055000</v>
      </c>
      <c r="K13" s="57">
        <v>1855000</v>
      </c>
      <c r="L13" s="57">
        <v>1773131.53</v>
      </c>
      <c r="M13" s="58">
        <f t="shared" si="2"/>
        <v>95.586605390835572</v>
      </c>
      <c r="N13" s="59">
        <v>1296964</v>
      </c>
      <c r="O13" s="56">
        <v>0</v>
      </c>
      <c r="P13" s="57">
        <v>0</v>
      </c>
      <c r="Q13" s="57">
        <v>0</v>
      </c>
      <c r="R13" s="58">
        <v>0</v>
      </c>
      <c r="S13" s="59">
        <v>0</v>
      </c>
      <c r="T13" s="56">
        <v>255000</v>
      </c>
      <c r="U13" s="57">
        <v>312000</v>
      </c>
      <c r="V13" s="57">
        <v>290940.2</v>
      </c>
      <c r="W13" s="58">
        <f t="shared" si="4"/>
        <v>93.250064102564096</v>
      </c>
      <c r="X13" s="59">
        <v>242870</v>
      </c>
    </row>
    <row r="14" spans="1:24" s="34" customFormat="1" x14ac:dyDescent="0.15">
      <c r="A14" s="55" t="s">
        <v>11</v>
      </c>
      <c r="B14" s="76" t="s">
        <v>63</v>
      </c>
      <c r="C14" s="76"/>
      <c r="D14" s="50" t="s">
        <v>25</v>
      </c>
      <c r="E14" s="56">
        <f t="shared" si="6"/>
        <v>0</v>
      </c>
      <c r="F14" s="57">
        <f t="shared" si="6"/>
        <v>14100</v>
      </c>
      <c r="G14" s="57">
        <f t="shared" si="6"/>
        <v>14040</v>
      </c>
      <c r="H14" s="58">
        <v>0</v>
      </c>
      <c r="I14" s="59">
        <f t="shared" si="6"/>
        <v>0</v>
      </c>
      <c r="J14" s="74">
        <v>0</v>
      </c>
      <c r="K14" s="57">
        <v>14100</v>
      </c>
      <c r="L14" s="57">
        <v>14040</v>
      </c>
      <c r="M14" s="58">
        <f t="shared" si="2"/>
        <v>99.574468085106389</v>
      </c>
      <c r="N14" s="59">
        <v>0</v>
      </c>
      <c r="O14" s="56">
        <v>0</v>
      </c>
      <c r="P14" s="57">
        <v>0</v>
      </c>
      <c r="Q14" s="57">
        <v>0</v>
      </c>
      <c r="R14" s="58">
        <v>0</v>
      </c>
      <c r="S14" s="59">
        <v>0</v>
      </c>
      <c r="T14" s="56">
        <v>0</v>
      </c>
      <c r="U14" s="57">
        <v>0</v>
      </c>
      <c r="V14" s="57">
        <v>0</v>
      </c>
      <c r="W14" s="58">
        <v>0</v>
      </c>
      <c r="X14" s="59">
        <v>0</v>
      </c>
    </row>
    <row r="15" spans="1:24" s="34" customFormat="1" x14ac:dyDescent="0.15">
      <c r="A15" s="55" t="s">
        <v>12</v>
      </c>
      <c r="B15" s="1233" t="s">
        <v>64</v>
      </c>
      <c r="C15" s="1233"/>
      <c r="D15" s="50" t="s">
        <v>25</v>
      </c>
      <c r="E15" s="56">
        <f t="shared" si="6"/>
        <v>547492</v>
      </c>
      <c r="F15" s="57">
        <f t="shared" si="6"/>
        <v>2810706</v>
      </c>
      <c r="G15" s="57">
        <f t="shared" si="6"/>
        <v>2809976.34</v>
      </c>
      <c r="H15" s="58">
        <f t="shared" si="0"/>
        <v>99.974039974298265</v>
      </c>
      <c r="I15" s="59">
        <f t="shared" si="6"/>
        <v>1482009</v>
      </c>
      <c r="J15" s="74">
        <v>547492</v>
      </c>
      <c r="K15" s="57">
        <v>2810706</v>
      </c>
      <c r="L15" s="57">
        <v>2809976.34</v>
      </c>
      <c r="M15" s="58">
        <f t="shared" si="2"/>
        <v>99.974039974298265</v>
      </c>
      <c r="N15" s="59">
        <v>1482009</v>
      </c>
      <c r="O15" s="56">
        <v>0</v>
      </c>
      <c r="P15" s="57">
        <v>0</v>
      </c>
      <c r="Q15" s="57">
        <v>0</v>
      </c>
      <c r="R15" s="58">
        <v>0</v>
      </c>
      <c r="S15" s="59">
        <v>0</v>
      </c>
      <c r="T15" s="56">
        <v>10500</v>
      </c>
      <c r="U15" s="57">
        <v>0</v>
      </c>
      <c r="V15" s="57">
        <v>0</v>
      </c>
      <c r="W15" s="58">
        <v>0</v>
      </c>
      <c r="X15" s="59">
        <v>0</v>
      </c>
    </row>
    <row r="16" spans="1:24" s="34" customFormat="1" x14ac:dyDescent="0.15">
      <c r="A16" s="55" t="s">
        <v>13</v>
      </c>
      <c r="B16" s="1233" t="s">
        <v>30</v>
      </c>
      <c r="C16" s="1233"/>
      <c r="D16" s="50" t="s">
        <v>25</v>
      </c>
      <c r="E16" s="56">
        <f t="shared" si="6"/>
        <v>47000</v>
      </c>
      <c r="F16" s="57">
        <f t="shared" si="6"/>
        <v>49500</v>
      </c>
      <c r="G16" s="57">
        <f t="shared" si="6"/>
        <v>48220</v>
      </c>
      <c r="H16" s="58">
        <f t="shared" si="0"/>
        <v>97.414141414141412</v>
      </c>
      <c r="I16" s="59">
        <f t="shared" si="6"/>
        <v>41472</v>
      </c>
      <c r="J16" s="74">
        <v>7000</v>
      </c>
      <c r="K16" s="57">
        <v>10500</v>
      </c>
      <c r="L16" s="57">
        <v>9883</v>
      </c>
      <c r="M16" s="58">
        <f t="shared" si="2"/>
        <v>94.123809523809527</v>
      </c>
      <c r="N16" s="59">
        <v>3612</v>
      </c>
      <c r="O16" s="56">
        <v>40000</v>
      </c>
      <c r="P16" s="57">
        <v>39000</v>
      </c>
      <c r="Q16" s="57">
        <f>38337</f>
        <v>38337</v>
      </c>
      <c r="R16" s="58">
        <f t="shared" si="3"/>
        <v>98.3</v>
      </c>
      <c r="S16" s="59">
        <v>37860</v>
      </c>
      <c r="T16" s="56">
        <v>0</v>
      </c>
      <c r="U16" s="57">
        <v>0</v>
      </c>
      <c r="V16" s="57">
        <v>0</v>
      </c>
      <c r="W16" s="58">
        <v>0</v>
      </c>
      <c r="X16" s="59">
        <v>0</v>
      </c>
    </row>
    <row r="17" spans="1:24" s="34" customFormat="1" x14ac:dyDescent="0.15">
      <c r="A17" s="55" t="s">
        <v>14</v>
      </c>
      <c r="B17" s="76" t="s">
        <v>48</v>
      </c>
      <c r="C17" s="76"/>
      <c r="D17" s="50" t="s">
        <v>25</v>
      </c>
      <c r="E17" s="56">
        <f t="shared" si="6"/>
        <v>4000</v>
      </c>
      <c r="F17" s="57">
        <f t="shared" si="6"/>
        <v>4350</v>
      </c>
      <c r="G17" s="57">
        <f t="shared" si="6"/>
        <v>4309</v>
      </c>
      <c r="H17" s="58">
        <f t="shared" si="0"/>
        <v>99.05747126436782</v>
      </c>
      <c r="I17" s="59">
        <f t="shared" si="6"/>
        <v>3875</v>
      </c>
      <c r="J17" s="74">
        <v>4000</v>
      </c>
      <c r="K17" s="57">
        <v>4350</v>
      </c>
      <c r="L17" s="57">
        <v>4309</v>
      </c>
      <c r="M17" s="58">
        <f t="shared" si="2"/>
        <v>99.05747126436782</v>
      </c>
      <c r="N17" s="59">
        <v>3875</v>
      </c>
      <c r="O17" s="56">
        <v>0</v>
      </c>
      <c r="P17" s="57">
        <v>0</v>
      </c>
      <c r="Q17" s="57">
        <v>0</v>
      </c>
      <c r="R17" s="58">
        <v>0</v>
      </c>
      <c r="S17" s="59">
        <v>0</v>
      </c>
      <c r="T17" s="56">
        <v>0</v>
      </c>
      <c r="U17" s="57">
        <v>0</v>
      </c>
      <c r="V17" s="57">
        <v>0</v>
      </c>
      <c r="W17" s="58">
        <v>0</v>
      </c>
      <c r="X17" s="59">
        <v>0</v>
      </c>
    </row>
    <row r="18" spans="1:24" s="34" customFormat="1" x14ac:dyDescent="0.15">
      <c r="A18" s="55" t="s">
        <v>15</v>
      </c>
      <c r="B18" s="1233" t="s">
        <v>31</v>
      </c>
      <c r="C18" s="1233"/>
      <c r="D18" s="50" t="s">
        <v>25</v>
      </c>
      <c r="E18" s="56">
        <f t="shared" si="6"/>
        <v>442000</v>
      </c>
      <c r="F18" s="57">
        <f t="shared" si="6"/>
        <v>718300</v>
      </c>
      <c r="G18" s="57">
        <f t="shared" si="6"/>
        <v>714558.65999999992</v>
      </c>
      <c r="H18" s="58">
        <f t="shared" si="0"/>
        <v>99.479139635249879</v>
      </c>
      <c r="I18" s="59">
        <f t="shared" si="6"/>
        <v>696729</v>
      </c>
      <c r="J18" s="74">
        <v>442000</v>
      </c>
      <c r="K18" s="57">
        <v>504300</v>
      </c>
      <c r="L18" s="57">
        <v>501140.49</v>
      </c>
      <c r="M18" s="58">
        <f t="shared" si="2"/>
        <v>99.373486020226053</v>
      </c>
      <c r="N18" s="59">
        <v>439258</v>
      </c>
      <c r="O18" s="56"/>
      <c r="P18" s="57">
        <v>214000</v>
      </c>
      <c r="Q18" s="57">
        <f>30881+14024+35680+4114+128719.17</f>
        <v>213418.16999999998</v>
      </c>
      <c r="R18" s="58">
        <f t="shared" si="3"/>
        <v>99.728116822429897</v>
      </c>
      <c r="S18" s="59">
        <v>257471</v>
      </c>
      <c r="T18" s="56">
        <v>2000</v>
      </c>
      <c r="U18" s="57">
        <v>4600</v>
      </c>
      <c r="V18" s="57">
        <v>4483</v>
      </c>
      <c r="W18" s="58">
        <v>0</v>
      </c>
      <c r="X18" s="59">
        <v>5905</v>
      </c>
    </row>
    <row r="19" spans="1:24" s="37" customFormat="1" x14ac:dyDescent="0.15">
      <c r="A19" s="55" t="s">
        <v>16</v>
      </c>
      <c r="B19" s="1233" t="s">
        <v>32</v>
      </c>
      <c r="C19" s="1233"/>
      <c r="D19" s="50" t="s">
        <v>25</v>
      </c>
      <c r="E19" s="56">
        <f t="shared" si="6"/>
        <v>22815465</v>
      </c>
      <c r="F19" s="57">
        <f t="shared" si="6"/>
        <v>24675265</v>
      </c>
      <c r="G19" s="57">
        <f t="shared" si="6"/>
        <v>24674506</v>
      </c>
      <c r="H19" s="58">
        <f t="shared" si="0"/>
        <v>99.996924045192628</v>
      </c>
      <c r="I19" s="59">
        <f t="shared" si="6"/>
        <v>20996799</v>
      </c>
      <c r="J19" s="77">
        <v>173165</v>
      </c>
      <c r="K19" s="57">
        <v>189265</v>
      </c>
      <c r="L19" s="57">
        <v>189210</v>
      </c>
      <c r="M19" s="58">
        <f t="shared" si="2"/>
        <v>99.970940216099123</v>
      </c>
      <c r="N19" s="59">
        <v>175995</v>
      </c>
      <c r="O19" s="56">
        <f>22591300+6000+45000</f>
        <v>22642300</v>
      </c>
      <c r="P19" s="57">
        <v>24486000</v>
      </c>
      <c r="Q19" s="57">
        <f>23695779+374982+35408+13000+233700+132427</f>
        <v>24485296</v>
      </c>
      <c r="R19" s="58">
        <f t="shared" si="3"/>
        <v>99.99712488769093</v>
      </c>
      <c r="S19" s="59">
        <v>20820804</v>
      </c>
      <c r="T19" s="249">
        <v>14700</v>
      </c>
      <c r="U19" s="78">
        <v>11700</v>
      </c>
      <c r="V19" s="78">
        <v>11286</v>
      </c>
      <c r="W19" s="58">
        <f t="shared" si="4"/>
        <v>96.461538461538467</v>
      </c>
      <c r="X19" s="250">
        <v>56486</v>
      </c>
    </row>
    <row r="20" spans="1:24" s="34" customFormat="1" x14ac:dyDescent="0.15">
      <c r="A20" s="55" t="s">
        <v>17</v>
      </c>
      <c r="B20" s="1233" t="s">
        <v>49</v>
      </c>
      <c r="C20" s="1233"/>
      <c r="D20" s="50" t="s">
        <v>25</v>
      </c>
      <c r="E20" s="56">
        <f t="shared" si="6"/>
        <v>8153763</v>
      </c>
      <c r="F20" s="57">
        <f t="shared" si="6"/>
        <v>8305720</v>
      </c>
      <c r="G20" s="57">
        <f t="shared" si="6"/>
        <v>8298791.6400000006</v>
      </c>
      <c r="H20" s="58">
        <f t="shared" si="0"/>
        <v>99.916583270324551</v>
      </c>
      <c r="I20" s="59">
        <f t="shared" si="6"/>
        <v>7088214</v>
      </c>
      <c r="J20" s="74">
        <v>0</v>
      </c>
      <c r="K20" s="57">
        <v>5720</v>
      </c>
      <c r="L20" s="57">
        <v>5658.05</v>
      </c>
      <c r="M20" s="58">
        <f t="shared" si="2"/>
        <v>98.916958041958054</v>
      </c>
      <c r="N20" s="59">
        <v>6813</v>
      </c>
      <c r="O20" s="56">
        <f>8135000+18763</f>
        <v>8153763</v>
      </c>
      <c r="P20" s="57">
        <v>8300000</v>
      </c>
      <c r="Q20" s="57">
        <f>6016415.16+2175350.47+101367.96</f>
        <v>8293133.5900000008</v>
      </c>
      <c r="R20" s="58">
        <f t="shared" si="3"/>
        <v>99.917272168674714</v>
      </c>
      <c r="S20" s="59">
        <v>7081401</v>
      </c>
      <c r="T20" s="56">
        <v>5281</v>
      </c>
      <c r="U20" s="57">
        <v>3981</v>
      </c>
      <c r="V20" s="57">
        <v>3875.06</v>
      </c>
      <c r="W20" s="58">
        <f t="shared" si="4"/>
        <v>97.338859583019342</v>
      </c>
      <c r="X20" s="59">
        <v>19443</v>
      </c>
    </row>
    <row r="21" spans="1:24" s="34" customFormat="1" x14ac:dyDescent="0.15">
      <c r="A21" s="55" t="s">
        <v>18</v>
      </c>
      <c r="B21" s="1233" t="s">
        <v>50</v>
      </c>
      <c r="C21" s="1233"/>
      <c r="D21" s="50" t="s">
        <v>25</v>
      </c>
      <c r="E21" s="56">
        <f t="shared" si="6"/>
        <v>452000</v>
      </c>
      <c r="F21" s="57">
        <f t="shared" si="6"/>
        <v>521031</v>
      </c>
      <c r="G21" s="57">
        <f t="shared" si="6"/>
        <v>517420.89</v>
      </c>
      <c r="H21" s="58">
        <f t="shared" si="0"/>
        <v>99.307121841118857</v>
      </c>
      <c r="I21" s="59">
        <f t="shared" si="6"/>
        <v>442485.5</v>
      </c>
      <c r="J21" s="74">
        <v>0</v>
      </c>
      <c r="K21" s="57">
        <v>1031</v>
      </c>
      <c r="L21" s="57">
        <v>1030.1600000000001</v>
      </c>
      <c r="M21" s="58">
        <f t="shared" si="2"/>
        <v>99.918525703200785</v>
      </c>
      <c r="N21" s="59">
        <v>1626</v>
      </c>
      <c r="O21" s="56">
        <v>452000</v>
      </c>
      <c r="P21" s="57">
        <v>520000</v>
      </c>
      <c r="Q21" s="57">
        <f>1049+5202+3556.08+4102+502481.65</f>
        <v>516390.73000000004</v>
      </c>
      <c r="R21" s="58">
        <f t="shared" si="3"/>
        <v>99.305909615384621</v>
      </c>
      <c r="S21" s="59">
        <v>440859.5</v>
      </c>
      <c r="T21" s="56">
        <v>294</v>
      </c>
      <c r="U21" s="57">
        <v>294</v>
      </c>
      <c r="V21" s="57">
        <v>225.72</v>
      </c>
      <c r="W21" s="58">
        <f t="shared" si="4"/>
        <v>76.775510204081627</v>
      </c>
      <c r="X21" s="59">
        <v>1130</v>
      </c>
    </row>
    <row r="22" spans="1:24" s="34" customFormat="1" x14ac:dyDescent="0.15">
      <c r="A22" s="55" t="s">
        <v>19</v>
      </c>
      <c r="B22" s="1233" t="s">
        <v>65</v>
      </c>
      <c r="C22" s="1233"/>
      <c r="D22" s="50" t="s">
        <v>25</v>
      </c>
      <c r="E22" s="56">
        <f t="shared" si="6"/>
        <v>0</v>
      </c>
      <c r="F22" s="57">
        <f t="shared" si="6"/>
        <v>0</v>
      </c>
      <c r="G22" s="57">
        <f t="shared" si="6"/>
        <v>0</v>
      </c>
      <c r="H22" s="58">
        <v>0</v>
      </c>
      <c r="I22" s="59">
        <f t="shared" si="6"/>
        <v>0</v>
      </c>
      <c r="J22" s="74">
        <v>0</v>
      </c>
      <c r="K22" s="57">
        <v>0</v>
      </c>
      <c r="L22" s="57">
        <v>0</v>
      </c>
      <c r="M22" s="58">
        <v>0</v>
      </c>
      <c r="N22" s="59">
        <v>0</v>
      </c>
      <c r="O22" s="56">
        <v>0</v>
      </c>
      <c r="P22" s="57">
        <v>0</v>
      </c>
      <c r="Q22" s="57">
        <v>0</v>
      </c>
      <c r="R22" s="58">
        <v>0</v>
      </c>
      <c r="S22" s="59">
        <v>0</v>
      </c>
      <c r="T22" s="56">
        <v>0</v>
      </c>
      <c r="U22" s="57">
        <v>0</v>
      </c>
      <c r="V22" s="57">
        <v>0</v>
      </c>
      <c r="W22" s="58">
        <v>0</v>
      </c>
      <c r="X22" s="59">
        <v>0</v>
      </c>
    </row>
    <row r="23" spans="1:24" s="34" customFormat="1" x14ac:dyDescent="0.15">
      <c r="A23" s="55" t="s">
        <v>20</v>
      </c>
      <c r="B23" s="76" t="s">
        <v>66</v>
      </c>
      <c r="C23" s="76"/>
      <c r="D23" s="50" t="s">
        <v>25</v>
      </c>
      <c r="E23" s="56">
        <f t="shared" si="6"/>
        <v>0</v>
      </c>
      <c r="F23" s="57">
        <f t="shared" si="6"/>
        <v>0</v>
      </c>
      <c r="G23" s="57">
        <f t="shared" si="6"/>
        <v>0</v>
      </c>
      <c r="H23" s="58">
        <v>0</v>
      </c>
      <c r="I23" s="59">
        <f t="shared" si="6"/>
        <v>0</v>
      </c>
      <c r="J23" s="74">
        <v>0</v>
      </c>
      <c r="K23" s="57">
        <v>0</v>
      </c>
      <c r="L23" s="57">
        <v>0</v>
      </c>
      <c r="M23" s="58">
        <v>0</v>
      </c>
      <c r="N23" s="59">
        <v>0</v>
      </c>
      <c r="O23" s="56">
        <v>0</v>
      </c>
      <c r="P23" s="57">
        <v>0</v>
      </c>
      <c r="Q23" s="57">
        <v>0</v>
      </c>
      <c r="R23" s="58">
        <v>0</v>
      </c>
      <c r="S23" s="59">
        <v>0</v>
      </c>
      <c r="T23" s="56">
        <v>0</v>
      </c>
      <c r="U23" s="57">
        <v>0</v>
      </c>
      <c r="V23" s="57">
        <v>0</v>
      </c>
      <c r="W23" s="58">
        <v>0</v>
      </c>
      <c r="X23" s="59">
        <v>0</v>
      </c>
    </row>
    <row r="24" spans="1:24" s="34" customFormat="1" x14ac:dyDescent="0.15">
      <c r="A24" s="55" t="s">
        <v>21</v>
      </c>
      <c r="B24" s="76" t="s">
        <v>73</v>
      </c>
      <c r="C24" s="76"/>
      <c r="D24" s="50" t="s">
        <v>25</v>
      </c>
      <c r="E24" s="56">
        <f t="shared" si="6"/>
        <v>0</v>
      </c>
      <c r="F24" s="57">
        <f t="shared" si="6"/>
        <v>0</v>
      </c>
      <c r="G24" s="57">
        <f t="shared" si="6"/>
        <v>0</v>
      </c>
      <c r="H24" s="58">
        <v>0</v>
      </c>
      <c r="I24" s="59">
        <f t="shared" si="6"/>
        <v>0</v>
      </c>
      <c r="J24" s="74">
        <v>0</v>
      </c>
      <c r="K24" s="57">
        <v>0</v>
      </c>
      <c r="L24" s="57">
        <v>0</v>
      </c>
      <c r="M24" s="58">
        <v>0</v>
      </c>
      <c r="N24" s="59">
        <v>0</v>
      </c>
      <c r="O24" s="56">
        <v>0</v>
      </c>
      <c r="P24" s="57">
        <v>0</v>
      </c>
      <c r="Q24" s="57">
        <v>0</v>
      </c>
      <c r="R24" s="58">
        <v>0</v>
      </c>
      <c r="S24" s="59">
        <v>0</v>
      </c>
      <c r="T24" s="56">
        <v>0</v>
      </c>
      <c r="U24" s="57">
        <v>0</v>
      </c>
      <c r="V24" s="57">
        <v>0</v>
      </c>
      <c r="W24" s="58">
        <v>0</v>
      </c>
      <c r="X24" s="59">
        <v>0</v>
      </c>
    </row>
    <row r="25" spans="1:24" s="34" customFormat="1" x14ac:dyDescent="0.15">
      <c r="A25" s="73" t="s">
        <v>22</v>
      </c>
      <c r="B25" s="80" t="s">
        <v>68</v>
      </c>
      <c r="C25" s="80"/>
      <c r="D25" s="50" t="s">
        <v>25</v>
      </c>
      <c r="E25" s="56">
        <f t="shared" si="6"/>
        <v>0</v>
      </c>
      <c r="F25" s="57">
        <f t="shared" si="6"/>
        <v>0</v>
      </c>
      <c r="G25" s="57">
        <f t="shared" si="6"/>
        <v>0</v>
      </c>
      <c r="H25" s="58">
        <v>0</v>
      </c>
      <c r="I25" s="59">
        <f t="shared" si="6"/>
        <v>0</v>
      </c>
      <c r="J25" s="74">
        <v>0</v>
      </c>
      <c r="K25" s="75">
        <v>0</v>
      </c>
      <c r="L25" s="75">
        <v>0</v>
      </c>
      <c r="M25" s="58">
        <v>0</v>
      </c>
      <c r="N25" s="246">
        <v>0</v>
      </c>
      <c r="O25" s="247">
        <v>0</v>
      </c>
      <c r="P25" s="75">
        <v>0</v>
      </c>
      <c r="Q25" s="75">
        <v>0</v>
      </c>
      <c r="R25" s="58">
        <v>0</v>
      </c>
      <c r="S25" s="248">
        <v>0</v>
      </c>
      <c r="T25" s="247">
        <v>0</v>
      </c>
      <c r="U25" s="75">
        <v>0</v>
      </c>
      <c r="V25" s="75">
        <v>0</v>
      </c>
      <c r="W25" s="58">
        <v>0</v>
      </c>
      <c r="X25" s="248">
        <v>0</v>
      </c>
    </row>
    <row r="26" spans="1:24" s="38" customFormat="1" x14ac:dyDescent="0.15">
      <c r="A26" s="55" t="s">
        <v>23</v>
      </c>
      <c r="B26" s="1233" t="s">
        <v>69</v>
      </c>
      <c r="C26" s="1233"/>
      <c r="D26" s="50" t="s">
        <v>25</v>
      </c>
      <c r="E26" s="56">
        <f t="shared" si="6"/>
        <v>1196960</v>
      </c>
      <c r="F26" s="57">
        <f t="shared" si="6"/>
        <v>1216960</v>
      </c>
      <c r="G26" s="57">
        <f t="shared" si="6"/>
        <v>1216960</v>
      </c>
      <c r="H26" s="81">
        <f t="shared" si="0"/>
        <v>100</v>
      </c>
      <c r="I26" s="59">
        <f t="shared" si="6"/>
        <v>1220707</v>
      </c>
      <c r="J26" s="74">
        <v>1196960</v>
      </c>
      <c r="K26" s="82">
        <v>1216960</v>
      </c>
      <c r="L26" s="82">
        <v>1216960</v>
      </c>
      <c r="M26" s="58">
        <f t="shared" si="2"/>
        <v>100</v>
      </c>
      <c r="N26" s="59">
        <v>1220707</v>
      </c>
      <c r="O26" s="251">
        <v>0</v>
      </c>
      <c r="P26" s="82">
        <v>0</v>
      </c>
      <c r="Q26" s="82">
        <v>0</v>
      </c>
      <c r="R26" s="58">
        <v>0</v>
      </c>
      <c r="S26" s="246">
        <v>0</v>
      </c>
      <c r="T26" s="56">
        <v>139687</v>
      </c>
      <c r="U26" s="57">
        <f>[1]List2!$E$324</f>
        <v>135357</v>
      </c>
      <c r="V26" s="57">
        <f>[1]List2!$F$324</f>
        <v>135357</v>
      </c>
      <c r="W26" s="58">
        <f t="shared" si="4"/>
        <v>100</v>
      </c>
      <c r="X26" s="59">
        <f>[1]List2!$B$324</f>
        <v>137221</v>
      </c>
    </row>
    <row r="27" spans="1:24" s="39" customFormat="1" x14ac:dyDescent="0.15">
      <c r="A27" s="55" t="s">
        <v>45</v>
      </c>
      <c r="B27" s="76" t="s">
        <v>70</v>
      </c>
      <c r="C27" s="76"/>
      <c r="D27" s="50" t="s">
        <v>25</v>
      </c>
      <c r="E27" s="56">
        <f t="shared" si="6"/>
        <v>0</v>
      </c>
      <c r="F27" s="57">
        <f t="shared" si="6"/>
        <v>0</v>
      </c>
      <c r="G27" s="57">
        <f t="shared" si="6"/>
        <v>0</v>
      </c>
      <c r="H27" s="81">
        <v>0</v>
      </c>
      <c r="I27" s="59">
        <f t="shared" si="6"/>
        <v>0</v>
      </c>
      <c r="J27" s="74">
        <v>0</v>
      </c>
      <c r="K27" s="82">
        <v>0</v>
      </c>
      <c r="L27" s="82">
        <v>0</v>
      </c>
      <c r="M27" s="58">
        <v>0</v>
      </c>
      <c r="N27" s="246">
        <v>0</v>
      </c>
      <c r="O27" s="251">
        <v>0</v>
      </c>
      <c r="P27" s="82">
        <v>0</v>
      </c>
      <c r="Q27" s="82">
        <v>0</v>
      </c>
      <c r="R27" s="58">
        <v>0</v>
      </c>
      <c r="S27" s="246">
        <v>0</v>
      </c>
      <c r="T27" s="247">
        <v>0</v>
      </c>
      <c r="U27" s="57">
        <v>0</v>
      </c>
      <c r="V27" s="75">
        <v>0</v>
      </c>
      <c r="W27" s="58">
        <v>0</v>
      </c>
      <c r="X27" s="248">
        <v>0</v>
      </c>
    </row>
    <row r="28" spans="1:24" s="39" customFormat="1" x14ac:dyDescent="0.15">
      <c r="A28" s="55" t="s">
        <v>51</v>
      </c>
      <c r="B28" s="76" t="s">
        <v>74</v>
      </c>
      <c r="C28" s="76"/>
      <c r="D28" s="50" t="s">
        <v>25</v>
      </c>
      <c r="E28" s="56">
        <f t="shared" ref="E28:G31" si="7">SUM(J28,O28)</f>
        <v>530000</v>
      </c>
      <c r="F28" s="57">
        <f t="shared" si="7"/>
        <v>679000</v>
      </c>
      <c r="G28" s="57">
        <f t="shared" si="7"/>
        <v>667990.89</v>
      </c>
      <c r="H28" s="81">
        <f t="shared" si="0"/>
        <v>98.37862886597938</v>
      </c>
      <c r="I28" s="59">
        <f t="shared" ref="I28" si="8">SUM(N28,S28)</f>
        <v>878595.5</v>
      </c>
      <c r="J28" s="74">
        <v>230000</v>
      </c>
      <c r="K28" s="82">
        <v>444000</v>
      </c>
      <c r="L28" s="82">
        <v>443666.83</v>
      </c>
      <c r="M28" s="58">
        <f t="shared" si="2"/>
        <v>99.924961711711717</v>
      </c>
      <c r="N28" s="246">
        <v>876719</v>
      </c>
      <c r="O28" s="251">
        <v>300000</v>
      </c>
      <c r="P28" s="82">
        <v>235000</v>
      </c>
      <c r="Q28" s="82">
        <f>3299+89625+103345+6865+21190.06</f>
        <v>224324.06</v>
      </c>
      <c r="R28" s="58">
        <f t="shared" si="3"/>
        <v>95.45704680851064</v>
      </c>
      <c r="S28" s="246">
        <f>1876.5</f>
        <v>1876.5</v>
      </c>
      <c r="T28" s="247">
        <v>0</v>
      </c>
      <c r="U28" s="57">
        <v>0</v>
      </c>
      <c r="V28" s="57">
        <v>0</v>
      </c>
      <c r="W28" s="58">
        <v>0</v>
      </c>
      <c r="X28" s="248">
        <v>2076</v>
      </c>
    </row>
    <row r="29" spans="1:24" s="38" customFormat="1" x14ac:dyDescent="0.15">
      <c r="A29" s="55" t="s">
        <v>52</v>
      </c>
      <c r="B29" s="1233" t="s">
        <v>67</v>
      </c>
      <c r="C29" s="1233"/>
      <c r="D29" s="50" t="s">
        <v>25</v>
      </c>
      <c r="E29" s="56">
        <f t="shared" si="7"/>
        <v>1000</v>
      </c>
      <c r="F29" s="57">
        <f t="shared" si="7"/>
        <v>1000</v>
      </c>
      <c r="G29" s="57">
        <f t="shared" si="7"/>
        <v>988</v>
      </c>
      <c r="H29" s="81">
        <f t="shared" si="0"/>
        <v>98.8</v>
      </c>
      <c r="I29" s="59">
        <f>SUM(N29,S29)</f>
        <v>36949</v>
      </c>
      <c r="J29" s="74">
        <v>1000</v>
      </c>
      <c r="K29" s="82">
        <v>1000</v>
      </c>
      <c r="L29" s="82">
        <v>988</v>
      </c>
      <c r="M29" s="58">
        <f t="shared" si="2"/>
        <v>98.8</v>
      </c>
      <c r="N29" s="246">
        <v>36949</v>
      </c>
      <c r="O29" s="251">
        <v>0</v>
      </c>
      <c r="P29" s="82">
        <v>0</v>
      </c>
      <c r="Q29" s="82">
        <v>0</v>
      </c>
      <c r="R29" s="58">
        <v>0</v>
      </c>
      <c r="S29" s="246">
        <v>0</v>
      </c>
      <c r="T29" s="247">
        <v>0</v>
      </c>
      <c r="U29" s="57">
        <v>0</v>
      </c>
      <c r="V29" s="57">
        <v>0</v>
      </c>
      <c r="W29" s="58">
        <v>0</v>
      </c>
      <c r="X29" s="248">
        <v>0</v>
      </c>
    </row>
    <row r="30" spans="1:24" s="34" customFormat="1" x14ac:dyDescent="0.15">
      <c r="A30" s="55" t="s">
        <v>54</v>
      </c>
      <c r="B30" s="76" t="s">
        <v>53</v>
      </c>
      <c r="C30" s="76"/>
      <c r="D30" s="50" t="s">
        <v>25</v>
      </c>
      <c r="E30" s="56">
        <f t="shared" si="7"/>
        <v>0</v>
      </c>
      <c r="F30" s="57">
        <f t="shared" si="7"/>
        <v>0</v>
      </c>
      <c r="G30" s="57">
        <f t="shared" si="7"/>
        <v>0</v>
      </c>
      <c r="H30" s="81">
        <v>0</v>
      </c>
      <c r="I30" s="59">
        <f>SUM(N30,S30)</f>
        <v>0</v>
      </c>
      <c r="J30" s="74">
        <v>0</v>
      </c>
      <c r="K30" s="82">
        <v>0</v>
      </c>
      <c r="L30" s="82">
        <v>0</v>
      </c>
      <c r="M30" s="58">
        <v>0</v>
      </c>
      <c r="N30" s="246">
        <v>0</v>
      </c>
      <c r="O30" s="251">
        <v>0</v>
      </c>
      <c r="P30" s="82">
        <v>0</v>
      </c>
      <c r="Q30" s="82">
        <v>0</v>
      </c>
      <c r="R30" s="58">
        <v>0</v>
      </c>
      <c r="S30" s="246">
        <v>0</v>
      </c>
      <c r="T30" s="256">
        <v>0</v>
      </c>
      <c r="U30" s="31">
        <v>0</v>
      </c>
      <c r="V30" s="31">
        <v>0</v>
      </c>
      <c r="W30" s="58">
        <v>0</v>
      </c>
      <c r="X30" s="248">
        <v>0</v>
      </c>
    </row>
    <row r="31" spans="1:24" s="5" customFormat="1" ht="8.4" x14ac:dyDescent="0.2">
      <c r="A31" s="55" t="s">
        <v>55</v>
      </c>
      <c r="B31" s="66" t="s">
        <v>71</v>
      </c>
      <c r="C31" s="66"/>
      <c r="D31" s="50" t="s">
        <v>25</v>
      </c>
      <c r="E31" s="56">
        <f t="shared" si="7"/>
        <v>0</v>
      </c>
      <c r="F31" s="57">
        <f t="shared" si="7"/>
        <v>0</v>
      </c>
      <c r="G31" s="57">
        <f t="shared" si="7"/>
        <v>0</v>
      </c>
      <c r="H31" s="81">
        <v>0</v>
      </c>
      <c r="I31" s="59">
        <f>SUM(N31,S31)</f>
        <v>0</v>
      </c>
      <c r="J31" s="74">
        <v>0</v>
      </c>
      <c r="K31" s="84">
        <v>0</v>
      </c>
      <c r="L31" s="84">
        <v>0</v>
      </c>
      <c r="M31" s="58">
        <v>0</v>
      </c>
      <c r="N31" s="254">
        <v>0</v>
      </c>
      <c r="O31" s="255">
        <v>0</v>
      </c>
      <c r="P31" s="84">
        <v>0</v>
      </c>
      <c r="Q31" s="84">
        <v>0</v>
      </c>
      <c r="R31" s="58">
        <v>0</v>
      </c>
      <c r="S31" s="254">
        <v>0</v>
      </c>
      <c r="T31" s="256">
        <v>0</v>
      </c>
      <c r="U31" s="31">
        <v>0</v>
      </c>
      <c r="V31" s="31">
        <v>0</v>
      </c>
      <c r="W31" s="58">
        <v>0</v>
      </c>
      <c r="X31" s="257">
        <v>0</v>
      </c>
    </row>
    <row r="32" spans="1:24" s="5" customFormat="1" x14ac:dyDescent="0.15">
      <c r="A32" s="73" t="s">
        <v>56</v>
      </c>
      <c r="B32" s="80" t="s">
        <v>72</v>
      </c>
      <c r="C32" s="80"/>
      <c r="D32" s="50" t="s">
        <v>25</v>
      </c>
      <c r="E32" s="56">
        <f>SUM(J32,O32)</f>
        <v>0</v>
      </c>
      <c r="F32" s="57">
        <f>SUM(K32,P32)</f>
        <v>0</v>
      </c>
      <c r="G32" s="57">
        <f>SUM(L32,Q32)</f>
        <v>0</v>
      </c>
      <c r="H32" s="81">
        <v>0</v>
      </c>
      <c r="I32" s="59">
        <f>SUM(N32,S32)</f>
        <v>0</v>
      </c>
      <c r="J32" s="86">
        <v>0</v>
      </c>
      <c r="K32" s="31">
        <v>0</v>
      </c>
      <c r="L32" s="31">
        <v>0</v>
      </c>
      <c r="M32" s="58">
        <v>0</v>
      </c>
      <c r="N32" s="257">
        <v>0</v>
      </c>
      <c r="O32" s="256">
        <v>0</v>
      </c>
      <c r="P32" s="31">
        <v>0</v>
      </c>
      <c r="Q32" s="31">
        <v>0</v>
      </c>
      <c r="R32" s="58">
        <v>0</v>
      </c>
      <c r="S32" s="257">
        <v>0</v>
      </c>
      <c r="T32" s="256">
        <v>0</v>
      </c>
      <c r="U32" s="31">
        <v>0</v>
      </c>
      <c r="V32" s="31">
        <v>0</v>
      </c>
      <c r="W32" s="58">
        <v>0</v>
      </c>
      <c r="X32" s="257">
        <v>0</v>
      </c>
    </row>
    <row r="33" spans="1:24" s="5" customFormat="1" x14ac:dyDescent="0.15">
      <c r="A33" s="49" t="s">
        <v>57</v>
      </c>
      <c r="B33" s="88" t="s">
        <v>58</v>
      </c>
      <c r="C33" s="88"/>
      <c r="D33" s="50" t="s">
        <v>25</v>
      </c>
      <c r="E33" s="51">
        <f>E6-E11</f>
        <v>0</v>
      </c>
      <c r="F33" s="52">
        <f t="shared" ref="F33:G33" si="9">F6-F11</f>
        <v>-0.42000000178813934</v>
      </c>
      <c r="G33" s="52">
        <f t="shared" si="9"/>
        <v>1522.8499999940395</v>
      </c>
      <c r="H33" s="89">
        <v>0</v>
      </c>
      <c r="I33" s="53">
        <f t="shared" ref="I33:L33" si="10">I6-I11</f>
        <v>413.26999999582767</v>
      </c>
      <c r="J33" s="51">
        <f t="shared" si="10"/>
        <v>0</v>
      </c>
      <c r="K33" s="52">
        <f t="shared" si="10"/>
        <v>0</v>
      </c>
      <c r="L33" s="52">
        <f t="shared" si="10"/>
        <v>1522.8499999996275</v>
      </c>
      <c r="M33" s="4">
        <v>0</v>
      </c>
      <c r="N33" s="53">
        <f t="shared" ref="N33:Q33" si="11">N6-N11</f>
        <v>413.26999999955297</v>
      </c>
      <c r="O33" s="51">
        <f t="shared" si="11"/>
        <v>0</v>
      </c>
      <c r="P33" s="52">
        <f t="shared" si="11"/>
        <v>-0.42000000178813934</v>
      </c>
      <c r="Q33" s="267">
        <f t="shared" si="11"/>
        <v>0</v>
      </c>
      <c r="R33" s="4">
        <f t="shared" si="3"/>
        <v>0</v>
      </c>
      <c r="S33" s="53">
        <f t="shared" ref="S33:V33" si="12">S6-S11</f>
        <v>0</v>
      </c>
      <c r="T33" s="51">
        <f t="shared" si="12"/>
        <v>127538</v>
      </c>
      <c r="U33" s="52">
        <f t="shared" si="12"/>
        <v>215368</v>
      </c>
      <c r="V33" s="52">
        <f t="shared" si="12"/>
        <v>183927.11</v>
      </c>
      <c r="W33" s="4">
        <f t="shared" si="4"/>
        <v>85.401317744511715</v>
      </c>
      <c r="X33" s="53">
        <f>X6-X11</f>
        <v>161483</v>
      </c>
    </row>
    <row r="34" spans="1:24" s="6" customFormat="1" x14ac:dyDescent="0.15">
      <c r="A34" s="90" t="s">
        <v>59</v>
      </c>
      <c r="B34" s="1239" t="s">
        <v>24</v>
      </c>
      <c r="C34" s="1239"/>
      <c r="D34" s="91" t="s">
        <v>25</v>
      </c>
      <c r="E34" s="92">
        <f>E19/E35/12</f>
        <v>30665.947580645163</v>
      </c>
      <c r="F34" s="93">
        <f>F19/F35/12</f>
        <v>33165.678763440861</v>
      </c>
      <c r="G34" s="93">
        <f>G19/G35/12</f>
        <v>33164.658602150535</v>
      </c>
      <c r="H34" s="81">
        <f t="shared" si="0"/>
        <v>99.996924045192614</v>
      </c>
      <c r="I34" s="94">
        <v>29723</v>
      </c>
      <c r="J34" s="258">
        <v>0</v>
      </c>
      <c r="K34" s="96">
        <v>0</v>
      </c>
      <c r="L34" s="96">
        <v>0</v>
      </c>
      <c r="M34" s="58">
        <v>0</v>
      </c>
      <c r="N34" s="259">
        <v>0</v>
      </c>
      <c r="O34" s="258">
        <f>O19/O35/12</f>
        <v>30507.006197790353</v>
      </c>
      <c r="P34" s="96">
        <f>P19/P35/12</f>
        <v>32991.107518189165</v>
      </c>
      <c r="Q34" s="96">
        <f>Q19/Q35/12</f>
        <v>33091.815331387181</v>
      </c>
      <c r="R34" s="58">
        <f t="shared" si="3"/>
        <v>100.30525744897317</v>
      </c>
      <c r="S34" s="259">
        <v>29727</v>
      </c>
      <c r="T34" s="258">
        <v>0</v>
      </c>
      <c r="U34" s="96">
        <v>0</v>
      </c>
      <c r="V34" s="96">
        <v>0</v>
      </c>
      <c r="W34" s="58">
        <v>0</v>
      </c>
      <c r="X34" s="259">
        <v>9414</v>
      </c>
    </row>
    <row r="35" spans="1:24" s="6" customFormat="1" x14ac:dyDescent="0.15">
      <c r="A35" s="99" t="s">
        <v>60</v>
      </c>
      <c r="B35" s="1240" t="s">
        <v>33</v>
      </c>
      <c r="C35" s="1240"/>
      <c r="D35" s="100" t="s">
        <v>26</v>
      </c>
      <c r="E35" s="92">
        <v>62</v>
      </c>
      <c r="F35" s="93">
        <v>62</v>
      </c>
      <c r="G35" s="93">
        <v>62</v>
      </c>
      <c r="H35" s="81">
        <f t="shared" si="0"/>
        <v>100</v>
      </c>
      <c r="I35" s="94">
        <v>59</v>
      </c>
      <c r="J35" s="258">
        <v>0</v>
      </c>
      <c r="K35" s="96">
        <v>0</v>
      </c>
      <c r="L35" s="96">
        <v>0</v>
      </c>
      <c r="M35" s="58">
        <v>0</v>
      </c>
      <c r="N35" s="259">
        <v>0</v>
      </c>
      <c r="O35" s="258">
        <v>61.85</v>
      </c>
      <c r="P35" s="96">
        <v>61.85</v>
      </c>
      <c r="Q35" s="96">
        <v>61.66</v>
      </c>
      <c r="R35" s="58">
        <f t="shared" si="3"/>
        <v>99.692805173807585</v>
      </c>
      <c r="S35" s="259">
        <v>58</v>
      </c>
      <c r="T35" s="258">
        <v>0</v>
      </c>
      <c r="U35" s="96">
        <v>0</v>
      </c>
      <c r="V35" s="96">
        <v>0</v>
      </c>
      <c r="W35" s="58">
        <v>0</v>
      </c>
      <c r="X35" s="259">
        <v>1</v>
      </c>
    </row>
    <row r="36" spans="1:24" s="6" customFormat="1" ht="8.4" thickBot="1" x14ac:dyDescent="0.2">
      <c r="A36" s="103" t="s">
        <v>61</v>
      </c>
      <c r="B36" s="1241" t="s">
        <v>27</v>
      </c>
      <c r="C36" s="1241"/>
      <c r="D36" s="104" t="s">
        <v>26</v>
      </c>
      <c r="E36" s="105">
        <v>62</v>
      </c>
      <c r="F36" s="106">
        <v>62</v>
      </c>
      <c r="G36" s="106">
        <v>65</v>
      </c>
      <c r="H36" s="107">
        <f t="shared" si="0"/>
        <v>104.83870967741935</v>
      </c>
      <c r="I36" s="108">
        <v>63</v>
      </c>
      <c r="J36" s="264">
        <v>0</v>
      </c>
      <c r="K36" s="110">
        <v>0</v>
      </c>
      <c r="L36" s="110">
        <v>0</v>
      </c>
      <c r="M36" s="111">
        <v>0</v>
      </c>
      <c r="N36" s="265">
        <v>0</v>
      </c>
      <c r="O36" s="264">
        <v>62</v>
      </c>
      <c r="P36" s="110">
        <v>62</v>
      </c>
      <c r="Q36" s="110">
        <v>65</v>
      </c>
      <c r="R36" s="111">
        <f t="shared" si="3"/>
        <v>104.83870967741935</v>
      </c>
      <c r="S36" s="265">
        <v>62</v>
      </c>
      <c r="T36" s="264">
        <v>0</v>
      </c>
      <c r="U36" s="110">
        <v>0</v>
      </c>
      <c r="V36" s="110">
        <v>0</v>
      </c>
      <c r="W36" s="111">
        <v>0</v>
      </c>
      <c r="X36" s="265">
        <v>1</v>
      </c>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45" fitToHeight="8"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zoomScaleNormal="100" workbookViewId="0">
      <selection activeCell="D140" sqref="D140"/>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972" customFormat="1" ht="17.399999999999999" x14ac:dyDescent="0.3">
      <c r="A1" s="972" t="s">
        <v>75</v>
      </c>
      <c r="B1" s="972" t="s">
        <v>234</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965" t="s">
        <v>25</v>
      </c>
      <c r="D5" s="1256" t="s">
        <v>103</v>
      </c>
      <c r="E5" s="1256"/>
      <c r="F5" s="1256"/>
      <c r="G5" s="1256"/>
      <c r="H5" s="1256"/>
      <c r="I5" s="1256"/>
    </row>
    <row r="6" spans="1:9" s="8" customFormat="1" ht="15" customHeight="1" x14ac:dyDescent="0.2">
      <c r="A6" s="1267" t="s">
        <v>104</v>
      </c>
      <c r="B6" s="1267"/>
      <c r="C6" s="113">
        <f>SUM(C7:C9)</f>
        <v>185449.57</v>
      </c>
      <c r="D6" s="1262"/>
      <c r="E6" s="1263"/>
      <c r="F6" s="1263"/>
      <c r="G6" s="1263"/>
      <c r="H6" s="1263"/>
      <c r="I6" s="1263"/>
    </row>
    <row r="7" spans="1:9" s="8" customFormat="1" ht="29.25" customHeight="1" x14ac:dyDescent="0.2">
      <c r="A7" s="1257" t="s">
        <v>77</v>
      </c>
      <c r="B7" s="1258"/>
      <c r="C7" s="114">
        <v>1522.85</v>
      </c>
      <c r="D7" s="1261" t="s">
        <v>1282</v>
      </c>
      <c r="E7" s="1261"/>
      <c r="F7" s="1261"/>
      <c r="G7" s="1261"/>
      <c r="H7" s="1261"/>
      <c r="I7" s="1261"/>
    </row>
    <row r="8" spans="1:9" s="7" customFormat="1" ht="29.25" customHeight="1" x14ac:dyDescent="0.2">
      <c r="A8" s="1259" t="s">
        <v>78</v>
      </c>
      <c r="B8" s="1260"/>
      <c r="C8" s="115">
        <v>183926.72</v>
      </c>
      <c r="D8" s="1261" t="s">
        <v>1283</v>
      </c>
      <c r="E8" s="1261"/>
      <c r="F8" s="1261"/>
      <c r="G8" s="1261"/>
      <c r="H8" s="1261"/>
      <c r="I8" s="1261"/>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965" t="s">
        <v>76</v>
      </c>
      <c r="B13" s="965" t="s">
        <v>80</v>
      </c>
      <c r="C13" s="965"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f>C6</f>
        <v>185449.57</v>
      </c>
      <c r="D16" s="126"/>
      <c r="E16" s="127"/>
      <c r="F16" s="127"/>
      <c r="G16" s="127"/>
      <c r="H16" s="127"/>
      <c r="I16" s="127"/>
    </row>
    <row r="17" spans="1:9" s="8" customFormat="1" ht="15" customHeight="1" x14ac:dyDescent="0.2">
      <c r="A17" s="1251"/>
      <c r="B17" s="15" t="s">
        <v>84</v>
      </c>
      <c r="C17" s="128">
        <v>0</v>
      </c>
      <c r="D17" s="129"/>
      <c r="E17" s="130"/>
      <c r="F17" s="130"/>
      <c r="G17" s="130"/>
      <c r="H17" s="130"/>
      <c r="I17" s="130"/>
    </row>
    <row r="18" spans="1:9" s="8" customFormat="1" ht="15" customHeight="1" x14ac:dyDescent="0.2">
      <c r="A18" s="966" t="s">
        <v>104</v>
      </c>
      <c r="B18" s="16"/>
      <c r="C18" s="131">
        <f>SUM(C14:C17)</f>
        <v>185449.57</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965" t="s">
        <v>80</v>
      </c>
      <c r="B22" s="965" t="s">
        <v>109</v>
      </c>
      <c r="C22" s="971" t="s">
        <v>110</v>
      </c>
      <c r="D22" s="965" t="s">
        <v>111</v>
      </c>
      <c r="E22" s="965" t="s">
        <v>112</v>
      </c>
      <c r="F22" s="1256" t="s">
        <v>113</v>
      </c>
      <c r="G22" s="1256"/>
      <c r="H22" s="1256"/>
      <c r="I22" s="1256"/>
    </row>
    <row r="23" spans="1:9" s="8" customFormat="1" ht="82.5" customHeight="1" x14ac:dyDescent="0.2">
      <c r="A23" s="17" t="s">
        <v>85</v>
      </c>
      <c r="B23" s="139">
        <f>608552.69+277782.63</f>
        <v>886335.32</v>
      </c>
      <c r="C23" s="139">
        <f>2017553.39+161895.9</f>
        <v>2179449.29</v>
      </c>
      <c r="D23" s="139">
        <f>34687.93+643352.07</f>
        <v>678040</v>
      </c>
      <c r="E23" s="139">
        <f>B23+C23-D23</f>
        <v>2387744.61</v>
      </c>
      <c r="F23" s="1253" t="s">
        <v>1284</v>
      </c>
      <c r="G23" s="1254"/>
      <c r="H23" s="1254"/>
      <c r="I23" s="1255"/>
    </row>
    <row r="24" spans="1:9" s="8" customFormat="1" ht="60" customHeight="1" x14ac:dyDescent="0.2">
      <c r="A24" s="14" t="s">
        <v>86</v>
      </c>
      <c r="B24" s="140">
        <v>429350.34</v>
      </c>
      <c r="C24" s="140">
        <v>1352317</v>
      </c>
      <c r="D24" s="140">
        <v>1455137.64</v>
      </c>
      <c r="E24" s="140">
        <f t="shared" ref="E24:E26" si="0">B24+C24-D24</f>
        <v>326529.70000000019</v>
      </c>
      <c r="F24" s="1242" t="s">
        <v>1285</v>
      </c>
      <c r="G24" s="1243"/>
      <c r="H24" s="1243"/>
      <c r="I24" s="1244"/>
    </row>
    <row r="25" spans="1:9" s="8" customFormat="1" ht="41.1" customHeight="1" x14ac:dyDescent="0.2">
      <c r="A25" s="14" t="s">
        <v>84</v>
      </c>
      <c r="B25" s="140">
        <v>87663.72</v>
      </c>
      <c r="C25" s="140">
        <v>0</v>
      </c>
      <c r="D25" s="140">
        <v>16100</v>
      </c>
      <c r="E25" s="140">
        <f t="shared" si="0"/>
        <v>71563.72</v>
      </c>
      <c r="F25" s="1242" t="s">
        <v>1286</v>
      </c>
      <c r="G25" s="1243"/>
      <c r="H25" s="1243"/>
      <c r="I25" s="1244"/>
    </row>
    <row r="26" spans="1:9" s="8" customFormat="1" ht="41.1" customHeight="1" x14ac:dyDescent="0.2">
      <c r="A26" s="15" t="s">
        <v>87</v>
      </c>
      <c r="B26" s="141">
        <v>412832.97</v>
      </c>
      <c r="C26" s="141">
        <v>485319.64</v>
      </c>
      <c r="D26" s="141">
        <v>357867</v>
      </c>
      <c r="E26" s="140">
        <f t="shared" si="0"/>
        <v>540285.61</v>
      </c>
      <c r="F26" s="1245" t="s">
        <v>1287</v>
      </c>
      <c r="G26" s="1246"/>
      <c r="H26" s="1246"/>
      <c r="I26" s="1247"/>
    </row>
    <row r="27" spans="1:9" s="7" customFormat="1" ht="10.199999999999999" x14ac:dyDescent="0.2">
      <c r="A27" s="10" t="s">
        <v>34</v>
      </c>
      <c r="B27" s="113">
        <f>SUM(B23:B26)</f>
        <v>1816182.3499999999</v>
      </c>
      <c r="C27" s="113">
        <f t="shared" ref="C27:E27" si="1">SUM(C23:C26)</f>
        <v>4017085.93</v>
      </c>
      <c r="D27" s="113">
        <f t="shared" si="1"/>
        <v>2507144.6399999997</v>
      </c>
      <c r="E27" s="113">
        <f t="shared" si="1"/>
        <v>3326123.64</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965" t="s">
        <v>88</v>
      </c>
      <c r="B31" s="965" t="s">
        <v>25</v>
      </c>
      <c r="C31" s="971" t="s">
        <v>89</v>
      </c>
      <c r="D31" s="1256" t="s">
        <v>90</v>
      </c>
      <c r="E31" s="1256"/>
      <c r="F31" s="1256"/>
      <c r="G31" s="1256"/>
      <c r="H31" s="1256"/>
      <c r="I31" s="1256"/>
    </row>
    <row r="32" spans="1:9" s="8" customFormat="1" ht="15" customHeight="1" x14ac:dyDescent="0.2">
      <c r="A32" s="19" t="s">
        <v>799</v>
      </c>
      <c r="B32" s="139"/>
      <c r="C32" s="20"/>
      <c r="D32" s="1270"/>
      <c r="E32" s="1271"/>
      <c r="F32" s="1271"/>
      <c r="G32" s="1271"/>
      <c r="H32" s="1271"/>
      <c r="I32" s="1272"/>
    </row>
    <row r="33" spans="1:9" s="7" customFormat="1" ht="10.199999999999999" x14ac:dyDescent="0.2">
      <c r="A33" s="10" t="s">
        <v>34</v>
      </c>
      <c r="B33" s="113">
        <f>SUM(B32:B32)</f>
        <v>0</v>
      </c>
      <c r="C33" s="1276"/>
      <c r="D33" s="1277"/>
      <c r="E33" s="1277"/>
      <c r="F33" s="1277"/>
      <c r="G33" s="1277"/>
      <c r="H33" s="1277"/>
      <c r="I33" s="1278"/>
    </row>
    <row r="34" spans="1:9" s="8" customFormat="1" ht="10.199999999999999" x14ac:dyDescent="0.2">
      <c r="C34" s="116"/>
    </row>
    <row r="35" spans="1:9" s="8" customFormat="1" ht="10.199999999999999" x14ac:dyDescent="0.2">
      <c r="A35" s="1248" t="s">
        <v>119</v>
      </c>
      <c r="B35" s="1248"/>
      <c r="C35" s="1248"/>
      <c r="D35" s="1248"/>
      <c r="E35" s="1248"/>
      <c r="F35" s="1248"/>
      <c r="G35" s="1248"/>
      <c r="H35" s="1248"/>
      <c r="I35" s="1248"/>
    </row>
    <row r="36" spans="1:9" s="8" customFormat="1" ht="10.199999999999999" x14ac:dyDescent="0.2">
      <c r="C36" s="116"/>
    </row>
    <row r="37" spans="1:9" s="8" customFormat="1" ht="10.199999999999999" x14ac:dyDescent="0.2">
      <c r="A37" s="965" t="s">
        <v>88</v>
      </c>
      <c r="B37" s="965" t="s">
        <v>25</v>
      </c>
      <c r="C37" s="971" t="s">
        <v>89</v>
      </c>
      <c r="D37" s="1279" t="s">
        <v>90</v>
      </c>
      <c r="E37" s="1279"/>
      <c r="F37" s="1279"/>
      <c r="G37" s="1279"/>
      <c r="H37" s="1279"/>
      <c r="I37" s="1280"/>
    </row>
    <row r="38" spans="1:9" s="8" customFormat="1" ht="15" customHeight="1" x14ac:dyDescent="0.2">
      <c r="A38" s="19" t="s">
        <v>799</v>
      </c>
      <c r="B38" s="139"/>
      <c r="C38" s="20"/>
      <c r="D38" s="1242"/>
      <c r="E38" s="1281"/>
      <c r="F38" s="1281"/>
      <c r="G38" s="1281"/>
      <c r="H38" s="1281"/>
      <c r="I38" s="1282"/>
    </row>
    <row r="39" spans="1:9" s="7" customFormat="1" ht="10.199999999999999" x14ac:dyDescent="0.2">
      <c r="A39" s="10" t="s">
        <v>34</v>
      </c>
      <c r="B39" s="113">
        <f>SUM(B38:B38)</f>
        <v>0</v>
      </c>
      <c r="C39" s="1283"/>
      <c r="D39" s="1284"/>
      <c r="E39" s="1284"/>
      <c r="F39" s="1284"/>
      <c r="G39" s="1284"/>
      <c r="H39" s="1284"/>
      <c r="I39" s="1284"/>
    </row>
    <row r="40" spans="1:9" s="8" customFormat="1" ht="10.199999999999999" x14ac:dyDescent="0.2">
      <c r="C40" s="116"/>
    </row>
    <row r="41" spans="1:9" s="8" customFormat="1" ht="10.199999999999999" x14ac:dyDescent="0.2">
      <c r="A41" s="1248" t="s">
        <v>120</v>
      </c>
      <c r="B41" s="1248"/>
      <c r="C41" s="1248"/>
      <c r="D41" s="1248"/>
      <c r="E41" s="1248"/>
      <c r="F41" s="1248"/>
      <c r="G41" s="1248"/>
      <c r="H41" s="1248"/>
      <c r="I41" s="1248"/>
    </row>
    <row r="42" spans="1:9" s="8" customFormat="1" ht="10.199999999999999" x14ac:dyDescent="0.2">
      <c r="C42" s="116"/>
    </row>
    <row r="43" spans="1:9" s="8" customFormat="1" ht="10.199999999999999" x14ac:dyDescent="0.2">
      <c r="A43" s="967" t="s">
        <v>25</v>
      </c>
      <c r="B43" s="968" t="s">
        <v>122</v>
      </c>
      <c r="C43" s="1285" t="s">
        <v>91</v>
      </c>
      <c r="D43" s="1285"/>
      <c r="E43" s="1285"/>
      <c r="F43" s="1285"/>
      <c r="G43" s="1285"/>
      <c r="H43" s="1285"/>
      <c r="I43" s="1286"/>
    </row>
    <row r="44" spans="1:9" s="8" customFormat="1" ht="10.199999999999999" x14ac:dyDescent="0.2">
      <c r="A44" s="140">
        <v>49644</v>
      </c>
      <c r="B44" s="140">
        <v>41592</v>
      </c>
      <c r="C44" s="1287" t="s">
        <v>1288</v>
      </c>
      <c r="D44" s="1287"/>
      <c r="E44" s="1287"/>
      <c r="F44" s="1287"/>
      <c r="G44" s="1287"/>
      <c r="H44" s="1287"/>
      <c r="I44" s="1287"/>
    </row>
    <row r="45" spans="1:9" s="8" customFormat="1" ht="10.199999999999999" x14ac:dyDescent="0.2">
      <c r="A45" s="140">
        <v>15000</v>
      </c>
      <c r="B45" s="140">
        <v>0</v>
      </c>
      <c r="C45" s="1287" t="s">
        <v>1289</v>
      </c>
      <c r="D45" s="1287"/>
      <c r="E45" s="1287"/>
      <c r="F45" s="1287"/>
      <c r="G45" s="1287"/>
      <c r="H45" s="1287"/>
      <c r="I45" s="1287"/>
    </row>
    <row r="46" spans="1:9" s="8" customFormat="1" ht="10.199999999999999" x14ac:dyDescent="0.2">
      <c r="A46" s="141"/>
      <c r="B46" s="141"/>
      <c r="C46" s="1288"/>
      <c r="D46" s="1288"/>
      <c r="E46" s="1288"/>
      <c r="F46" s="1288"/>
      <c r="G46" s="1288"/>
      <c r="H46" s="1288"/>
      <c r="I46" s="1288"/>
    </row>
    <row r="47" spans="1:9" s="7" customFormat="1" ht="10.199999999999999" x14ac:dyDescent="0.2">
      <c r="A47" s="113">
        <f>A44+A45+A46</f>
        <v>64644</v>
      </c>
      <c r="B47" s="113">
        <f>B44+B45+B46</f>
        <v>41592</v>
      </c>
      <c r="C47" s="1289" t="s">
        <v>34</v>
      </c>
      <c r="D47" s="1289"/>
      <c r="E47" s="1289"/>
      <c r="F47" s="1289"/>
      <c r="G47" s="1289"/>
      <c r="H47" s="1289"/>
      <c r="I47" s="1289"/>
    </row>
    <row r="48" spans="1:9" s="8" customFormat="1" ht="10.199999999999999" x14ac:dyDescent="0.2">
      <c r="C48" s="116"/>
    </row>
    <row r="49" spans="1:9" s="8" customFormat="1" ht="10.199999999999999" x14ac:dyDescent="0.2">
      <c r="A49" s="1248" t="s">
        <v>123</v>
      </c>
      <c r="B49" s="1248"/>
      <c r="C49" s="1248"/>
      <c r="D49" s="1248"/>
      <c r="E49" s="1248"/>
      <c r="F49" s="1248"/>
      <c r="G49" s="1248"/>
      <c r="H49" s="1248"/>
      <c r="I49" s="1248"/>
    </row>
    <row r="50" spans="1:9" s="8" customFormat="1" ht="10.199999999999999" x14ac:dyDescent="0.2">
      <c r="C50" s="116"/>
    </row>
    <row r="51" spans="1:9" s="23" customFormat="1" ht="10.199999999999999" x14ac:dyDescent="0.2">
      <c r="A51" s="1256" t="s">
        <v>92</v>
      </c>
      <c r="B51" s="1256"/>
      <c r="C51" s="971" t="s">
        <v>93</v>
      </c>
      <c r="D51" s="965" t="s">
        <v>94</v>
      </c>
      <c r="E51" s="965" t="s">
        <v>25</v>
      </c>
    </row>
    <row r="52" spans="1:9" s="8" customFormat="1" ht="11.25" customHeight="1" x14ac:dyDescent="0.2">
      <c r="A52" s="1290" t="s">
        <v>1290</v>
      </c>
      <c r="B52" s="1291"/>
      <c r="C52" s="962">
        <v>43830</v>
      </c>
      <c r="D52" s="962">
        <v>43830</v>
      </c>
      <c r="E52" s="1057">
        <v>165000</v>
      </c>
    </row>
    <row r="53" spans="1:9" s="8" customFormat="1" ht="11.25" customHeight="1" x14ac:dyDescent="0.2">
      <c r="A53" s="1292" t="s">
        <v>1291</v>
      </c>
      <c r="B53" s="1293"/>
      <c r="C53" s="963">
        <v>43830</v>
      </c>
      <c r="D53" s="963">
        <v>43830</v>
      </c>
      <c r="E53" s="1057">
        <v>165000</v>
      </c>
    </row>
    <row r="54" spans="1:9" s="8" customFormat="1" ht="11.25" customHeight="1" x14ac:dyDescent="0.2">
      <c r="A54" s="1292" t="s">
        <v>1292</v>
      </c>
      <c r="B54" s="1293"/>
      <c r="C54" s="963">
        <v>43830</v>
      </c>
      <c r="D54" s="963">
        <v>43830</v>
      </c>
      <c r="E54" s="1057">
        <v>-15500</v>
      </c>
    </row>
    <row r="55" spans="1:9" s="8" customFormat="1" ht="11.25" customHeight="1" x14ac:dyDescent="0.2">
      <c r="A55" s="1292" t="s">
        <v>1293</v>
      </c>
      <c r="B55" s="1293"/>
      <c r="C55" s="963">
        <v>43830</v>
      </c>
      <c r="D55" s="963">
        <v>43830</v>
      </c>
      <c r="E55" s="1057">
        <v>-1500</v>
      </c>
    </row>
    <row r="56" spans="1:9" s="8" customFormat="1" ht="11.25" customHeight="1" x14ac:dyDescent="0.2">
      <c r="A56" s="1292" t="s">
        <v>1294</v>
      </c>
      <c r="B56" s="1293"/>
      <c r="C56" s="963">
        <v>43830</v>
      </c>
      <c r="D56" s="963">
        <v>43830</v>
      </c>
      <c r="E56" s="1057">
        <v>1600</v>
      </c>
    </row>
    <row r="57" spans="1:9" ht="15" customHeight="1" x14ac:dyDescent="0.25">
      <c r="A57" s="1292" t="s">
        <v>1295</v>
      </c>
      <c r="B57" s="1293"/>
      <c r="C57" s="963">
        <v>43830</v>
      </c>
      <c r="D57" s="963">
        <v>43830</v>
      </c>
      <c r="E57" s="1057">
        <v>-22000</v>
      </c>
    </row>
    <row r="58" spans="1:9" s="8" customFormat="1" ht="25.5" customHeight="1" x14ac:dyDescent="0.2">
      <c r="A58" s="1401" t="s">
        <v>1296</v>
      </c>
      <c r="B58" s="1402"/>
      <c r="C58" s="1058" t="s">
        <v>1297</v>
      </c>
      <c r="D58" s="963">
        <v>43646</v>
      </c>
      <c r="E58" s="1057">
        <v>45000</v>
      </c>
    </row>
    <row r="59" spans="1:9" s="8" customFormat="1" ht="24.75" customHeight="1" x14ac:dyDescent="0.2">
      <c r="A59" s="1401" t="s">
        <v>1298</v>
      </c>
      <c r="B59" s="1402"/>
      <c r="C59" s="1058" t="s">
        <v>1297</v>
      </c>
      <c r="D59" s="963">
        <v>43646</v>
      </c>
      <c r="E59" s="1057">
        <v>45000</v>
      </c>
    </row>
    <row r="60" spans="1:9" s="8" customFormat="1" ht="11.25" customHeight="1" x14ac:dyDescent="0.2">
      <c r="A60" s="1292" t="s">
        <v>1299</v>
      </c>
      <c r="B60" s="1293"/>
      <c r="C60" s="963">
        <v>43830</v>
      </c>
      <c r="D60" s="963">
        <v>43830</v>
      </c>
      <c r="E60" s="1057">
        <v>-8000</v>
      </c>
    </row>
    <row r="61" spans="1:9" s="8" customFormat="1" ht="11.25" customHeight="1" x14ac:dyDescent="0.2">
      <c r="A61" s="1292" t="s">
        <v>1300</v>
      </c>
      <c r="B61" s="1293"/>
      <c r="C61" s="963">
        <v>43830</v>
      </c>
      <c r="D61" s="963">
        <v>43830</v>
      </c>
      <c r="E61" s="1057">
        <v>-6000</v>
      </c>
    </row>
    <row r="62" spans="1:9" s="8" customFormat="1" ht="11.25" customHeight="1" x14ac:dyDescent="0.2">
      <c r="A62" s="1292" t="s">
        <v>1301</v>
      </c>
      <c r="B62" s="1293"/>
      <c r="C62" s="963">
        <v>43830</v>
      </c>
      <c r="D62" s="963">
        <v>43830</v>
      </c>
      <c r="E62" s="1057">
        <v>-6000</v>
      </c>
    </row>
    <row r="63" spans="1:9" s="8" customFormat="1" ht="11.25" customHeight="1" x14ac:dyDescent="0.2">
      <c r="A63" s="1292" t="s">
        <v>1302</v>
      </c>
      <c r="B63" s="1293"/>
      <c r="C63" s="963">
        <v>43830</v>
      </c>
      <c r="D63" s="963">
        <v>43830</v>
      </c>
      <c r="E63" s="1057">
        <v>11000</v>
      </c>
    </row>
    <row r="64" spans="1:9" s="8" customFormat="1" ht="11.25" customHeight="1" x14ac:dyDescent="0.2">
      <c r="A64" s="1292" t="s">
        <v>1303</v>
      </c>
      <c r="B64" s="1293"/>
      <c r="C64" s="963">
        <v>43830</v>
      </c>
      <c r="D64" s="963">
        <v>43830</v>
      </c>
      <c r="E64" s="1057">
        <v>1200</v>
      </c>
    </row>
    <row r="65" spans="1:5" s="8" customFormat="1" ht="11.25" customHeight="1" x14ac:dyDescent="0.2">
      <c r="A65" s="1292" t="s">
        <v>1304</v>
      </c>
      <c r="B65" s="1293"/>
      <c r="C65" s="963">
        <v>43830</v>
      </c>
      <c r="D65" s="963">
        <v>43830</v>
      </c>
      <c r="E65" s="1057">
        <v>-9500</v>
      </c>
    </row>
    <row r="66" spans="1:5" s="8" customFormat="1" ht="11.25" customHeight="1" x14ac:dyDescent="0.2">
      <c r="A66" s="1292" t="s">
        <v>1305</v>
      </c>
      <c r="B66" s="1293"/>
      <c r="C66" s="963">
        <v>43830</v>
      </c>
      <c r="D66" s="963">
        <v>43830</v>
      </c>
      <c r="E66" s="1057">
        <v>133500</v>
      </c>
    </row>
    <row r="67" spans="1:5" s="8" customFormat="1" ht="11.25" customHeight="1" x14ac:dyDescent="0.2">
      <c r="A67" s="1292" t="s">
        <v>1306</v>
      </c>
      <c r="B67" s="1293"/>
      <c r="C67" s="963">
        <v>43830</v>
      </c>
      <c r="D67" s="963">
        <v>43830</v>
      </c>
      <c r="E67" s="1057">
        <v>5200</v>
      </c>
    </row>
    <row r="68" spans="1:5" s="8" customFormat="1" ht="11.25" customHeight="1" x14ac:dyDescent="0.2">
      <c r="A68" s="969" t="s">
        <v>1307</v>
      </c>
      <c r="B68" s="970"/>
      <c r="C68" s="963">
        <v>43830</v>
      </c>
      <c r="D68" s="963">
        <v>43830</v>
      </c>
      <c r="E68" s="1057">
        <v>-5000</v>
      </c>
    </row>
    <row r="69" spans="1:5" s="8" customFormat="1" ht="11.25" customHeight="1" x14ac:dyDescent="0.2">
      <c r="A69" s="969" t="s">
        <v>1308</v>
      </c>
      <c r="B69" s="970"/>
      <c r="C69" s="963">
        <v>43830</v>
      </c>
      <c r="D69" s="963">
        <v>43830</v>
      </c>
      <c r="E69" s="1057">
        <v>10000</v>
      </c>
    </row>
    <row r="70" spans="1:5" s="8" customFormat="1" ht="11.25" customHeight="1" x14ac:dyDescent="0.2">
      <c r="A70" s="969" t="s">
        <v>1309</v>
      </c>
      <c r="B70" s="970"/>
      <c r="C70" s="963">
        <v>43830</v>
      </c>
      <c r="D70" s="963">
        <v>43830</v>
      </c>
      <c r="E70" s="1057">
        <f>173340-165000</f>
        <v>8340</v>
      </c>
    </row>
    <row r="71" spans="1:5" s="8" customFormat="1" ht="11.25" customHeight="1" x14ac:dyDescent="0.2">
      <c r="A71" s="969" t="s">
        <v>1310</v>
      </c>
      <c r="B71" s="970"/>
      <c r="C71" s="963">
        <v>43830</v>
      </c>
      <c r="D71" s="963">
        <v>43830</v>
      </c>
      <c r="E71" s="1057">
        <v>53000</v>
      </c>
    </row>
    <row r="72" spans="1:5" s="8" customFormat="1" ht="11.25" customHeight="1" x14ac:dyDescent="0.2">
      <c r="A72" s="969" t="s">
        <v>1311</v>
      </c>
      <c r="B72" s="970"/>
      <c r="C72" s="963">
        <v>43830</v>
      </c>
      <c r="D72" s="963">
        <v>43830</v>
      </c>
      <c r="E72" s="1057">
        <v>17500</v>
      </c>
    </row>
    <row r="73" spans="1:5" s="8" customFormat="1" ht="11.25" customHeight="1" x14ac:dyDescent="0.2">
      <c r="A73" s="969" t="s">
        <v>1312</v>
      </c>
      <c r="B73" s="970"/>
      <c r="C73" s="963">
        <v>43830</v>
      </c>
      <c r="D73" s="963">
        <v>43830</v>
      </c>
      <c r="E73" s="1057">
        <v>400</v>
      </c>
    </row>
    <row r="74" spans="1:5" s="8" customFormat="1" ht="11.25" customHeight="1" x14ac:dyDescent="0.2">
      <c r="A74" s="969" t="s">
        <v>1313</v>
      </c>
      <c r="B74" s="970"/>
      <c r="C74" s="963">
        <v>43830</v>
      </c>
      <c r="D74" s="963">
        <v>43830</v>
      </c>
      <c r="E74" s="1057">
        <f>6100+2</f>
        <v>6102</v>
      </c>
    </row>
    <row r="75" spans="1:5" s="8" customFormat="1" ht="11.25" customHeight="1" x14ac:dyDescent="0.2">
      <c r="A75" s="969" t="s">
        <v>1314</v>
      </c>
      <c r="B75" s="970"/>
      <c r="C75" s="963">
        <v>43830</v>
      </c>
      <c r="D75" s="963">
        <v>43830</v>
      </c>
      <c r="E75" s="1057">
        <v>-15500</v>
      </c>
    </row>
    <row r="76" spans="1:5" s="8" customFormat="1" ht="11.25" customHeight="1" x14ac:dyDescent="0.2">
      <c r="A76" s="969" t="s">
        <v>1315</v>
      </c>
      <c r="B76" s="970"/>
      <c r="C76" s="963">
        <v>43830</v>
      </c>
      <c r="D76" s="963">
        <v>43830</v>
      </c>
      <c r="E76" s="1057">
        <v>-41000</v>
      </c>
    </row>
    <row r="77" spans="1:5" s="8" customFormat="1" ht="11.25" customHeight="1" x14ac:dyDescent="0.2">
      <c r="A77" s="969" t="s">
        <v>1316</v>
      </c>
      <c r="B77" s="970"/>
      <c r="C77" s="963">
        <v>43830</v>
      </c>
      <c r="D77" s="963">
        <v>43830</v>
      </c>
      <c r="E77" s="1057">
        <v>74500</v>
      </c>
    </row>
    <row r="78" spans="1:5" s="8" customFormat="1" ht="11.25" customHeight="1" x14ac:dyDescent="0.2">
      <c r="A78" s="969" t="s">
        <v>1317</v>
      </c>
      <c r="B78" s="970"/>
      <c r="C78" s="963">
        <v>43830</v>
      </c>
      <c r="D78" s="963">
        <v>43830</v>
      </c>
      <c r="E78" s="1057">
        <v>-218000</v>
      </c>
    </row>
    <row r="79" spans="1:5" s="8" customFormat="1" ht="24" customHeight="1" x14ac:dyDescent="0.2">
      <c r="A79" s="969" t="s">
        <v>1318</v>
      </c>
      <c r="B79" s="970"/>
      <c r="C79" s="1058" t="s">
        <v>1319</v>
      </c>
      <c r="D79" s="963">
        <v>43830</v>
      </c>
      <c r="E79" s="1057">
        <v>15646</v>
      </c>
    </row>
    <row r="80" spans="1:5" s="8" customFormat="1" ht="25.5" customHeight="1" x14ac:dyDescent="0.2">
      <c r="A80" s="969" t="s">
        <v>1320</v>
      </c>
      <c r="B80" s="970"/>
      <c r="C80" s="1058" t="s">
        <v>1319</v>
      </c>
      <c r="D80" s="963">
        <v>43830</v>
      </c>
      <c r="E80" s="1057">
        <v>4354</v>
      </c>
    </row>
    <row r="81" spans="1:5" s="8" customFormat="1" ht="11.25" customHeight="1" x14ac:dyDescent="0.2">
      <c r="A81" s="969" t="s">
        <v>1321</v>
      </c>
      <c r="B81" s="970"/>
      <c r="C81" s="963">
        <v>43830</v>
      </c>
      <c r="D81" s="963">
        <v>43830</v>
      </c>
      <c r="E81" s="1057">
        <v>14100</v>
      </c>
    </row>
    <row r="82" spans="1:5" s="8" customFormat="1" ht="27" customHeight="1" x14ac:dyDescent="0.2">
      <c r="A82" s="1401" t="s">
        <v>1322</v>
      </c>
      <c r="B82" s="1402"/>
      <c r="C82" s="1058" t="s">
        <v>1323</v>
      </c>
      <c r="D82" s="963">
        <v>43646</v>
      </c>
      <c r="E82" s="1057">
        <v>2140000</v>
      </c>
    </row>
    <row r="83" spans="1:5" s="8" customFormat="1" ht="26.25" customHeight="1" x14ac:dyDescent="0.2">
      <c r="A83" s="1401" t="s">
        <v>1324</v>
      </c>
      <c r="B83" s="1402"/>
      <c r="C83" s="1058" t="s">
        <v>1323</v>
      </c>
      <c r="D83" s="963">
        <v>43646</v>
      </c>
      <c r="E83" s="1057">
        <v>2140000</v>
      </c>
    </row>
    <row r="84" spans="1:5" s="8" customFormat="1" ht="11.25" customHeight="1" x14ac:dyDescent="0.2">
      <c r="A84" s="969" t="s">
        <v>1325</v>
      </c>
      <c r="B84" s="970"/>
      <c r="C84" s="963">
        <v>43830</v>
      </c>
      <c r="D84" s="963">
        <v>43830</v>
      </c>
      <c r="E84" s="1057">
        <v>-73482</v>
      </c>
    </row>
    <row r="85" spans="1:5" s="8" customFormat="1" ht="11.25" customHeight="1" x14ac:dyDescent="0.2">
      <c r="A85" s="969" t="s">
        <v>1326</v>
      </c>
      <c r="B85" s="970"/>
      <c r="C85" s="963">
        <v>43830</v>
      </c>
      <c r="D85" s="963">
        <v>43830</v>
      </c>
      <c r="E85" s="1057">
        <v>195196</v>
      </c>
    </row>
    <row r="86" spans="1:5" s="8" customFormat="1" ht="11.25" customHeight="1" x14ac:dyDescent="0.2">
      <c r="A86" s="969" t="s">
        <v>1327</v>
      </c>
      <c r="B86" s="970"/>
      <c r="C86" s="963">
        <v>43830</v>
      </c>
      <c r="D86" s="963">
        <v>43830</v>
      </c>
      <c r="E86" s="1057">
        <v>1500</v>
      </c>
    </row>
    <row r="87" spans="1:5" s="8" customFormat="1" ht="11.25" customHeight="1" x14ac:dyDescent="0.2">
      <c r="A87" s="1292" t="s">
        <v>1328</v>
      </c>
      <c r="B87" s="1293"/>
      <c r="C87" s="963">
        <v>43830</v>
      </c>
      <c r="D87" s="963">
        <v>43830</v>
      </c>
      <c r="E87" s="1057">
        <v>-4500</v>
      </c>
    </row>
    <row r="88" spans="1:5" s="8" customFormat="1" ht="11.25" customHeight="1" x14ac:dyDescent="0.2">
      <c r="A88" s="1292" t="s">
        <v>1329</v>
      </c>
      <c r="B88" s="1293"/>
      <c r="C88" s="963">
        <v>43830</v>
      </c>
      <c r="D88" s="963">
        <v>43830</v>
      </c>
      <c r="E88" s="1057">
        <v>8000</v>
      </c>
    </row>
    <row r="89" spans="1:5" s="8" customFormat="1" ht="11.25" customHeight="1" x14ac:dyDescent="0.2">
      <c r="A89" s="1292" t="s">
        <v>1330</v>
      </c>
      <c r="B89" s="1293"/>
      <c r="C89" s="963">
        <v>43830</v>
      </c>
      <c r="D89" s="963">
        <v>43830</v>
      </c>
      <c r="E89" s="1057">
        <v>350</v>
      </c>
    </row>
    <row r="90" spans="1:5" s="8" customFormat="1" ht="11.25" customHeight="1" x14ac:dyDescent="0.2">
      <c r="A90" s="1292" t="s">
        <v>1331</v>
      </c>
      <c r="B90" s="1293"/>
      <c r="C90" s="963">
        <v>43830</v>
      </c>
      <c r="D90" s="963">
        <v>43830</v>
      </c>
      <c r="E90" s="1057">
        <v>-1500</v>
      </c>
    </row>
    <row r="91" spans="1:5" s="8" customFormat="1" ht="11.25" customHeight="1" x14ac:dyDescent="0.2">
      <c r="A91" s="1292" t="s">
        <v>1332</v>
      </c>
      <c r="B91" s="1293"/>
      <c r="C91" s="963">
        <v>43830</v>
      </c>
      <c r="D91" s="963">
        <v>43830</v>
      </c>
      <c r="E91" s="1057">
        <v>-500</v>
      </c>
    </row>
    <row r="92" spans="1:5" s="8" customFormat="1" ht="11.25" customHeight="1" x14ac:dyDescent="0.2">
      <c r="A92" s="1292" t="s">
        <v>1333</v>
      </c>
      <c r="B92" s="1293"/>
      <c r="C92" s="963">
        <v>43830</v>
      </c>
      <c r="D92" s="963">
        <v>43830</v>
      </c>
      <c r="E92" s="1057">
        <v>600</v>
      </c>
    </row>
    <row r="93" spans="1:5" s="8" customFormat="1" ht="11.25" customHeight="1" x14ac:dyDescent="0.2">
      <c r="A93" s="1292" t="s">
        <v>1334</v>
      </c>
      <c r="B93" s="1293"/>
      <c r="C93" s="963">
        <v>43830</v>
      </c>
      <c r="D93" s="963">
        <v>43830</v>
      </c>
      <c r="E93" s="1057">
        <v>-11000</v>
      </c>
    </row>
    <row r="94" spans="1:5" s="8" customFormat="1" ht="11.25" customHeight="1" x14ac:dyDescent="0.2">
      <c r="A94" s="1292" t="s">
        <v>1335</v>
      </c>
      <c r="B94" s="1293"/>
      <c r="C94" s="963">
        <v>43830</v>
      </c>
      <c r="D94" s="963">
        <v>43830</v>
      </c>
      <c r="E94" s="1057">
        <v>-5000</v>
      </c>
    </row>
    <row r="95" spans="1:5" s="8" customFormat="1" ht="11.25" customHeight="1" x14ac:dyDescent="0.2">
      <c r="A95" s="1292" t="s">
        <v>1336</v>
      </c>
      <c r="B95" s="1293"/>
      <c r="C95" s="963">
        <v>43830</v>
      </c>
      <c r="D95" s="963">
        <v>43830</v>
      </c>
      <c r="E95" s="1057">
        <v>28200</v>
      </c>
    </row>
    <row r="96" spans="1:5" s="8" customFormat="1" ht="11.25" customHeight="1" x14ac:dyDescent="0.2">
      <c r="A96" s="969" t="s">
        <v>1337</v>
      </c>
      <c r="B96" s="970"/>
      <c r="C96" s="963">
        <v>43830</v>
      </c>
      <c r="D96" s="963">
        <v>43830</v>
      </c>
      <c r="E96" s="1057">
        <v>13000</v>
      </c>
    </row>
    <row r="97" spans="1:5" s="8" customFormat="1" ht="11.25" customHeight="1" x14ac:dyDescent="0.2">
      <c r="A97" s="969" t="s">
        <v>1338</v>
      </c>
      <c r="B97" s="970"/>
      <c r="C97" s="963">
        <v>43830</v>
      </c>
      <c r="D97" s="963">
        <v>43830</v>
      </c>
      <c r="E97" s="1057">
        <v>59000</v>
      </c>
    </row>
    <row r="98" spans="1:5" s="8" customFormat="1" ht="11.25" customHeight="1" x14ac:dyDescent="0.2">
      <c r="A98" s="969" t="s">
        <v>1339</v>
      </c>
      <c r="B98" s="970"/>
      <c r="C98" s="963">
        <v>43830</v>
      </c>
      <c r="D98" s="963">
        <v>43830</v>
      </c>
      <c r="E98" s="1057">
        <v>-1500</v>
      </c>
    </row>
    <row r="99" spans="1:5" s="8" customFormat="1" ht="11.25" customHeight="1" x14ac:dyDescent="0.2">
      <c r="A99" s="1292" t="s">
        <v>1340</v>
      </c>
      <c r="B99" s="1293"/>
      <c r="C99" s="963">
        <v>43830</v>
      </c>
      <c r="D99" s="963">
        <v>43830</v>
      </c>
      <c r="E99" s="1057">
        <v>800</v>
      </c>
    </row>
    <row r="100" spans="1:5" s="8" customFormat="1" ht="11.25" customHeight="1" x14ac:dyDescent="0.2">
      <c r="A100" s="1292" t="s">
        <v>1341</v>
      </c>
      <c r="B100" s="1293"/>
      <c r="C100" s="963">
        <v>43830</v>
      </c>
      <c r="D100" s="963">
        <v>43830</v>
      </c>
      <c r="E100" s="1057">
        <v>-2500</v>
      </c>
    </row>
    <row r="101" spans="1:5" s="8" customFormat="1" ht="11.25" customHeight="1" x14ac:dyDescent="0.2">
      <c r="A101" s="1292" t="s">
        <v>1342</v>
      </c>
      <c r="B101" s="1293"/>
      <c r="C101" s="963">
        <v>43830</v>
      </c>
      <c r="D101" s="963">
        <v>43830</v>
      </c>
      <c r="E101" s="1057">
        <v>3000</v>
      </c>
    </row>
    <row r="102" spans="1:5" s="8" customFormat="1" ht="11.25" customHeight="1" x14ac:dyDescent="0.2">
      <c r="A102" s="1292" t="s">
        <v>1343</v>
      </c>
      <c r="B102" s="1293"/>
      <c r="C102" s="963">
        <v>43830</v>
      </c>
      <c r="D102" s="963">
        <v>43830</v>
      </c>
      <c r="E102" s="1057">
        <v>-11000</v>
      </c>
    </row>
    <row r="103" spans="1:5" s="8" customFormat="1" ht="11.25" customHeight="1" x14ac:dyDescent="0.2">
      <c r="A103" s="1292" t="s">
        <v>1344</v>
      </c>
      <c r="B103" s="1293"/>
      <c r="C103" s="963">
        <v>43830</v>
      </c>
      <c r="D103" s="963">
        <v>43830</v>
      </c>
      <c r="E103" s="1057">
        <v>-45000</v>
      </c>
    </row>
    <row r="104" spans="1:5" s="8" customFormat="1" ht="11.25" customHeight="1" x14ac:dyDescent="0.2">
      <c r="A104" s="1292" t="s">
        <v>1345</v>
      </c>
      <c r="B104" s="1293"/>
      <c r="C104" s="963">
        <v>43830</v>
      </c>
      <c r="D104" s="963">
        <v>43830</v>
      </c>
      <c r="E104" s="1057">
        <v>600</v>
      </c>
    </row>
    <row r="105" spans="1:5" s="8" customFormat="1" ht="11.25" customHeight="1" x14ac:dyDescent="0.2">
      <c r="A105" s="1292" t="s">
        <v>1346</v>
      </c>
      <c r="B105" s="1293"/>
      <c r="C105" s="963">
        <v>43830</v>
      </c>
      <c r="D105" s="963">
        <v>43830</v>
      </c>
      <c r="E105" s="1057">
        <v>7000</v>
      </c>
    </row>
    <row r="106" spans="1:5" s="8" customFormat="1" ht="11.25" customHeight="1" x14ac:dyDescent="0.2">
      <c r="A106" s="1292" t="s">
        <v>1347</v>
      </c>
      <c r="B106" s="1293"/>
      <c r="C106" s="963">
        <v>43830</v>
      </c>
      <c r="D106" s="963">
        <v>43830</v>
      </c>
      <c r="E106" s="1057">
        <v>28100</v>
      </c>
    </row>
    <row r="107" spans="1:5" s="8" customFormat="1" ht="23.25" customHeight="1" x14ac:dyDescent="0.2">
      <c r="A107" s="1292" t="s">
        <v>1348</v>
      </c>
      <c r="B107" s="1293"/>
      <c r="C107" s="1058" t="s">
        <v>1349</v>
      </c>
      <c r="D107" s="963">
        <v>43830</v>
      </c>
      <c r="E107" s="1057">
        <v>16100</v>
      </c>
    </row>
    <row r="108" spans="1:5" s="8" customFormat="1" ht="24" customHeight="1" x14ac:dyDescent="0.2">
      <c r="A108" s="1292" t="s">
        <v>1350</v>
      </c>
      <c r="B108" s="1293"/>
      <c r="C108" s="1058" t="s">
        <v>1349</v>
      </c>
      <c r="D108" s="963">
        <v>43830</v>
      </c>
      <c r="E108" s="1057">
        <v>4000</v>
      </c>
    </row>
    <row r="109" spans="1:5" s="8" customFormat="1" ht="23.25" customHeight="1" x14ac:dyDescent="0.2">
      <c r="A109" s="1292" t="s">
        <v>1351</v>
      </c>
      <c r="B109" s="1293"/>
      <c r="C109" s="1058" t="s">
        <v>1349</v>
      </c>
      <c r="D109" s="963">
        <v>43830</v>
      </c>
      <c r="E109" s="1057">
        <v>1500</v>
      </c>
    </row>
    <row r="110" spans="1:5" s="8" customFormat="1" ht="24" customHeight="1" x14ac:dyDescent="0.2">
      <c r="A110" s="1292" t="s">
        <v>1352</v>
      </c>
      <c r="B110" s="1293"/>
      <c r="C110" s="1058" t="s">
        <v>1353</v>
      </c>
      <c r="D110" s="963">
        <v>43830</v>
      </c>
      <c r="E110" s="1057">
        <v>220</v>
      </c>
    </row>
    <row r="111" spans="1:5" s="8" customFormat="1" ht="11.25" customHeight="1" x14ac:dyDescent="0.2">
      <c r="A111" s="1292" t="s">
        <v>1354</v>
      </c>
      <c r="B111" s="1293"/>
      <c r="C111" s="963">
        <v>43830</v>
      </c>
      <c r="D111" s="963">
        <v>43830</v>
      </c>
      <c r="E111" s="1057">
        <v>709</v>
      </c>
    </row>
    <row r="112" spans="1:5" s="8" customFormat="1" ht="11.25" customHeight="1" x14ac:dyDescent="0.2">
      <c r="A112" s="1292" t="s">
        <v>1355</v>
      </c>
      <c r="B112" s="1293"/>
      <c r="C112" s="963">
        <v>43830</v>
      </c>
      <c r="D112" s="963">
        <v>43830</v>
      </c>
      <c r="E112" s="1057">
        <v>322</v>
      </c>
    </row>
    <row r="113" spans="1:9" s="8" customFormat="1" ht="11.25" customHeight="1" x14ac:dyDescent="0.2">
      <c r="A113" s="1292" t="s">
        <v>1356</v>
      </c>
      <c r="B113" s="1293"/>
      <c r="C113" s="963">
        <v>43830</v>
      </c>
      <c r="D113" s="963">
        <v>43830</v>
      </c>
      <c r="E113" s="1057">
        <v>214000</v>
      </c>
    </row>
    <row r="114" spans="1:9" s="8" customFormat="1" ht="24.75" customHeight="1" x14ac:dyDescent="0.2">
      <c r="A114" s="1401" t="s">
        <v>1357</v>
      </c>
      <c r="B114" s="1402"/>
      <c r="C114" s="1058" t="s">
        <v>1358</v>
      </c>
      <c r="D114" s="963">
        <v>43830</v>
      </c>
      <c r="E114" s="1057">
        <v>10373</v>
      </c>
    </row>
    <row r="115" spans="1:9" s="8" customFormat="1" ht="11.25" customHeight="1" x14ac:dyDescent="0.2">
      <c r="A115" s="1292" t="s">
        <v>1359</v>
      </c>
      <c r="B115" s="1293"/>
      <c r="C115" s="963">
        <v>43830</v>
      </c>
      <c r="D115" s="963">
        <v>43830</v>
      </c>
      <c r="E115" s="1057">
        <v>13500</v>
      </c>
    </row>
    <row r="116" spans="1:9" s="8" customFormat="1" ht="11.25" customHeight="1" x14ac:dyDescent="0.2">
      <c r="A116" s="1292" t="s">
        <v>1360</v>
      </c>
      <c r="B116" s="1293"/>
      <c r="C116" s="963">
        <v>43830</v>
      </c>
      <c r="D116" s="963">
        <v>43830</v>
      </c>
      <c r="E116" s="1057">
        <v>76300</v>
      </c>
    </row>
    <row r="117" spans="1:9" s="8" customFormat="1" ht="24" customHeight="1" x14ac:dyDescent="0.2">
      <c r="A117" s="1292" t="s">
        <v>1361</v>
      </c>
      <c r="B117" s="1293"/>
      <c r="C117" s="1058" t="s">
        <v>1349</v>
      </c>
      <c r="D117" s="963">
        <v>43830</v>
      </c>
      <c r="E117" s="1057">
        <v>16100</v>
      </c>
    </row>
    <row r="118" spans="1:9" s="8" customFormat="1" ht="11.25" customHeight="1" x14ac:dyDescent="0.2">
      <c r="A118" s="1292" t="s">
        <v>1362</v>
      </c>
      <c r="B118" s="1293"/>
      <c r="C118" s="963">
        <v>43830</v>
      </c>
      <c r="D118" s="963">
        <v>43830</v>
      </c>
      <c r="E118" s="1057">
        <v>136000</v>
      </c>
    </row>
    <row r="119" spans="1:9" s="8" customFormat="1" ht="11.25" customHeight="1" x14ac:dyDescent="0.2">
      <c r="A119" s="1292" t="s">
        <v>1363</v>
      </c>
      <c r="B119" s="1293"/>
      <c r="C119" s="963">
        <v>43830</v>
      </c>
      <c r="D119" s="963">
        <v>43830</v>
      </c>
      <c r="E119" s="1057">
        <v>-3300</v>
      </c>
    </row>
    <row r="120" spans="1:9" s="8" customFormat="1" ht="11.25" customHeight="1" x14ac:dyDescent="0.2">
      <c r="A120" s="1292" t="s">
        <v>1364</v>
      </c>
      <c r="B120" s="1293"/>
      <c r="C120" s="963">
        <v>43830</v>
      </c>
      <c r="D120" s="963">
        <v>43830</v>
      </c>
      <c r="E120" s="1057">
        <v>10000</v>
      </c>
    </row>
    <row r="121" spans="1:9" s="8" customFormat="1" ht="11.25" customHeight="1" x14ac:dyDescent="0.2">
      <c r="A121" s="1292" t="s">
        <v>1365</v>
      </c>
      <c r="B121" s="1293"/>
      <c r="C121" s="963">
        <v>43830</v>
      </c>
      <c r="D121" s="963">
        <v>43830</v>
      </c>
      <c r="E121" s="1057">
        <v>3000</v>
      </c>
    </row>
    <row r="122" spans="1:9" s="8" customFormat="1" ht="11.25" customHeight="1" x14ac:dyDescent="0.2">
      <c r="A122" s="1292" t="s">
        <v>1366</v>
      </c>
      <c r="B122" s="1293"/>
      <c r="C122" s="963">
        <v>43830</v>
      </c>
      <c r="D122" s="963">
        <v>43830</v>
      </c>
      <c r="E122" s="1057">
        <v>2000</v>
      </c>
    </row>
    <row r="123" spans="1:9" s="8" customFormat="1" ht="11.25" customHeight="1" x14ac:dyDescent="0.2">
      <c r="A123" s="1292" t="s">
        <v>1360</v>
      </c>
      <c r="B123" s="1293"/>
      <c r="C123" s="963">
        <v>43830</v>
      </c>
      <c r="D123" s="963">
        <v>43830</v>
      </c>
      <c r="E123" s="1057">
        <v>4000</v>
      </c>
    </row>
    <row r="124" spans="1:9" s="8" customFormat="1" ht="21" customHeight="1" x14ac:dyDescent="0.2">
      <c r="A124" s="1295" t="s">
        <v>1350</v>
      </c>
      <c r="B124" s="1296"/>
      <c r="C124" s="1059" t="s">
        <v>1349</v>
      </c>
      <c r="D124" s="963">
        <v>43830</v>
      </c>
      <c r="E124" s="1057">
        <v>4000</v>
      </c>
    </row>
    <row r="125" spans="1:9" s="8" customFormat="1" ht="11.25" customHeight="1" x14ac:dyDescent="0.2">
      <c r="A125" s="1043"/>
      <c r="B125" s="1044"/>
      <c r="C125" s="149"/>
      <c r="D125" s="149"/>
      <c r="E125" s="150"/>
    </row>
    <row r="126" spans="1:9" s="8" customFormat="1" ht="10.199999999999999" x14ac:dyDescent="0.2">
      <c r="A126" s="1300" t="s">
        <v>154</v>
      </c>
      <c r="B126" s="1300"/>
      <c r="C126" s="1300"/>
      <c r="D126" s="1300"/>
      <c r="E126" s="1300"/>
      <c r="F126" s="1300"/>
      <c r="G126" s="1300"/>
      <c r="H126" s="1300"/>
      <c r="I126" s="1300"/>
    </row>
    <row r="127" spans="1:9" s="8" customFormat="1" ht="10.199999999999999" x14ac:dyDescent="0.2">
      <c r="A127" s="8" t="s">
        <v>1367</v>
      </c>
    </row>
    <row r="128" spans="1:9" s="8" customFormat="1" ht="10.199999999999999" x14ac:dyDescent="0.2">
      <c r="A128" s="1297"/>
      <c r="B128" s="1298"/>
      <c r="C128" s="1298"/>
      <c r="D128" s="1298"/>
      <c r="E128" s="1298"/>
      <c r="F128" s="1298"/>
      <c r="G128" s="1298"/>
      <c r="H128" s="1298"/>
      <c r="I128" s="1299"/>
    </row>
    <row r="129" spans="1:9" s="8" customFormat="1" ht="10.199999999999999" x14ac:dyDescent="0.2"/>
    <row r="130" spans="1:9" s="8" customFormat="1" ht="0.75" customHeight="1" x14ac:dyDescent="0.2">
      <c r="A130" s="1297"/>
      <c r="B130" s="1298"/>
      <c r="C130" s="1298"/>
      <c r="D130" s="1298"/>
      <c r="E130" s="1298"/>
      <c r="F130" s="1298"/>
      <c r="G130" s="1298"/>
      <c r="H130" s="1298"/>
      <c r="I130" s="1299"/>
    </row>
    <row r="131" spans="1:9" s="8" customFormat="1" ht="10.199999999999999" hidden="1" x14ac:dyDescent="0.2"/>
    <row r="132" spans="1:9" s="7" customFormat="1" ht="10.199999999999999" x14ac:dyDescent="0.2">
      <c r="A132" s="1248" t="s">
        <v>156</v>
      </c>
      <c r="B132" s="1248"/>
      <c r="C132" s="1248"/>
      <c r="D132" s="1248"/>
      <c r="E132" s="1248"/>
      <c r="F132" s="1248"/>
      <c r="G132" s="1248"/>
      <c r="H132" s="1248"/>
      <c r="I132" s="1248"/>
    </row>
    <row r="133" spans="1:9" s="8" customFormat="1" ht="10.199999999999999" x14ac:dyDescent="0.2">
      <c r="A133" s="8" t="s">
        <v>1368</v>
      </c>
    </row>
    <row r="134" spans="1:9" s="8" customFormat="1" ht="18.75" customHeight="1" x14ac:dyDescent="0.2">
      <c r="A134" s="1297"/>
      <c r="B134" s="1298"/>
      <c r="C134" s="1298"/>
      <c r="D134" s="1298"/>
      <c r="E134" s="1298"/>
      <c r="F134" s="1298"/>
      <c r="G134" s="1298"/>
      <c r="H134" s="1298"/>
      <c r="I134" s="1299"/>
    </row>
    <row r="136" spans="1:9" x14ac:dyDescent="0.25">
      <c r="A136" s="8" t="s">
        <v>1369</v>
      </c>
    </row>
    <row r="137" spans="1:9" x14ac:dyDescent="0.25">
      <c r="A137" s="26"/>
    </row>
    <row r="138" spans="1:9" x14ac:dyDescent="0.25">
      <c r="A138" s="26"/>
    </row>
  </sheetData>
  <mergeCells count="94">
    <mergeCell ref="A15:A17"/>
    <mergeCell ref="A3:I3"/>
    <mergeCell ref="A5:B5"/>
    <mergeCell ref="D5:I5"/>
    <mergeCell ref="A6:B6"/>
    <mergeCell ref="D6:I6"/>
    <mergeCell ref="A7:B7"/>
    <mergeCell ref="D7:I7"/>
    <mergeCell ref="A8:B8"/>
    <mergeCell ref="D8:I8"/>
    <mergeCell ref="A9:B9"/>
    <mergeCell ref="D9:I9"/>
    <mergeCell ref="A11:I11"/>
    <mergeCell ref="A35:I35"/>
    <mergeCell ref="A20:I20"/>
    <mergeCell ref="F22:I22"/>
    <mergeCell ref="F23:I23"/>
    <mergeCell ref="F24:I24"/>
    <mergeCell ref="F25:I25"/>
    <mergeCell ref="F26:I26"/>
    <mergeCell ref="F27:I27"/>
    <mergeCell ref="A29:I29"/>
    <mergeCell ref="D31:I31"/>
    <mergeCell ref="D32:I32"/>
    <mergeCell ref="C33:I33"/>
    <mergeCell ref="A52:B52"/>
    <mergeCell ref="D37:I37"/>
    <mergeCell ref="D38:I38"/>
    <mergeCell ref="C39:I39"/>
    <mergeCell ref="A41:I41"/>
    <mergeCell ref="C43:I43"/>
    <mergeCell ref="C44:I44"/>
    <mergeCell ref="C45:I45"/>
    <mergeCell ref="C46:I46"/>
    <mergeCell ref="C47:I47"/>
    <mergeCell ref="A49:I49"/>
    <mergeCell ref="A51:B51"/>
    <mergeCell ref="A64:B64"/>
    <mergeCell ref="A53:B53"/>
    <mergeCell ref="A54:B54"/>
    <mergeCell ref="A55:B55"/>
    <mergeCell ref="A56:B56"/>
    <mergeCell ref="A57:B57"/>
    <mergeCell ref="A58:B58"/>
    <mergeCell ref="A59:B59"/>
    <mergeCell ref="A60:B60"/>
    <mergeCell ref="A61:B61"/>
    <mergeCell ref="A62:B62"/>
    <mergeCell ref="A63:B63"/>
    <mergeCell ref="A93:B93"/>
    <mergeCell ref="A65:B65"/>
    <mergeCell ref="A66:B66"/>
    <mergeCell ref="A67:B67"/>
    <mergeCell ref="A82:B82"/>
    <mergeCell ref="A83:B83"/>
    <mergeCell ref="A87:B87"/>
    <mergeCell ref="A88:B88"/>
    <mergeCell ref="A89:B89"/>
    <mergeCell ref="A90:B90"/>
    <mergeCell ref="A91:B91"/>
    <mergeCell ref="A92:B92"/>
    <mergeCell ref="A108:B108"/>
    <mergeCell ref="A94:B94"/>
    <mergeCell ref="A95:B95"/>
    <mergeCell ref="A99:B99"/>
    <mergeCell ref="A100:B100"/>
    <mergeCell ref="A101:B101"/>
    <mergeCell ref="A102:B102"/>
    <mergeCell ref="A103:B103"/>
    <mergeCell ref="A104:B104"/>
    <mergeCell ref="A105:B105"/>
    <mergeCell ref="A106:B106"/>
    <mergeCell ref="A107:B107"/>
    <mergeCell ref="A120:B120"/>
    <mergeCell ref="A109:B109"/>
    <mergeCell ref="A110:B110"/>
    <mergeCell ref="A111:B111"/>
    <mergeCell ref="A112:B112"/>
    <mergeCell ref="A113:B113"/>
    <mergeCell ref="A114:B114"/>
    <mergeCell ref="A115:B115"/>
    <mergeCell ref="A116:B116"/>
    <mergeCell ref="A117:B117"/>
    <mergeCell ref="A118:B118"/>
    <mergeCell ref="A119:B119"/>
    <mergeCell ref="A130:I130"/>
    <mergeCell ref="A132:I132"/>
    <mergeCell ref="A134:I134"/>
    <mergeCell ref="A121:B121"/>
    <mergeCell ref="A122:B122"/>
    <mergeCell ref="A123:B123"/>
    <mergeCell ref="A124:B124"/>
    <mergeCell ref="A126:I126"/>
    <mergeCell ref="A128:I128"/>
  </mergeCells>
  <pageMargins left="0.70866141732283472" right="0.70866141732283472" top="0.78740157480314965" bottom="0.78740157480314965" header="0.31496062992125984" footer="0.31496062992125984"/>
  <pageSetup paperSize="9" firstPageNumber="146" orientation="landscape" useFirstPageNumber="1"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8"/>
  <sheetViews>
    <sheetView zoomScale="130" zoomScaleNormal="130" workbookViewId="0">
      <selection activeCell="N22" sqref="N22"/>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235</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42481932.549999997</v>
      </c>
      <c r="F6" s="52">
        <f>SUM(F7:F9)</f>
        <v>46333281.640000001</v>
      </c>
      <c r="G6" s="52">
        <f>SUM(G7:G9)</f>
        <v>46269761.090000004</v>
      </c>
      <c r="H6" s="4">
        <f t="shared" ref="H6:H36" si="0">G6/F6*100</f>
        <v>99.862905134815321</v>
      </c>
      <c r="I6" s="53">
        <f>SUM(I7:I9)</f>
        <v>39657879</v>
      </c>
      <c r="J6" s="51">
        <f>SUM(J7:J9)</f>
        <v>8807174</v>
      </c>
      <c r="K6" s="52">
        <f t="shared" ref="K6:X6" si="1">SUM(K7:K9)</f>
        <v>10578231.59</v>
      </c>
      <c r="L6" s="52">
        <f t="shared" si="1"/>
        <v>10515305.68</v>
      </c>
      <c r="M6" s="4">
        <f t="shared" ref="M6:M36" si="2">L6/K6*100</f>
        <v>99.405137716407282</v>
      </c>
      <c r="N6" s="53">
        <f t="shared" si="1"/>
        <v>9055742</v>
      </c>
      <c r="O6" s="51">
        <f t="shared" si="1"/>
        <v>33674758.549999997</v>
      </c>
      <c r="P6" s="52">
        <f t="shared" si="1"/>
        <v>35755050.049999997</v>
      </c>
      <c r="Q6" s="52">
        <f t="shared" si="1"/>
        <v>35754455.409999996</v>
      </c>
      <c r="R6" s="4">
        <f t="shared" ref="R6:R36" si="3">Q6/P6*100</f>
        <v>99.998336906257521</v>
      </c>
      <c r="S6" s="53">
        <f t="shared" si="1"/>
        <v>30602137</v>
      </c>
      <c r="T6" s="51">
        <f t="shared" si="1"/>
        <v>677064</v>
      </c>
      <c r="U6" s="52">
        <f t="shared" si="1"/>
        <v>689064</v>
      </c>
      <c r="V6" s="52">
        <f t="shared" si="1"/>
        <v>643785</v>
      </c>
      <c r="W6" s="4">
        <f t="shared" ref="W6:W36" si="4">V6/U6*100</f>
        <v>93.428912263592352</v>
      </c>
      <c r="X6" s="53">
        <f t="shared" si="1"/>
        <v>695354</v>
      </c>
    </row>
    <row r="7" spans="1:24" s="34" customFormat="1" x14ac:dyDescent="0.15">
      <c r="A7" s="55" t="s">
        <v>2</v>
      </c>
      <c r="B7" s="1233" t="s">
        <v>46</v>
      </c>
      <c r="C7" s="1233"/>
      <c r="D7" s="50" t="s">
        <v>25</v>
      </c>
      <c r="E7" s="56">
        <f t="shared" ref="E7:G10" si="5">SUM(J7,O7)</f>
        <v>4346774</v>
      </c>
      <c r="F7" s="57">
        <f t="shared" si="5"/>
        <v>5070456.59</v>
      </c>
      <c r="G7" s="57">
        <f t="shared" si="5"/>
        <v>5059906.59</v>
      </c>
      <c r="H7" s="58">
        <f t="shared" si="0"/>
        <v>99.791931953015705</v>
      </c>
      <c r="I7" s="59">
        <f>SUM(N7,S7)</f>
        <v>4314565</v>
      </c>
      <c r="J7" s="268">
        <v>4346774</v>
      </c>
      <c r="K7" s="61">
        <v>5070456.59</v>
      </c>
      <c r="L7" s="61">
        <v>5059906.59</v>
      </c>
      <c r="M7" s="58">
        <f t="shared" si="2"/>
        <v>99.791931953015705</v>
      </c>
      <c r="N7" s="244">
        <v>4314565</v>
      </c>
      <c r="O7" s="245"/>
      <c r="P7" s="61"/>
      <c r="Q7" s="61"/>
      <c r="R7" s="58">
        <v>0</v>
      </c>
      <c r="S7" s="244"/>
      <c r="T7" s="269">
        <v>677064</v>
      </c>
      <c r="U7" s="61">
        <v>689064</v>
      </c>
      <c r="V7" s="61">
        <v>643785</v>
      </c>
      <c r="W7" s="58">
        <f t="shared" si="4"/>
        <v>93.428912263592352</v>
      </c>
      <c r="X7" s="244">
        <v>695354</v>
      </c>
    </row>
    <row r="8" spans="1:24" s="34" customFormat="1" x14ac:dyDescent="0.15">
      <c r="A8" s="63" t="s">
        <v>3</v>
      </c>
      <c r="B8" s="1237" t="s">
        <v>47</v>
      </c>
      <c r="C8" s="1237"/>
      <c r="D8" s="50" t="s">
        <v>25</v>
      </c>
      <c r="E8" s="56">
        <f t="shared" si="5"/>
        <v>0</v>
      </c>
      <c r="F8" s="57">
        <f t="shared" si="5"/>
        <v>0</v>
      </c>
      <c r="G8" s="57">
        <f t="shared" si="5"/>
        <v>0</v>
      </c>
      <c r="H8" s="58">
        <v>0</v>
      </c>
      <c r="I8" s="59">
        <f>SUM(N8,S8)</f>
        <v>0</v>
      </c>
      <c r="J8" s="270">
        <v>0</v>
      </c>
      <c r="K8" s="57"/>
      <c r="L8" s="57"/>
      <c r="M8" s="58">
        <v>0</v>
      </c>
      <c r="N8" s="59"/>
      <c r="O8" s="56"/>
      <c r="P8" s="57"/>
      <c r="Q8" s="57"/>
      <c r="R8" s="58">
        <v>0</v>
      </c>
      <c r="S8" s="59"/>
      <c r="T8" s="56"/>
      <c r="U8" s="57"/>
      <c r="V8" s="57"/>
      <c r="W8" s="58">
        <v>0</v>
      </c>
      <c r="X8" s="59"/>
    </row>
    <row r="9" spans="1:24" s="34" customFormat="1" ht="8.4" x14ac:dyDescent="0.2">
      <c r="A9" s="63" t="s">
        <v>4</v>
      </c>
      <c r="B9" s="66" t="s">
        <v>62</v>
      </c>
      <c r="C9" s="67"/>
      <c r="D9" s="50" t="s">
        <v>25</v>
      </c>
      <c r="E9" s="56">
        <f t="shared" si="5"/>
        <v>38135158.549999997</v>
      </c>
      <c r="F9" s="57">
        <f t="shared" si="5"/>
        <v>41262825.049999997</v>
      </c>
      <c r="G9" s="57">
        <f t="shared" si="5"/>
        <v>41209854.5</v>
      </c>
      <c r="H9" s="58">
        <f t="shared" si="0"/>
        <v>99.871626458111365</v>
      </c>
      <c r="I9" s="59">
        <f>SUM(N9,S9)</f>
        <v>35343314</v>
      </c>
      <c r="J9" s="270">
        <v>4460400</v>
      </c>
      <c r="K9" s="57">
        <v>5507775</v>
      </c>
      <c r="L9" s="57">
        <v>5455399.0899999999</v>
      </c>
      <c r="M9" s="58">
        <f t="shared" si="2"/>
        <v>99.049055017679549</v>
      </c>
      <c r="N9" s="59">
        <v>4741177</v>
      </c>
      <c r="O9" s="184">
        <v>33674758.549999997</v>
      </c>
      <c r="P9" s="57">
        <v>35755050.049999997</v>
      </c>
      <c r="Q9" s="57">
        <v>35754455.409999996</v>
      </c>
      <c r="R9" s="58">
        <f t="shared" si="3"/>
        <v>99.998336906257521</v>
      </c>
      <c r="S9" s="59">
        <v>30602137</v>
      </c>
      <c r="T9" s="56"/>
      <c r="U9" s="57"/>
      <c r="V9" s="57"/>
      <c r="W9" s="58">
        <v>0</v>
      </c>
      <c r="X9" s="59"/>
    </row>
    <row r="10" spans="1:24" s="34" customFormat="1" x14ac:dyDescent="0.15">
      <c r="A10" s="49" t="s">
        <v>5</v>
      </c>
      <c r="B10" s="1236" t="s">
        <v>7</v>
      </c>
      <c r="C10" s="1236"/>
      <c r="D10" s="50" t="s">
        <v>25</v>
      </c>
      <c r="E10" s="68">
        <f t="shared" si="5"/>
        <v>0</v>
      </c>
      <c r="F10" s="69">
        <f t="shared" si="5"/>
        <v>0</v>
      </c>
      <c r="G10" s="69">
        <f t="shared" si="5"/>
        <v>0</v>
      </c>
      <c r="H10" s="4">
        <v>0</v>
      </c>
      <c r="I10" s="70">
        <f>SUM(N10,S10)</f>
        <v>0</v>
      </c>
      <c r="J10" s="71"/>
      <c r="K10" s="69"/>
      <c r="L10" s="69"/>
      <c r="M10" s="4">
        <v>0</v>
      </c>
      <c r="N10" s="70"/>
      <c r="O10" s="68"/>
      <c r="P10" s="69"/>
      <c r="Q10" s="69"/>
      <c r="R10" s="4">
        <v>0</v>
      </c>
      <c r="S10" s="70"/>
      <c r="T10" s="68"/>
      <c r="U10" s="69"/>
      <c r="V10" s="69"/>
      <c r="W10" s="4">
        <v>0</v>
      </c>
      <c r="X10" s="70"/>
    </row>
    <row r="11" spans="1:24" s="34" customFormat="1" x14ac:dyDescent="0.15">
      <c r="A11" s="49" t="s">
        <v>6</v>
      </c>
      <c r="B11" s="1236" t="s">
        <v>9</v>
      </c>
      <c r="C11" s="1236"/>
      <c r="D11" s="50" t="s">
        <v>25</v>
      </c>
      <c r="E11" s="51">
        <f>SUM(E12:E31)</f>
        <v>42481932.549999997</v>
      </c>
      <c r="F11" s="52">
        <f>SUM(F12:F31)</f>
        <v>46333281.700000003</v>
      </c>
      <c r="G11" s="52">
        <f>SUM(G12:G31)</f>
        <v>46219769.790000007</v>
      </c>
      <c r="H11" s="4">
        <f t="shared" si="0"/>
        <v>99.755009993173019</v>
      </c>
      <c r="I11" s="53">
        <f>SUM(I12:I31)</f>
        <v>39468625</v>
      </c>
      <c r="J11" s="51">
        <f>SUM(J12:J31)</f>
        <v>8807174</v>
      </c>
      <c r="K11" s="52">
        <f>SUM(K12:K31)</f>
        <v>10578231.59</v>
      </c>
      <c r="L11" s="52">
        <f>SUM(L12:L31)</f>
        <v>10465314.380000001</v>
      </c>
      <c r="M11" s="4">
        <f t="shared" si="2"/>
        <v>98.932551163781056</v>
      </c>
      <c r="N11" s="53">
        <f>SUM(N12:N31)</f>
        <v>8866488</v>
      </c>
      <c r="O11" s="51">
        <f>SUM(O12:O31)</f>
        <v>33674758.550000004</v>
      </c>
      <c r="P11" s="52">
        <f>SUM(P12:P31)</f>
        <v>35755050.109999999</v>
      </c>
      <c r="Q11" s="52">
        <f>SUM(Q12:Q31)</f>
        <v>35754455.409999996</v>
      </c>
      <c r="R11" s="4">
        <f t="shared" si="3"/>
        <v>99.99833673845184</v>
      </c>
      <c r="S11" s="53">
        <f>SUM(S12:S31)</f>
        <v>30602137</v>
      </c>
      <c r="T11" s="51">
        <f>SUM(T12:T31)</f>
        <v>564757</v>
      </c>
      <c r="U11" s="52">
        <f>SUM(U12:U31)</f>
        <v>576757</v>
      </c>
      <c r="V11" s="52">
        <f>SUM(V12:V31)</f>
        <v>540373.30000000005</v>
      </c>
      <c r="W11" s="4">
        <f t="shared" si="4"/>
        <v>93.691676043810489</v>
      </c>
      <c r="X11" s="53">
        <f>SUM(X12:X31)</f>
        <v>622225</v>
      </c>
    </row>
    <row r="12" spans="1:24" s="34" customFormat="1" x14ac:dyDescent="0.15">
      <c r="A12" s="73" t="s">
        <v>8</v>
      </c>
      <c r="B12" s="1238" t="s">
        <v>28</v>
      </c>
      <c r="C12" s="1238"/>
      <c r="D12" s="50" t="s">
        <v>25</v>
      </c>
      <c r="E12" s="56">
        <f>SUM(J12,O12)</f>
        <v>4798733.5999999996</v>
      </c>
      <c r="F12" s="57">
        <f t="shared" ref="E12:I28" si="6">SUM(K12,P12)</f>
        <v>5116299</v>
      </c>
      <c r="G12" s="57">
        <f t="shared" si="6"/>
        <v>5104196.4400000004</v>
      </c>
      <c r="H12" s="58">
        <f t="shared" si="0"/>
        <v>99.763450885102699</v>
      </c>
      <c r="I12" s="59">
        <f t="shared" si="6"/>
        <v>4840501</v>
      </c>
      <c r="J12" s="271">
        <v>4515774</v>
      </c>
      <c r="K12" s="75">
        <v>4771292</v>
      </c>
      <c r="L12" s="75">
        <v>4759189.87</v>
      </c>
      <c r="M12" s="58">
        <f t="shared" si="2"/>
        <v>99.746355284899778</v>
      </c>
      <c r="N12" s="246">
        <v>4527883</v>
      </c>
      <c r="O12" s="185">
        <f>205670+77289.6</f>
        <v>282959.59999999998</v>
      </c>
      <c r="P12" s="75">
        <v>345007</v>
      </c>
      <c r="Q12" s="75">
        <v>345006.57</v>
      </c>
      <c r="R12" s="58">
        <f t="shared" si="3"/>
        <v>99.999875364847668</v>
      </c>
      <c r="S12" s="248">
        <v>312618</v>
      </c>
      <c r="T12" s="185">
        <v>240500</v>
      </c>
      <c r="U12" s="75">
        <v>241000</v>
      </c>
      <c r="V12" s="75">
        <v>226838.1</v>
      </c>
      <c r="W12" s="58">
        <f t="shared" si="4"/>
        <v>94.123692946058085</v>
      </c>
      <c r="X12" s="246">
        <v>239327</v>
      </c>
    </row>
    <row r="13" spans="1:24" s="34" customFormat="1" x14ac:dyDescent="0.15">
      <c r="A13" s="55" t="s">
        <v>10</v>
      </c>
      <c r="B13" s="1233" t="s">
        <v>29</v>
      </c>
      <c r="C13" s="1233"/>
      <c r="D13" s="50" t="s">
        <v>25</v>
      </c>
      <c r="E13" s="56">
        <f t="shared" si="6"/>
        <v>2150000</v>
      </c>
      <c r="F13" s="57">
        <f t="shared" si="6"/>
        <v>1600000</v>
      </c>
      <c r="G13" s="57">
        <f t="shared" si="6"/>
        <v>1564650.12</v>
      </c>
      <c r="H13" s="58">
        <f t="shared" si="0"/>
        <v>97.790632500000001</v>
      </c>
      <c r="I13" s="59">
        <f t="shared" si="6"/>
        <v>1464311</v>
      </c>
      <c r="J13" s="271">
        <v>2150000</v>
      </c>
      <c r="K13" s="57">
        <v>1600000</v>
      </c>
      <c r="L13" s="57">
        <v>1564650.12</v>
      </c>
      <c r="M13" s="58">
        <f t="shared" si="2"/>
        <v>97.790632500000001</v>
      </c>
      <c r="N13" s="59">
        <v>1464311</v>
      </c>
      <c r="O13" s="184">
        <v>0</v>
      </c>
      <c r="P13" s="57">
        <v>0</v>
      </c>
      <c r="Q13" s="57">
        <v>0</v>
      </c>
      <c r="R13" s="58">
        <v>0</v>
      </c>
      <c r="S13" s="59">
        <v>0</v>
      </c>
      <c r="T13" s="184">
        <v>94000</v>
      </c>
      <c r="U13" s="57">
        <v>94000</v>
      </c>
      <c r="V13" s="57">
        <v>82574</v>
      </c>
      <c r="W13" s="58">
        <f t="shared" si="4"/>
        <v>87.844680851063828</v>
      </c>
      <c r="X13" s="59">
        <v>79130</v>
      </c>
    </row>
    <row r="14" spans="1:24" s="34" customFormat="1" x14ac:dyDescent="0.15">
      <c r="A14" s="55" t="s">
        <v>11</v>
      </c>
      <c r="B14" s="76" t="s">
        <v>63</v>
      </c>
      <c r="C14" s="76"/>
      <c r="D14" s="50" t="s">
        <v>25</v>
      </c>
      <c r="E14" s="56">
        <f t="shared" si="6"/>
        <v>0</v>
      </c>
      <c r="F14" s="57">
        <f t="shared" si="6"/>
        <v>0</v>
      </c>
      <c r="G14" s="57">
        <f t="shared" si="6"/>
        <v>0</v>
      </c>
      <c r="H14" s="58">
        <v>0</v>
      </c>
      <c r="I14" s="59">
        <f t="shared" si="6"/>
        <v>0</v>
      </c>
      <c r="J14" s="271">
        <v>0</v>
      </c>
      <c r="K14" s="57">
        <v>0</v>
      </c>
      <c r="L14" s="57">
        <v>0</v>
      </c>
      <c r="M14" s="58">
        <v>0</v>
      </c>
      <c r="N14" s="59">
        <v>0</v>
      </c>
      <c r="O14" s="184">
        <v>0</v>
      </c>
      <c r="P14" s="57">
        <v>0</v>
      </c>
      <c r="Q14" s="57">
        <v>0</v>
      </c>
      <c r="R14" s="58">
        <v>0</v>
      </c>
      <c r="S14" s="59">
        <v>0</v>
      </c>
      <c r="T14" s="184">
        <v>0</v>
      </c>
      <c r="U14" s="57">
        <v>0</v>
      </c>
      <c r="V14" s="57">
        <v>0</v>
      </c>
      <c r="W14" s="58">
        <v>0</v>
      </c>
      <c r="X14" s="59">
        <v>0</v>
      </c>
    </row>
    <row r="15" spans="1:24" s="34" customFormat="1" x14ac:dyDescent="0.15">
      <c r="A15" s="55" t="s">
        <v>12</v>
      </c>
      <c r="B15" s="1233" t="s">
        <v>64</v>
      </c>
      <c r="C15" s="1233"/>
      <c r="D15" s="50" t="s">
        <v>25</v>
      </c>
      <c r="E15" s="56">
        <f t="shared" si="6"/>
        <v>475800</v>
      </c>
      <c r="F15" s="57">
        <f t="shared" si="6"/>
        <v>1947577</v>
      </c>
      <c r="G15" s="57">
        <f t="shared" si="6"/>
        <v>1933990.67</v>
      </c>
      <c r="H15" s="58">
        <f t="shared" si="0"/>
        <v>99.302398313391464</v>
      </c>
      <c r="I15" s="59">
        <f t="shared" si="6"/>
        <v>1059326</v>
      </c>
      <c r="J15" s="271">
        <v>475800</v>
      </c>
      <c r="K15" s="57">
        <v>1947577</v>
      </c>
      <c r="L15" s="57">
        <v>1933990.67</v>
      </c>
      <c r="M15" s="58">
        <f t="shared" si="2"/>
        <v>99.302398313391464</v>
      </c>
      <c r="N15" s="59">
        <v>1059326</v>
      </c>
      <c r="O15" s="184">
        <v>0</v>
      </c>
      <c r="P15" s="57">
        <v>0</v>
      </c>
      <c r="Q15" s="57">
        <v>0</v>
      </c>
      <c r="R15" s="58">
        <v>0</v>
      </c>
      <c r="S15" s="59">
        <v>0</v>
      </c>
      <c r="T15" s="184">
        <v>9000</v>
      </c>
      <c r="U15" s="57">
        <v>14000</v>
      </c>
      <c r="V15" s="57">
        <v>12391</v>
      </c>
      <c r="W15" s="58">
        <f t="shared" si="4"/>
        <v>88.507142857142867</v>
      </c>
      <c r="X15" s="59">
        <v>13099</v>
      </c>
    </row>
    <row r="16" spans="1:24" s="34" customFormat="1" x14ac:dyDescent="0.15">
      <c r="A16" s="55" t="s">
        <v>13</v>
      </c>
      <c r="B16" s="1233" t="s">
        <v>30</v>
      </c>
      <c r="C16" s="1233"/>
      <c r="D16" s="50" t="s">
        <v>25</v>
      </c>
      <c r="E16" s="56">
        <f t="shared" si="6"/>
        <v>46959</v>
      </c>
      <c r="F16" s="57">
        <f t="shared" si="6"/>
        <v>48486</v>
      </c>
      <c r="G16" s="57">
        <f t="shared" si="6"/>
        <v>48453.1</v>
      </c>
      <c r="H16" s="58">
        <f t="shared" si="0"/>
        <v>99.932145361547668</v>
      </c>
      <c r="I16" s="59">
        <f t="shared" si="6"/>
        <v>53176</v>
      </c>
      <c r="J16" s="271">
        <v>6000</v>
      </c>
      <c r="K16" s="57">
        <v>6000</v>
      </c>
      <c r="L16" s="57">
        <v>5967</v>
      </c>
      <c r="M16" s="58">
        <f t="shared" si="2"/>
        <v>99.45</v>
      </c>
      <c r="N16" s="59">
        <v>2802</v>
      </c>
      <c r="O16" s="184">
        <f>40000+959</f>
        <v>40959</v>
      </c>
      <c r="P16" s="57">
        <v>42486</v>
      </c>
      <c r="Q16" s="57">
        <v>42486.1</v>
      </c>
      <c r="R16" s="58">
        <f t="shared" si="3"/>
        <v>100.00023537165184</v>
      </c>
      <c r="S16" s="59">
        <v>50374</v>
      </c>
      <c r="T16" s="184">
        <v>0</v>
      </c>
      <c r="U16" s="57">
        <v>0</v>
      </c>
      <c r="V16" s="57">
        <v>0</v>
      </c>
      <c r="W16" s="58">
        <v>0</v>
      </c>
      <c r="X16" s="59">
        <v>0</v>
      </c>
    </row>
    <row r="17" spans="1:24" s="34" customFormat="1" x14ac:dyDescent="0.15">
      <c r="A17" s="55" t="s">
        <v>14</v>
      </c>
      <c r="B17" s="76" t="s">
        <v>48</v>
      </c>
      <c r="C17" s="76"/>
      <c r="D17" s="50" t="s">
        <v>25</v>
      </c>
      <c r="E17" s="56">
        <f t="shared" si="6"/>
        <v>4000</v>
      </c>
      <c r="F17" s="57">
        <f t="shared" si="6"/>
        <v>4000</v>
      </c>
      <c r="G17" s="57">
        <f t="shared" si="6"/>
        <v>3905</v>
      </c>
      <c r="H17" s="58">
        <f t="shared" si="0"/>
        <v>97.625</v>
      </c>
      <c r="I17" s="59">
        <f t="shared" si="6"/>
        <v>4666</v>
      </c>
      <c r="J17" s="271">
        <v>4000</v>
      </c>
      <c r="K17" s="57">
        <v>4000</v>
      </c>
      <c r="L17" s="57">
        <v>3905</v>
      </c>
      <c r="M17" s="58">
        <f t="shared" si="2"/>
        <v>97.625</v>
      </c>
      <c r="N17" s="59">
        <v>2921</v>
      </c>
      <c r="O17" s="184"/>
      <c r="P17" s="57">
        <v>0</v>
      </c>
      <c r="Q17" s="57">
        <v>0</v>
      </c>
      <c r="R17" s="58">
        <v>0</v>
      </c>
      <c r="S17" s="59">
        <v>1745</v>
      </c>
      <c r="T17" s="184">
        <v>0</v>
      </c>
      <c r="U17" s="57">
        <v>0</v>
      </c>
      <c r="V17" s="57">
        <v>0</v>
      </c>
      <c r="W17" s="58">
        <v>0</v>
      </c>
      <c r="X17" s="59">
        <v>0</v>
      </c>
    </row>
    <row r="18" spans="1:24" s="34" customFormat="1" x14ac:dyDescent="0.15">
      <c r="A18" s="55" t="s">
        <v>15</v>
      </c>
      <c r="B18" s="1233" t="s">
        <v>31</v>
      </c>
      <c r="C18" s="1233"/>
      <c r="D18" s="50" t="s">
        <v>25</v>
      </c>
      <c r="E18" s="56">
        <f t="shared" si="6"/>
        <v>691702</v>
      </c>
      <c r="F18" s="57">
        <f t="shared" si="6"/>
        <v>860190</v>
      </c>
      <c r="G18" s="57">
        <f t="shared" si="6"/>
        <v>854246.15</v>
      </c>
      <c r="H18" s="58">
        <f t="shared" si="0"/>
        <v>99.309007312337968</v>
      </c>
      <c r="I18" s="59">
        <f t="shared" si="6"/>
        <v>789473</v>
      </c>
      <c r="J18" s="271">
        <v>475400</v>
      </c>
      <c r="K18" s="57">
        <v>577091</v>
      </c>
      <c r="L18" s="57">
        <v>571147</v>
      </c>
      <c r="M18" s="58">
        <f t="shared" si="2"/>
        <v>98.970006463452037</v>
      </c>
      <c r="N18" s="59">
        <v>473747</v>
      </c>
      <c r="O18" s="184">
        <f>15000+155000+39072+7230</f>
        <v>216302</v>
      </c>
      <c r="P18" s="57">
        <v>283099</v>
      </c>
      <c r="Q18" s="57">
        <v>283099.15000000002</v>
      </c>
      <c r="R18" s="58">
        <f t="shared" si="3"/>
        <v>100.00005298499819</v>
      </c>
      <c r="S18" s="59">
        <v>315726</v>
      </c>
      <c r="T18" s="184">
        <v>9600</v>
      </c>
      <c r="U18" s="57">
        <v>17100</v>
      </c>
      <c r="V18" s="57">
        <v>15372.5</v>
      </c>
      <c r="W18" s="58">
        <f t="shared" si="4"/>
        <v>89.897660818713447</v>
      </c>
      <c r="X18" s="59">
        <v>16010</v>
      </c>
    </row>
    <row r="19" spans="1:24" s="37" customFormat="1" x14ac:dyDescent="0.15">
      <c r="A19" s="55" t="s">
        <v>16</v>
      </c>
      <c r="B19" s="1233" t="s">
        <v>32</v>
      </c>
      <c r="C19" s="1233"/>
      <c r="D19" s="50" t="s">
        <v>25</v>
      </c>
      <c r="E19" s="56">
        <f t="shared" si="6"/>
        <v>24369285</v>
      </c>
      <c r="F19" s="57">
        <f t="shared" si="6"/>
        <v>25696518</v>
      </c>
      <c r="G19" s="57">
        <f t="shared" si="6"/>
        <v>25651945</v>
      </c>
      <c r="H19" s="58">
        <f t="shared" si="0"/>
        <v>99.8265407009619</v>
      </c>
      <c r="I19" s="59">
        <f t="shared" si="6"/>
        <v>22019063</v>
      </c>
      <c r="J19" s="272">
        <v>111925</v>
      </c>
      <c r="K19" s="57">
        <v>119225</v>
      </c>
      <c r="L19" s="57">
        <v>74800</v>
      </c>
      <c r="M19" s="58">
        <f t="shared" si="2"/>
        <v>62.738519605787381</v>
      </c>
      <c r="N19" s="59">
        <v>60130</v>
      </c>
      <c r="O19" s="184">
        <f>120000+23659700+223468+254192</f>
        <v>24257360</v>
      </c>
      <c r="P19" s="57">
        <v>25577293</v>
      </c>
      <c r="Q19" s="57">
        <v>25577145</v>
      </c>
      <c r="R19" s="58">
        <f t="shared" si="3"/>
        <v>99.999421361752397</v>
      </c>
      <c r="S19" s="59">
        <v>21958933</v>
      </c>
      <c r="T19" s="273">
        <v>131816</v>
      </c>
      <c r="U19" s="78">
        <v>139816</v>
      </c>
      <c r="V19" s="78">
        <v>135526</v>
      </c>
      <c r="W19" s="58">
        <f t="shared" si="4"/>
        <v>96.931681638725181</v>
      </c>
      <c r="X19" s="250">
        <v>145721</v>
      </c>
    </row>
    <row r="20" spans="1:24" s="34" customFormat="1" x14ac:dyDescent="0.15">
      <c r="A20" s="55" t="s">
        <v>17</v>
      </c>
      <c r="B20" s="1233" t="s">
        <v>49</v>
      </c>
      <c r="C20" s="1233"/>
      <c r="D20" s="50" t="s">
        <v>25</v>
      </c>
      <c r="E20" s="56">
        <f t="shared" si="6"/>
        <v>8269935.0499999998</v>
      </c>
      <c r="F20" s="57">
        <f t="shared" si="6"/>
        <v>8645647.1099999994</v>
      </c>
      <c r="G20" s="57">
        <f t="shared" si="6"/>
        <v>8644149.870000001</v>
      </c>
      <c r="H20" s="58">
        <f t="shared" si="0"/>
        <v>99.982682152290636</v>
      </c>
      <c r="I20" s="59">
        <f t="shared" si="6"/>
        <v>7457683</v>
      </c>
      <c r="J20" s="271">
        <v>15170</v>
      </c>
      <c r="K20" s="57">
        <v>14170</v>
      </c>
      <c r="L20" s="57">
        <v>13119.4</v>
      </c>
      <c r="M20" s="58">
        <f t="shared" si="2"/>
        <v>92.585744530698662</v>
      </c>
      <c r="N20" s="59">
        <v>18017</v>
      </c>
      <c r="O20" s="184">
        <f>100000+8044310+75979+34476.05</f>
        <v>8254765.0499999998</v>
      </c>
      <c r="P20" s="57">
        <v>8631477.1099999994</v>
      </c>
      <c r="Q20" s="57">
        <v>8631030.4700000007</v>
      </c>
      <c r="R20" s="58">
        <f t="shared" si="3"/>
        <v>99.994825451144607</v>
      </c>
      <c r="S20" s="59">
        <v>7439666</v>
      </c>
      <c r="T20" s="184">
        <v>44818</v>
      </c>
      <c r="U20" s="57">
        <v>34818</v>
      </c>
      <c r="V20" s="57">
        <v>33992.239999999998</v>
      </c>
      <c r="W20" s="58">
        <f t="shared" si="4"/>
        <v>97.628353150669184</v>
      </c>
      <c r="X20" s="59">
        <v>50099</v>
      </c>
    </row>
    <row r="21" spans="1:24" s="34" customFormat="1" x14ac:dyDescent="0.15">
      <c r="A21" s="55" t="s">
        <v>18</v>
      </c>
      <c r="B21" s="1233" t="s">
        <v>50</v>
      </c>
      <c r="C21" s="1233"/>
      <c r="D21" s="50" t="s">
        <v>25</v>
      </c>
      <c r="E21" s="56">
        <f t="shared" si="6"/>
        <v>514805.94</v>
      </c>
      <c r="F21" s="57">
        <f t="shared" si="6"/>
        <v>536206</v>
      </c>
      <c r="G21" s="57">
        <f t="shared" si="6"/>
        <v>536193.78</v>
      </c>
      <c r="H21" s="58">
        <f t="shared" si="0"/>
        <v>99.997721025128399</v>
      </c>
      <c r="I21" s="59">
        <f t="shared" si="6"/>
        <v>462115</v>
      </c>
      <c r="J21" s="271">
        <v>0</v>
      </c>
      <c r="K21" s="57">
        <v>1000</v>
      </c>
      <c r="L21" s="57">
        <v>987.48</v>
      </c>
      <c r="M21" s="58">
        <f t="shared" si="2"/>
        <v>98.748000000000005</v>
      </c>
      <c r="N21" s="59">
        <v>2309</v>
      </c>
      <c r="O21" s="184">
        <f>25000+10000+473190+4469+2146.94</f>
        <v>514805.94</v>
      </c>
      <c r="P21" s="57">
        <v>535206</v>
      </c>
      <c r="Q21" s="57">
        <v>535206.30000000005</v>
      </c>
      <c r="R21" s="58">
        <f t="shared" si="3"/>
        <v>100.00005605318327</v>
      </c>
      <c r="S21" s="59">
        <v>459806</v>
      </c>
      <c r="T21" s="184">
        <v>2636</v>
      </c>
      <c r="U21" s="57">
        <v>3636</v>
      </c>
      <c r="V21" s="57">
        <v>2710.46</v>
      </c>
      <c r="W21" s="58">
        <f t="shared" si="4"/>
        <v>74.54510451045104</v>
      </c>
      <c r="X21" s="59">
        <v>2916</v>
      </c>
    </row>
    <row r="22" spans="1:24" s="34" customFormat="1" x14ac:dyDescent="0.15">
      <c r="A22" s="55" t="s">
        <v>19</v>
      </c>
      <c r="B22" s="1233" t="s">
        <v>65</v>
      </c>
      <c r="C22" s="1233"/>
      <c r="D22" s="50" t="s">
        <v>25</v>
      </c>
      <c r="E22" s="56">
        <f t="shared" si="6"/>
        <v>0</v>
      </c>
      <c r="F22" s="57">
        <f t="shared" si="6"/>
        <v>0</v>
      </c>
      <c r="G22" s="57">
        <f t="shared" si="6"/>
        <v>0</v>
      </c>
      <c r="H22" s="58">
        <v>0</v>
      </c>
      <c r="I22" s="59">
        <f t="shared" si="6"/>
        <v>0</v>
      </c>
      <c r="J22" s="271">
        <v>0</v>
      </c>
      <c r="K22" s="57">
        <v>0</v>
      </c>
      <c r="L22" s="57">
        <v>0</v>
      </c>
      <c r="M22" s="58">
        <v>0</v>
      </c>
      <c r="N22" s="59">
        <v>0</v>
      </c>
      <c r="O22" s="184">
        <v>0</v>
      </c>
      <c r="P22" s="57">
        <v>0</v>
      </c>
      <c r="Q22" s="57">
        <v>0</v>
      </c>
      <c r="R22" s="58">
        <v>0</v>
      </c>
      <c r="S22" s="59">
        <v>0</v>
      </c>
      <c r="T22" s="184">
        <v>0</v>
      </c>
      <c r="U22" s="57">
        <v>0</v>
      </c>
      <c r="V22" s="57">
        <v>0</v>
      </c>
      <c r="W22" s="58">
        <v>0</v>
      </c>
      <c r="X22" s="59">
        <v>0</v>
      </c>
    </row>
    <row r="23" spans="1:24" s="34" customFormat="1" x14ac:dyDescent="0.15">
      <c r="A23" s="55" t="s">
        <v>20</v>
      </c>
      <c r="B23" s="76" t="s">
        <v>66</v>
      </c>
      <c r="C23" s="76"/>
      <c r="D23" s="50" t="s">
        <v>25</v>
      </c>
      <c r="E23" s="56">
        <f t="shared" si="6"/>
        <v>0</v>
      </c>
      <c r="F23" s="57">
        <f t="shared" si="6"/>
        <v>0</v>
      </c>
      <c r="G23" s="57">
        <f t="shared" si="6"/>
        <v>0</v>
      </c>
      <c r="H23" s="58">
        <v>0</v>
      </c>
      <c r="I23" s="59">
        <f t="shared" si="6"/>
        <v>0</v>
      </c>
      <c r="J23" s="271">
        <v>0</v>
      </c>
      <c r="K23" s="57">
        <v>0</v>
      </c>
      <c r="L23" s="57">
        <v>0</v>
      </c>
      <c r="M23" s="58">
        <v>0</v>
      </c>
      <c r="N23" s="59">
        <v>0</v>
      </c>
      <c r="O23" s="184">
        <v>0</v>
      </c>
      <c r="P23" s="57">
        <v>0</v>
      </c>
      <c r="Q23" s="57">
        <v>0</v>
      </c>
      <c r="R23" s="58">
        <v>0</v>
      </c>
      <c r="S23" s="59">
        <v>0</v>
      </c>
      <c r="T23" s="184">
        <v>0</v>
      </c>
      <c r="U23" s="57">
        <v>0</v>
      </c>
      <c r="V23" s="57">
        <v>0</v>
      </c>
      <c r="W23" s="58">
        <v>0</v>
      </c>
      <c r="X23" s="59">
        <v>0</v>
      </c>
    </row>
    <row r="24" spans="1:24" s="34" customFormat="1" x14ac:dyDescent="0.15">
      <c r="A24" s="55" t="s">
        <v>21</v>
      </c>
      <c r="B24" s="76" t="s">
        <v>73</v>
      </c>
      <c r="C24" s="76"/>
      <c r="D24" s="50" t="s">
        <v>25</v>
      </c>
      <c r="E24" s="56">
        <f t="shared" si="6"/>
        <v>0</v>
      </c>
      <c r="F24" s="57">
        <f t="shared" si="6"/>
        <v>0</v>
      </c>
      <c r="G24" s="57">
        <f t="shared" si="6"/>
        <v>0</v>
      </c>
      <c r="H24" s="58">
        <v>0</v>
      </c>
      <c r="I24" s="59">
        <f t="shared" si="6"/>
        <v>0</v>
      </c>
      <c r="J24" s="271">
        <v>0</v>
      </c>
      <c r="K24" s="57">
        <v>0</v>
      </c>
      <c r="L24" s="57">
        <v>0</v>
      </c>
      <c r="M24" s="58">
        <v>0</v>
      </c>
      <c r="N24" s="59">
        <v>0</v>
      </c>
      <c r="O24" s="184">
        <v>0</v>
      </c>
      <c r="P24" s="57">
        <v>0</v>
      </c>
      <c r="Q24" s="57">
        <v>0</v>
      </c>
      <c r="R24" s="58">
        <v>0</v>
      </c>
      <c r="S24" s="59">
        <v>0</v>
      </c>
      <c r="T24" s="184">
        <v>0</v>
      </c>
      <c r="U24" s="57">
        <v>0</v>
      </c>
      <c r="V24" s="57">
        <v>0</v>
      </c>
      <c r="W24" s="58">
        <v>0</v>
      </c>
      <c r="X24" s="59">
        <v>0</v>
      </c>
    </row>
    <row r="25" spans="1:24" s="34" customFormat="1" x14ac:dyDescent="0.15">
      <c r="A25" s="73" t="s">
        <v>22</v>
      </c>
      <c r="B25" s="80" t="s">
        <v>68</v>
      </c>
      <c r="C25" s="80"/>
      <c r="D25" s="50" t="s">
        <v>25</v>
      </c>
      <c r="E25" s="56">
        <f t="shared" si="6"/>
        <v>0</v>
      </c>
      <c r="F25" s="57">
        <f t="shared" si="6"/>
        <v>147860</v>
      </c>
      <c r="G25" s="57">
        <f t="shared" si="6"/>
        <v>147860</v>
      </c>
      <c r="H25" s="58">
        <f t="shared" si="0"/>
        <v>100</v>
      </c>
      <c r="I25" s="59">
        <f t="shared" si="6"/>
        <v>28510</v>
      </c>
      <c r="J25" s="271">
        <v>0</v>
      </c>
      <c r="K25" s="75">
        <v>147860</v>
      </c>
      <c r="L25" s="75">
        <v>147860</v>
      </c>
      <c r="M25" s="58">
        <f t="shared" si="2"/>
        <v>100</v>
      </c>
      <c r="N25" s="246">
        <v>28510</v>
      </c>
      <c r="O25" s="185">
        <v>0</v>
      </c>
      <c r="P25" s="75">
        <v>0</v>
      </c>
      <c r="Q25" s="75">
        <v>0</v>
      </c>
      <c r="R25" s="58">
        <v>0</v>
      </c>
      <c r="S25" s="248">
        <v>0</v>
      </c>
      <c r="T25" s="185">
        <v>0</v>
      </c>
      <c r="U25" s="75">
        <v>0</v>
      </c>
      <c r="V25" s="75">
        <v>0</v>
      </c>
      <c r="W25" s="58">
        <v>0</v>
      </c>
      <c r="X25" s="248">
        <v>0</v>
      </c>
    </row>
    <row r="26" spans="1:24" s="38" customFormat="1" x14ac:dyDescent="0.15">
      <c r="A26" s="55" t="s">
        <v>23</v>
      </c>
      <c r="B26" s="1233" t="s">
        <v>69</v>
      </c>
      <c r="C26" s="1233"/>
      <c r="D26" s="50" t="s">
        <v>25</v>
      </c>
      <c r="E26" s="56">
        <f t="shared" si="6"/>
        <v>1052105</v>
      </c>
      <c r="F26" s="57">
        <f t="shared" si="6"/>
        <v>1034205</v>
      </c>
      <c r="G26" s="57">
        <f t="shared" si="6"/>
        <v>1034047</v>
      </c>
      <c r="H26" s="58">
        <f t="shared" si="0"/>
        <v>99.98472256467528</v>
      </c>
      <c r="I26" s="59">
        <f t="shared" si="6"/>
        <v>1123166</v>
      </c>
      <c r="J26" s="271">
        <v>1052105</v>
      </c>
      <c r="K26" s="82">
        <v>1034205</v>
      </c>
      <c r="L26" s="82">
        <v>1034047</v>
      </c>
      <c r="M26" s="58">
        <f t="shared" si="2"/>
        <v>99.98472256467528</v>
      </c>
      <c r="N26" s="59">
        <v>1123166</v>
      </c>
      <c r="O26" s="183">
        <v>0</v>
      </c>
      <c r="P26" s="82">
        <v>0</v>
      </c>
      <c r="Q26" s="82">
        <v>0</v>
      </c>
      <c r="R26" s="58">
        <v>0</v>
      </c>
      <c r="S26" s="246">
        <v>0</v>
      </c>
      <c r="T26" s="183">
        <v>32387</v>
      </c>
      <c r="U26" s="82">
        <v>32387</v>
      </c>
      <c r="V26" s="82">
        <v>30969</v>
      </c>
      <c r="W26" s="58">
        <f t="shared" si="4"/>
        <v>95.621700064840837</v>
      </c>
      <c r="X26" s="246">
        <v>62133</v>
      </c>
    </row>
    <row r="27" spans="1:24" s="39" customFormat="1" x14ac:dyDescent="0.15">
      <c r="A27" s="55" t="s">
        <v>45</v>
      </c>
      <c r="B27" s="76" t="s">
        <v>70</v>
      </c>
      <c r="C27" s="76"/>
      <c r="D27" s="50" t="s">
        <v>25</v>
      </c>
      <c r="E27" s="56">
        <f t="shared" si="6"/>
        <v>0</v>
      </c>
      <c r="F27" s="57">
        <f t="shared" si="6"/>
        <v>0</v>
      </c>
      <c r="G27" s="57">
        <f t="shared" si="6"/>
        <v>0</v>
      </c>
      <c r="H27" s="58">
        <v>0</v>
      </c>
      <c r="I27" s="59">
        <f t="shared" si="6"/>
        <v>0</v>
      </c>
      <c r="J27" s="271">
        <v>0</v>
      </c>
      <c r="K27" s="82"/>
      <c r="L27" s="82">
        <v>0</v>
      </c>
      <c r="M27" s="58">
        <v>0</v>
      </c>
      <c r="N27" s="246">
        <v>0</v>
      </c>
      <c r="O27" s="183">
        <v>0</v>
      </c>
      <c r="P27" s="82">
        <v>0</v>
      </c>
      <c r="Q27" s="82">
        <v>0</v>
      </c>
      <c r="R27" s="58">
        <v>0</v>
      </c>
      <c r="S27" s="246">
        <v>0</v>
      </c>
      <c r="T27" s="183">
        <v>0</v>
      </c>
      <c r="U27" s="82">
        <v>0</v>
      </c>
      <c r="V27" s="82">
        <v>0</v>
      </c>
      <c r="W27" s="58">
        <v>0</v>
      </c>
      <c r="X27" s="246">
        <v>0</v>
      </c>
    </row>
    <row r="28" spans="1:24" s="39" customFormat="1" x14ac:dyDescent="0.15">
      <c r="A28" s="55" t="s">
        <v>51</v>
      </c>
      <c r="B28" s="76" t="s">
        <v>74</v>
      </c>
      <c r="C28" s="76"/>
      <c r="D28" s="50" t="s">
        <v>25</v>
      </c>
      <c r="E28" s="56">
        <f t="shared" si="6"/>
        <v>107606.96</v>
      </c>
      <c r="F28" s="57">
        <f t="shared" si="6"/>
        <v>695293.59000000008</v>
      </c>
      <c r="G28" s="57">
        <f t="shared" si="6"/>
        <v>695225.66</v>
      </c>
      <c r="H28" s="58">
        <f t="shared" si="0"/>
        <v>99.990230026426673</v>
      </c>
      <c r="I28" s="59">
        <f>SUM(N28,S28)</f>
        <v>165773</v>
      </c>
      <c r="J28" s="271">
        <v>0</v>
      </c>
      <c r="K28" s="82">
        <v>354811.59</v>
      </c>
      <c r="L28" s="82">
        <v>354743.84</v>
      </c>
      <c r="M28" s="58">
        <f t="shared" si="2"/>
        <v>99.980905358813104</v>
      </c>
      <c r="N28" s="246">
        <v>102504</v>
      </c>
      <c r="O28" s="183">
        <v>107606.96</v>
      </c>
      <c r="P28" s="82">
        <v>340482</v>
      </c>
      <c r="Q28" s="82">
        <v>340481.82</v>
      </c>
      <c r="R28" s="58">
        <f t="shared" si="3"/>
        <v>99.999947133769183</v>
      </c>
      <c r="S28" s="246">
        <v>63269</v>
      </c>
      <c r="T28" s="183">
        <v>0</v>
      </c>
      <c r="U28" s="82">
        <v>0</v>
      </c>
      <c r="V28" s="82">
        <v>0</v>
      </c>
      <c r="W28" s="58">
        <v>0</v>
      </c>
      <c r="X28" s="246">
        <v>13790</v>
      </c>
    </row>
    <row r="29" spans="1:24" s="38" customFormat="1" x14ac:dyDescent="0.15">
      <c r="A29" s="55" t="s">
        <v>52</v>
      </c>
      <c r="B29" s="1233" t="s">
        <v>67</v>
      </c>
      <c r="C29" s="1233"/>
      <c r="D29" s="50" t="s">
        <v>25</v>
      </c>
      <c r="E29" s="56">
        <f t="shared" ref="E29:G31" si="7">SUM(J29,O29)</f>
        <v>1000</v>
      </c>
      <c r="F29" s="57">
        <f t="shared" si="7"/>
        <v>1000</v>
      </c>
      <c r="G29" s="57">
        <f t="shared" si="7"/>
        <v>907</v>
      </c>
      <c r="H29" s="58">
        <f t="shared" si="0"/>
        <v>90.7</v>
      </c>
      <c r="I29" s="59">
        <f>SUM(N29,S29)</f>
        <v>862</v>
      </c>
      <c r="J29" s="271">
        <v>1000</v>
      </c>
      <c r="K29" s="82">
        <v>1000</v>
      </c>
      <c r="L29" s="82">
        <v>907</v>
      </c>
      <c r="M29" s="58">
        <f t="shared" si="2"/>
        <v>90.7</v>
      </c>
      <c r="N29" s="246">
        <v>862</v>
      </c>
      <c r="O29" s="183">
        <v>0</v>
      </c>
      <c r="P29" s="82">
        <v>0</v>
      </c>
      <c r="Q29" s="82">
        <v>0</v>
      </c>
      <c r="R29" s="58">
        <v>0</v>
      </c>
      <c r="S29" s="246">
        <v>0</v>
      </c>
      <c r="T29" s="183">
        <v>0</v>
      </c>
      <c r="U29" s="82">
        <v>0</v>
      </c>
      <c r="V29" s="82">
        <v>0</v>
      </c>
      <c r="W29" s="58">
        <v>0</v>
      </c>
      <c r="X29" s="246">
        <v>0</v>
      </c>
    </row>
    <row r="30" spans="1:24" s="34" customFormat="1" x14ac:dyDescent="0.15">
      <c r="A30" s="55" t="s">
        <v>54</v>
      </c>
      <c r="B30" s="76" t="s">
        <v>53</v>
      </c>
      <c r="C30" s="76"/>
      <c r="D30" s="50" t="s">
        <v>25</v>
      </c>
      <c r="E30" s="56">
        <f t="shared" si="7"/>
        <v>0</v>
      </c>
      <c r="F30" s="57">
        <f t="shared" si="7"/>
        <v>0</v>
      </c>
      <c r="G30" s="57">
        <f t="shared" si="7"/>
        <v>0</v>
      </c>
      <c r="H30" s="58">
        <v>0</v>
      </c>
      <c r="I30" s="59">
        <f>SUM(N30,S30)</f>
        <v>0</v>
      </c>
      <c r="J30" s="271">
        <v>0</v>
      </c>
      <c r="K30" s="82"/>
      <c r="L30" s="82"/>
      <c r="M30" s="58">
        <v>0</v>
      </c>
      <c r="N30" s="246">
        <v>0</v>
      </c>
      <c r="O30" s="183">
        <v>0</v>
      </c>
      <c r="P30" s="82">
        <v>0</v>
      </c>
      <c r="Q30" s="82">
        <v>0</v>
      </c>
      <c r="R30" s="58">
        <v>0</v>
      </c>
      <c r="S30" s="246">
        <v>0</v>
      </c>
      <c r="T30" s="183">
        <v>0</v>
      </c>
      <c r="U30" s="82">
        <v>0</v>
      </c>
      <c r="V30" s="82">
        <v>0</v>
      </c>
      <c r="W30" s="58">
        <v>0</v>
      </c>
      <c r="X30" s="246">
        <v>0</v>
      </c>
    </row>
    <row r="31" spans="1:24" s="5" customFormat="1" ht="8.4" x14ac:dyDescent="0.2">
      <c r="A31" s="55" t="s">
        <v>55</v>
      </c>
      <c r="B31" s="66" t="s">
        <v>71</v>
      </c>
      <c r="C31" s="66"/>
      <c r="D31" s="50" t="s">
        <v>25</v>
      </c>
      <c r="E31" s="56">
        <f t="shared" si="7"/>
        <v>0</v>
      </c>
      <c r="F31" s="57">
        <f t="shared" si="7"/>
        <v>0</v>
      </c>
      <c r="G31" s="57">
        <f t="shared" si="7"/>
        <v>0</v>
      </c>
      <c r="H31" s="58">
        <v>0</v>
      </c>
      <c r="I31" s="59">
        <f>SUM(N31,S31)</f>
        <v>0</v>
      </c>
      <c r="J31" s="271">
        <v>0</v>
      </c>
      <c r="K31" s="84"/>
      <c r="L31" s="84"/>
      <c r="M31" s="58">
        <v>0</v>
      </c>
      <c r="N31" s="254">
        <v>0</v>
      </c>
      <c r="O31" s="189">
        <v>0</v>
      </c>
      <c r="P31" s="84">
        <v>0</v>
      </c>
      <c r="Q31" s="84">
        <v>0</v>
      </c>
      <c r="R31" s="58">
        <v>0</v>
      </c>
      <c r="S31" s="254">
        <v>0</v>
      </c>
      <c r="T31" s="191">
        <v>0</v>
      </c>
      <c r="U31" s="31">
        <v>0</v>
      </c>
      <c r="V31" s="31">
        <v>0</v>
      </c>
      <c r="W31" s="58">
        <v>0</v>
      </c>
      <c r="X31" s="257">
        <v>0</v>
      </c>
    </row>
    <row r="32" spans="1:24" s="5" customFormat="1" x14ac:dyDescent="0.15">
      <c r="A32" s="73" t="s">
        <v>56</v>
      </c>
      <c r="B32" s="80" t="s">
        <v>72</v>
      </c>
      <c r="C32" s="80"/>
      <c r="D32" s="50" t="s">
        <v>25</v>
      </c>
      <c r="E32" s="56">
        <f>SUM(J32,O32)</f>
        <v>0</v>
      </c>
      <c r="F32" s="57">
        <f>SUM(K32,P32)</f>
        <v>0</v>
      </c>
      <c r="G32" s="57">
        <f>SUM(L32,Q32)</f>
        <v>0</v>
      </c>
      <c r="H32" s="58">
        <v>0</v>
      </c>
      <c r="I32" s="59">
        <f>SUM(N32,S32)</f>
        <v>0</v>
      </c>
      <c r="J32" s="274">
        <v>0</v>
      </c>
      <c r="K32" s="31"/>
      <c r="L32" s="31"/>
      <c r="M32" s="58">
        <v>0</v>
      </c>
      <c r="N32" s="257">
        <v>0</v>
      </c>
      <c r="O32" s="191">
        <v>0</v>
      </c>
      <c r="P32" s="31">
        <v>0</v>
      </c>
      <c r="Q32" s="31">
        <v>0</v>
      </c>
      <c r="R32" s="58">
        <v>0</v>
      </c>
      <c r="S32" s="257">
        <v>0</v>
      </c>
      <c r="T32" s="191">
        <v>0</v>
      </c>
      <c r="U32" s="31">
        <v>0</v>
      </c>
      <c r="V32" s="31">
        <v>0</v>
      </c>
      <c r="W32" s="58">
        <v>0</v>
      </c>
      <c r="X32" s="257">
        <v>0</v>
      </c>
    </row>
    <row r="33" spans="1:25" s="5" customFormat="1" x14ac:dyDescent="0.15">
      <c r="A33" s="49" t="s">
        <v>57</v>
      </c>
      <c r="B33" s="88" t="s">
        <v>58</v>
      </c>
      <c r="C33" s="88"/>
      <c r="D33" s="50" t="s">
        <v>25</v>
      </c>
      <c r="E33" s="51">
        <f>E6-E11</f>
        <v>0</v>
      </c>
      <c r="F33" s="52">
        <f t="shared" ref="F33:G33" si="8">F6-F11</f>
        <v>-6.0000002384185791E-2</v>
      </c>
      <c r="G33" s="52">
        <f t="shared" si="8"/>
        <v>49991.29999999702</v>
      </c>
      <c r="H33" s="89">
        <f t="shared" si="0"/>
        <v>-83318830.022535518</v>
      </c>
      <c r="I33" s="53">
        <f t="shared" ref="I33:L33" si="9">I6-I11</f>
        <v>189254</v>
      </c>
      <c r="J33" s="51">
        <f t="shared" si="9"/>
        <v>0</v>
      </c>
      <c r="K33" s="52">
        <f t="shared" si="9"/>
        <v>0</v>
      </c>
      <c r="L33" s="52">
        <f t="shared" si="9"/>
        <v>49991.299999998882</v>
      </c>
      <c r="M33" s="4" t="e">
        <f t="shared" si="2"/>
        <v>#DIV/0!</v>
      </c>
      <c r="N33" s="53">
        <f t="shared" ref="N33:Q33" si="10">N6-N11</f>
        <v>189254</v>
      </c>
      <c r="O33" s="51">
        <f t="shared" si="10"/>
        <v>0</v>
      </c>
      <c r="P33" s="52">
        <f t="shared" si="10"/>
        <v>-6.0000002384185791E-2</v>
      </c>
      <c r="Q33" s="52">
        <f t="shared" si="10"/>
        <v>0</v>
      </c>
      <c r="R33" s="4">
        <f t="shared" si="3"/>
        <v>0</v>
      </c>
      <c r="S33" s="53">
        <f t="shared" ref="S33:V33" si="11">S6-S11</f>
        <v>0</v>
      </c>
      <c r="T33" s="51">
        <f t="shared" si="11"/>
        <v>112307</v>
      </c>
      <c r="U33" s="52">
        <f t="shared" si="11"/>
        <v>112307</v>
      </c>
      <c r="V33" s="52">
        <f t="shared" si="11"/>
        <v>103411.69999999995</v>
      </c>
      <c r="W33" s="58">
        <f t="shared" si="4"/>
        <v>92.079478572128153</v>
      </c>
      <c r="X33" s="53">
        <f>X6-X11</f>
        <v>73129</v>
      </c>
    </row>
    <row r="34" spans="1:25" s="6" customFormat="1" x14ac:dyDescent="0.15">
      <c r="A34" s="90" t="s">
        <v>59</v>
      </c>
      <c r="B34" s="1239" t="s">
        <v>24</v>
      </c>
      <c r="C34" s="1239"/>
      <c r="D34" s="91" t="s">
        <v>25</v>
      </c>
      <c r="E34" s="56">
        <f>SUM(J34,O34)</f>
        <v>31084</v>
      </c>
      <c r="F34" s="56">
        <f>SUM(K34,P34)</f>
        <v>32454</v>
      </c>
      <c r="G34" s="57">
        <f t="shared" ref="G34:G36" si="12">SUM(L34,Q34)</f>
        <v>32454</v>
      </c>
      <c r="H34" s="81">
        <f t="shared" si="0"/>
        <v>100</v>
      </c>
      <c r="I34" s="59">
        <f>SUM(N34,S34)</f>
        <v>28469</v>
      </c>
      <c r="J34" s="258"/>
      <c r="K34" s="96"/>
      <c r="L34" s="96"/>
      <c r="M34" s="58" t="e">
        <f t="shared" si="2"/>
        <v>#DIV/0!</v>
      </c>
      <c r="N34" s="259"/>
      <c r="O34" s="258">
        <v>31084</v>
      </c>
      <c r="P34" s="96">
        <v>32454</v>
      </c>
      <c r="Q34" s="96">
        <v>32454</v>
      </c>
      <c r="R34" s="58">
        <f t="shared" si="3"/>
        <v>100</v>
      </c>
      <c r="S34" s="259">
        <v>28469</v>
      </c>
      <c r="T34" s="258"/>
      <c r="U34" s="96"/>
      <c r="V34" s="96"/>
      <c r="W34" s="58" t="e">
        <f t="shared" si="4"/>
        <v>#DIV/0!</v>
      </c>
      <c r="X34" s="259"/>
    </row>
    <row r="35" spans="1:25" s="6" customFormat="1" x14ac:dyDescent="0.15">
      <c r="A35" s="99" t="s">
        <v>60</v>
      </c>
      <c r="B35" s="1240" t="s">
        <v>33</v>
      </c>
      <c r="C35" s="1240"/>
      <c r="D35" s="100" t="s">
        <v>26</v>
      </c>
      <c r="E35" s="56">
        <f t="shared" ref="E35:F36" si="13">SUM(J35,O35)</f>
        <v>60</v>
      </c>
      <c r="F35" s="56">
        <f t="shared" si="13"/>
        <v>64.59</v>
      </c>
      <c r="G35" s="57">
        <f t="shared" si="12"/>
        <v>64.59</v>
      </c>
      <c r="H35" s="81">
        <f t="shared" si="0"/>
        <v>100</v>
      </c>
      <c r="I35" s="59">
        <f t="shared" ref="I35:I36" si="14">SUM(N35,S35)</f>
        <v>64</v>
      </c>
      <c r="J35" s="258"/>
      <c r="K35" s="96"/>
      <c r="L35" s="96"/>
      <c r="M35" s="58" t="e">
        <f t="shared" si="2"/>
        <v>#DIV/0!</v>
      </c>
      <c r="N35" s="259"/>
      <c r="O35" s="258">
        <v>60</v>
      </c>
      <c r="P35" s="96">
        <v>64.59</v>
      </c>
      <c r="Q35" s="96">
        <v>64.59</v>
      </c>
      <c r="R35" s="58">
        <f t="shared" si="3"/>
        <v>100</v>
      </c>
      <c r="S35" s="259">
        <v>64</v>
      </c>
      <c r="T35" s="258"/>
      <c r="U35" s="96"/>
      <c r="V35" s="96"/>
      <c r="W35" s="58" t="e">
        <f t="shared" si="4"/>
        <v>#DIV/0!</v>
      </c>
      <c r="X35" s="259"/>
    </row>
    <row r="36" spans="1:25" s="6" customFormat="1" ht="8.4" thickBot="1" x14ac:dyDescent="0.2">
      <c r="A36" s="103" t="s">
        <v>61</v>
      </c>
      <c r="B36" s="1241" t="s">
        <v>27</v>
      </c>
      <c r="C36" s="1241"/>
      <c r="D36" s="104" t="s">
        <v>26</v>
      </c>
      <c r="E36" s="56">
        <f t="shared" si="13"/>
        <v>63.43</v>
      </c>
      <c r="F36" s="56">
        <f t="shared" si="13"/>
        <v>69</v>
      </c>
      <c r="G36" s="57">
        <f t="shared" si="12"/>
        <v>69</v>
      </c>
      <c r="H36" s="107">
        <f t="shared" si="0"/>
        <v>100</v>
      </c>
      <c r="I36" s="59">
        <f t="shared" si="14"/>
        <v>69</v>
      </c>
      <c r="J36" s="264"/>
      <c r="K36" s="110"/>
      <c r="L36" s="110"/>
      <c r="M36" s="111" t="e">
        <f t="shared" si="2"/>
        <v>#DIV/0!</v>
      </c>
      <c r="N36" s="265"/>
      <c r="O36" s="264">
        <v>63.43</v>
      </c>
      <c r="P36" s="110">
        <v>69</v>
      </c>
      <c r="Q36" s="110">
        <v>69</v>
      </c>
      <c r="R36" s="111">
        <f t="shared" si="3"/>
        <v>100</v>
      </c>
      <c r="S36" s="265">
        <v>69</v>
      </c>
      <c r="T36" s="264"/>
      <c r="U36" s="110"/>
      <c r="V36" s="110"/>
      <c r="W36" s="111" t="e">
        <f t="shared" si="4"/>
        <v>#DIV/0!</v>
      </c>
      <c r="X36" s="265"/>
    </row>
    <row r="38" spans="1:25" x14ac:dyDescent="0.15">
      <c r="L38" s="1403" t="s">
        <v>236</v>
      </c>
      <c r="M38" s="1403"/>
      <c r="N38" s="1403"/>
      <c r="U38" t="s">
        <v>237</v>
      </c>
      <c r="V38" s="276"/>
      <c r="W38" s="276"/>
      <c r="X38" s="276"/>
      <c r="Y38" s="276"/>
    </row>
  </sheetData>
  <mergeCells count="40">
    <mergeCell ref="A1:X1"/>
    <mergeCell ref="A3:A5"/>
    <mergeCell ref="B3:C5"/>
    <mergeCell ref="D3:D5"/>
    <mergeCell ref="E3:I3"/>
    <mergeCell ref="J3:N3"/>
    <mergeCell ref="O3:S3"/>
    <mergeCell ref="T3:X3"/>
    <mergeCell ref="E4:E5"/>
    <mergeCell ref="F4:H4"/>
    <mergeCell ref="I4:I5"/>
    <mergeCell ref="J4:J5"/>
    <mergeCell ref="X4:X5"/>
    <mergeCell ref="S4:S5"/>
    <mergeCell ref="T4:T5"/>
    <mergeCell ref="U4:W4"/>
    <mergeCell ref="B6:C6"/>
    <mergeCell ref="O4:O5"/>
    <mergeCell ref="P4:R4"/>
    <mergeCell ref="B12:C12"/>
    <mergeCell ref="K4:M4"/>
    <mergeCell ref="N4:N5"/>
    <mergeCell ref="B8:C8"/>
    <mergeCell ref="B10:C10"/>
    <mergeCell ref="B11:C11"/>
    <mergeCell ref="B7:C7"/>
    <mergeCell ref="B13:C13"/>
    <mergeCell ref="L38:N38"/>
    <mergeCell ref="B16:C16"/>
    <mergeCell ref="B18:C18"/>
    <mergeCell ref="B19:C19"/>
    <mergeCell ref="B20:C20"/>
    <mergeCell ref="B21:C21"/>
    <mergeCell ref="B22:C22"/>
    <mergeCell ref="B26:C26"/>
    <mergeCell ref="B29:C29"/>
    <mergeCell ref="B34:C34"/>
    <mergeCell ref="B35:C35"/>
    <mergeCell ref="B36:C36"/>
    <mergeCell ref="B15:C15"/>
  </mergeCells>
  <pageMargins left="0.23622047244094491" right="0.23622047244094491" top="0.74803149606299213" bottom="0.74803149606299213" header="0.31496062992125984" footer="0.31496062992125984"/>
  <pageSetup paperSize="9" scale="99" firstPageNumber="151" orientation="landscape"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7"/>
  <sheetViews>
    <sheetView topLeftCell="A121" workbookViewId="0">
      <selection activeCell="I137" sqref="A1:I137"/>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7" width="22.3984375" style="44" customWidth="1"/>
    <col min="8" max="16384" width="16.3984375" style="44"/>
  </cols>
  <sheetData>
    <row r="1" spans="1:9" s="961" customFormat="1" ht="17.399999999999999" x14ac:dyDescent="0.3">
      <c r="A1" s="961" t="s">
        <v>75</v>
      </c>
      <c r="B1" s="1350" t="s">
        <v>235</v>
      </c>
      <c r="C1" s="1350"/>
      <c r="D1" s="1350"/>
      <c r="E1" s="1350"/>
      <c r="F1" s="1350"/>
      <c r="G1" s="1350"/>
      <c r="H1" s="1350"/>
      <c r="I1" s="1350"/>
    </row>
    <row r="3" spans="1:9" s="7" customFormat="1" ht="10.199999999999999" x14ac:dyDescent="0.2">
      <c r="A3" s="1404" t="s">
        <v>102</v>
      </c>
      <c r="B3" s="1405"/>
      <c r="C3" s="1405"/>
      <c r="D3" s="1405"/>
      <c r="E3" s="1405"/>
      <c r="F3" s="1405"/>
      <c r="G3" s="1405"/>
      <c r="H3" s="1405"/>
      <c r="I3" s="1406"/>
    </row>
    <row r="4" spans="1:9" s="8" customFormat="1" ht="10.199999999999999" x14ac:dyDescent="0.2">
      <c r="A4" s="979"/>
      <c r="B4" s="117"/>
      <c r="C4" s="117"/>
      <c r="D4" s="117"/>
      <c r="E4" s="117"/>
      <c r="F4" s="117"/>
      <c r="G4" s="117"/>
      <c r="H4" s="117"/>
      <c r="I4" s="810"/>
    </row>
    <row r="5" spans="1:9" s="9" customFormat="1" ht="7.8" x14ac:dyDescent="0.15">
      <c r="A5" s="1256" t="s">
        <v>76</v>
      </c>
      <c r="B5" s="1256"/>
      <c r="C5" s="956" t="s">
        <v>25</v>
      </c>
      <c r="D5" s="1256" t="s">
        <v>103</v>
      </c>
      <c r="E5" s="1256"/>
      <c r="F5" s="1256"/>
      <c r="G5" s="1256"/>
      <c r="H5" s="1256"/>
      <c r="I5" s="1256"/>
    </row>
    <row r="6" spans="1:9" s="8" customFormat="1" ht="15" customHeight="1" x14ac:dyDescent="0.2">
      <c r="A6" s="1267" t="s">
        <v>104</v>
      </c>
      <c r="B6" s="1267"/>
      <c r="C6" s="113">
        <f>SUM(C7:C9)</f>
        <v>153403</v>
      </c>
      <c r="D6" s="1262"/>
      <c r="E6" s="1263"/>
      <c r="F6" s="1263"/>
      <c r="G6" s="1263"/>
      <c r="H6" s="1263"/>
      <c r="I6" s="1407"/>
    </row>
    <row r="7" spans="1:9" s="8" customFormat="1" ht="29.25" customHeight="1" x14ac:dyDescent="0.2">
      <c r="A7" s="1411" t="s">
        <v>77</v>
      </c>
      <c r="B7" s="1258"/>
      <c r="C7" s="114">
        <v>49991.3</v>
      </c>
      <c r="D7" s="1261" t="s">
        <v>1136</v>
      </c>
      <c r="E7" s="1261"/>
      <c r="F7" s="1261"/>
      <c r="G7" s="1261"/>
      <c r="H7" s="1261"/>
      <c r="I7" s="1412"/>
    </row>
    <row r="8" spans="1:9" s="7" customFormat="1" ht="29.25" customHeight="1" x14ac:dyDescent="0.2">
      <c r="A8" s="1413" t="s">
        <v>78</v>
      </c>
      <c r="B8" s="1260"/>
      <c r="C8" s="115">
        <v>103411.7</v>
      </c>
      <c r="D8" s="1261" t="s">
        <v>1137</v>
      </c>
      <c r="E8" s="1261"/>
      <c r="F8" s="1261"/>
      <c r="G8" s="1261"/>
      <c r="H8" s="1261"/>
      <c r="I8" s="1412"/>
    </row>
    <row r="9" spans="1:9" s="7" customFormat="1" ht="15" customHeight="1" x14ac:dyDescent="0.2">
      <c r="A9" s="1414" t="s">
        <v>79</v>
      </c>
      <c r="B9" s="1415"/>
      <c r="C9" s="980"/>
      <c r="D9" s="1416"/>
      <c r="E9" s="1417"/>
      <c r="F9" s="1417"/>
      <c r="G9" s="1417"/>
      <c r="H9" s="1417"/>
      <c r="I9" s="1418"/>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956" t="s">
        <v>76</v>
      </c>
      <c r="B13" s="956" t="s">
        <v>80</v>
      </c>
      <c r="C13" s="956" t="s">
        <v>25</v>
      </c>
      <c r="D13" s="119"/>
      <c r="E13" s="119"/>
      <c r="F13" s="119"/>
      <c r="G13" s="119"/>
      <c r="H13" s="119"/>
      <c r="I13" s="119"/>
    </row>
    <row r="14" spans="1:9" s="8" customFormat="1" ht="15" customHeight="1" x14ac:dyDescent="0.2">
      <c r="A14" s="981" t="s">
        <v>81</v>
      </c>
      <c r="B14" s="13"/>
      <c r="C14" s="982"/>
      <c r="D14" s="122"/>
      <c r="E14" s="122"/>
      <c r="F14" s="122"/>
      <c r="G14" s="122"/>
      <c r="H14" s="122"/>
      <c r="I14" s="122"/>
    </row>
    <row r="15" spans="1:9" s="8" customFormat="1" ht="15" customHeight="1" x14ac:dyDescent="0.2">
      <c r="A15" s="1408" t="s">
        <v>82</v>
      </c>
      <c r="B15" s="123" t="s">
        <v>98</v>
      </c>
      <c r="C15" s="983">
        <v>0</v>
      </c>
      <c r="D15" s="122"/>
      <c r="E15" s="122"/>
      <c r="F15" s="122"/>
      <c r="G15" s="122"/>
      <c r="H15" s="122"/>
      <c r="I15" s="122"/>
    </row>
    <row r="16" spans="1:9" s="8" customFormat="1" ht="15" customHeight="1" x14ac:dyDescent="0.2">
      <c r="A16" s="1409"/>
      <c r="B16" s="14" t="s">
        <v>83</v>
      </c>
      <c r="C16" s="984">
        <v>143403</v>
      </c>
      <c r="D16" s="127"/>
      <c r="E16" s="127"/>
      <c r="F16" s="127"/>
      <c r="G16" s="127"/>
      <c r="H16" s="127"/>
      <c r="I16" s="127"/>
    </row>
    <row r="17" spans="1:9" s="8" customFormat="1" ht="15" customHeight="1" x14ac:dyDescent="0.2">
      <c r="A17" s="1410"/>
      <c r="B17" s="15" t="s">
        <v>84</v>
      </c>
      <c r="C17" s="985">
        <v>10000</v>
      </c>
      <c r="D17" s="130"/>
      <c r="E17" s="130"/>
      <c r="F17" s="130"/>
      <c r="G17" s="130"/>
      <c r="H17" s="130"/>
      <c r="I17" s="130"/>
    </row>
    <row r="18" spans="1:9" s="8" customFormat="1" ht="15" customHeight="1" x14ac:dyDescent="0.2">
      <c r="A18" s="959" t="s">
        <v>104</v>
      </c>
      <c r="B18" s="16"/>
      <c r="C18" s="131">
        <f>SUM(C14:C17)</f>
        <v>153403</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956" t="s">
        <v>80</v>
      </c>
      <c r="B22" s="956" t="s">
        <v>109</v>
      </c>
      <c r="C22" s="960" t="s">
        <v>110</v>
      </c>
      <c r="D22" s="956" t="s">
        <v>111</v>
      </c>
      <c r="E22" s="956" t="s">
        <v>112</v>
      </c>
      <c r="F22" s="1256" t="s">
        <v>113</v>
      </c>
      <c r="G22" s="1256"/>
      <c r="H22" s="1256"/>
      <c r="I22" s="1256"/>
    </row>
    <row r="23" spans="1:9" s="8" customFormat="1" ht="69.75" customHeight="1" x14ac:dyDescent="0.2">
      <c r="A23" s="986" t="s">
        <v>85</v>
      </c>
      <c r="B23" s="139">
        <v>694994.69</v>
      </c>
      <c r="C23" s="139">
        <v>2118656.54</v>
      </c>
      <c r="D23" s="139">
        <v>724711.14</v>
      </c>
      <c r="E23" s="139">
        <f>B23+C23-D23</f>
        <v>2088940.0899999999</v>
      </c>
      <c r="F23" s="1253" t="s">
        <v>1138</v>
      </c>
      <c r="G23" s="1254"/>
      <c r="H23" s="1254"/>
      <c r="I23" s="1329"/>
    </row>
    <row r="24" spans="1:9" s="8" customFormat="1" ht="45" customHeight="1" x14ac:dyDescent="0.2">
      <c r="A24" s="987" t="s">
        <v>86</v>
      </c>
      <c r="B24" s="140">
        <v>355413.05</v>
      </c>
      <c r="C24" s="140">
        <v>1131071</v>
      </c>
      <c r="D24" s="140">
        <v>1121138</v>
      </c>
      <c r="E24" s="140">
        <f t="shared" ref="E24:E26" si="0">B24+C24-D24</f>
        <v>365346.05000000005</v>
      </c>
      <c r="F24" s="1242" t="s">
        <v>1139</v>
      </c>
      <c r="G24" s="1243"/>
      <c r="H24" s="1243"/>
      <c r="I24" s="1330"/>
    </row>
    <row r="25" spans="1:9" s="8" customFormat="1" ht="24" customHeight="1" x14ac:dyDescent="0.2">
      <c r="A25" s="987" t="s">
        <v>84</v>
      </c>
      <c r="B25" s="140">
        <v>54500.78</v>
      </c>
      <c r="C25" s="140">
        <v>10000</v>
      </c>
      <c r="D25" s="140">
        <v>7300</v>
      </c>
      <c r="E25" s="140">
        <f t="shared" si="0"/>
        <v>57200.78</v>
      </c>
      <c r="F25" s="1242" t="s">
        <v>1140</v>
      </c>
      <c r="G25" s="1243"/>
      <c r="H25" s="1243"/>
      <c r="I25" s="1330"/>
    </row>
    <row r="26" spans="1:9" s="8" customFormat="1" ht="25.5" customHeight="1" x14ac:dyDescent="0.2">
      <c r="A26" s="988" t="s">
        <v>87</v>
      </c>
      <c r="B26" s="141">
        <v>475676.07</v>
      </c>
      <c r="C26" s="141">
        <v>508850.24</v>
      </c>
      <c r="D26" s="141">
        <v>383111.31</v>
      </c>
      <c r="E26" s="140">
        <f t="shared" si="0"/>
        <v>601415</v>
      </c>
      <c r="F26" s="1245" t="s">
        <v>1141</v>
      </c>
      <c r="G26" s="1246"/>
      <c r="H26" s="1246"/>
      <c r="I26" s="1325"/>
    </row>
    <row r="27" spans="1:9" s="7" customFormat="1" ht="10.199999999999999" x14ac:dyDescent="0.2">
      <c r="A27" s="10" t="s">
        <v>34</v>
      </c>
      <c r="B27" s="113">
        <f>SUM(B23:B26)</f>
        <v>1580584.59</v>
      </c>
      <c r="C27" s="113">
        <f t="shared" ref="C27:E27" si="1">SUM(C23:C26)</f>
        <v>3768577.7800000003</v>
      </c>
      <c r="D27" s="113">
        <f t="shared" si="1"/>
        <v>2236260.4500000002</v>
      </c>
      <c r="E27" s="113">
        <f t="shared" si="1"/>
        <v>3112901.9199999995</v>
      </c>
      <c r="F27" s="1268"/>
      <c r="G27" s="1268"/>
      <c r="H27" s="1268"/>
      <c r="I27" s="1268"/>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5" customHeight="1" x14ac:dyDescent="0.2">
      <c r="A30" s="989" t="s">
        <v>1142</v>
      </c>
      <c r="B30" s="990"/>
      <c r="C30" s="991"/>
      <c r="D30" s="1274"/>
      <c r="E30" s="1274"/>
      <c r="F30" s="1274"/>
      <c r="G30" s="1274"/>
      <c r="H30" s="1274"/>
      <c r="I30" s="1275"/>
    </row>
    <row r="31" spans="1:9" s="8" customFormat="1" ht="10.199999999999999" x14ac:dyDescent="0.2">
      <c r="C31" s="116"/>
    </row>
    <row r="32" spans="1:9" s="8" customFormat="1" ht="10.199999999999999" x14ac:dyDescent="0.2">
      <c r="A32" s="1248" t="s">
        <v>119</v>
      </c>
      <c r="B32" s="1248"/>
      <c r="C32" s="1248"/>
      <c r="D32" s="1248"/>
      <c r="E32" s="1248"/>
      <c r="F32" s="1248"/>
      <c r="G32" s="1248"/>
      <c r="H32" s="1248"/>
      <c r="I32" s="1248"/>
    </row>
    <row r="33" spans="1:9" s="8" customFormat="1" ht="15" customHeight="1" x14ac:dyDescent="0.2">
      <c r="A33" s="989" t="s">
        <v>1143</v>
      </c>
      <c r="B33" s="990"/>
      <c r="C33" s="991"/>
      <c r="D33" s="1274"/>
      <c r="E33" s="1274"/>
      <c r="F33" s="1274"/>
      <c r="G33" s="1274"/>
      <c r="H33" s="1274"/>
      <c r="I33" s="1274"/>
    </row>
    <row r="34" spans="1:9" s="8" customFormat="1" ht="10.199999999999999" x14ac:dyDescent="0.2">
      <c r="C34" s="116"/>
    </row>
    <row r="35" spans="1:9" s="8" customFormat="1" ht="10.199999999999999" x14ac:dyDescent="0.2">
      <c r="A35" s="1248" t="s">
        <v>120</v>
      </c>
      <c r="B35" s="1248"/>
      <c r="C35" s="1248"/>
      <c r="D35" s="1248"/>
      <c r="E35" s="1248"/>
      <c r="F35" s="1248"/>
      <c r="G35" s="1248"/>
      <c r="H35" s="1248"/>
      <c r="I35" s="1248"/>
    </row>
    <row r="36" spans="1:9" s="8" customFormat="1" ht="10.199999999999999" x14ac:dyDescent="0.2">
      <c r="C36" s="116"/>
    </row>
    <row r="37" spans="1:9" s="8" customFormat="1" ht="10.199999999999999" x14ac:dyDescent="0.2">
      <c r="A37" s="958" t="s">
        <v>25</v>
      </c>
      <c r="B37" s="957" t="s">
        <v>122</v>
      </c>
      <c r="C37" s="1285" t="s">
        <v>91</v>
      </c>
      <c r="D37" s="1285"/>
      <c r="E37" s="1285"/>
      <c r="F37" s="1285"/>
      <c r="G37" s="1285"/>
      <c r="H37" s="1285"/>
      <c r="I37" s="1285"/>
    </row>
    <row r="38" spans="1:9" s="8" customFormat="1" ht="10.199999999999999" x14ac:dyDescent="0.2">
      <c r="A38" s="992">
        <v>77364</v>
      </c>
      <c r="B38" s="140">
        <v>77364</v>
      </c>
      <c r="C38" s="1287" t="s">
        <v>1144</v>
      </c>
      <c r="D38" s="1287"/>
      <c r="E38" s="1287"/>
      <c r="F38" s="1287"/>
      <c r="G38" s="1287"/>
      <c r="H38" s="1287"/>
      <c r="I38" s="1419"/>
    </row>
    <row r="39" spans="1:9" s="8" customFormat="1" ht="12" customHeight="1" x14ac:dyDescent="0.2">
      <c r="A39" s="992">
        <v>64440</v>
      </c>
      <c r="B39" s="140">
        <v>64440</v>
      </c>
      <c r="C39" s="1311" t="s">
        <v>1145</v>
      </c>
      <c r="D39" s="1312"/>
      <c r="E39" s="1312"/>
      <c r="F39" s="1312"/>
      <c r="G39" s="1312"/>
      <c r="H39" s="1312"/>
      <c r="I39" s="1313"/>
    </row>
    <row r="40" spans="1:9" s="8" customFormat="1" ht="12" customHeight="1" x14ac:dyDescent="0.2">
      <c r="A40" s="992">
        <v>6196</v>
      </c>
      <c r="B40" s="140">
        <v>6196</v>
      </c>
      <c r="C40" s="1287" t="s">
        <v>1146</v>
      </c>
      <c r="D40" s="1287"/>
      <c r="E40" s="1287"/>
      <c r="F40" s="1287"/>
      <c r="G40" s="1287"/>
      <c r="H40" s="1287"/>
      <c r="I40" s="1419"/>
    </row>
    <row r="41" spans="1:9" s="7" customFormat="1" ht="10.199999999999999" x14ac:dyDescent="0.2">
      <c r="A41" s="113">
        <f>A38+A39+A40</f>
        <v>148000</v>
      </c>
      <c r="B41" s="113">
        <f>B38+B40+B39</f>
        <v>148000</v>
      </c>
      <c r="C41" s="1289" t="s">
        <v>34</v>
      </c>
      <c r="D41" s="1289"/>
      <c r="E41" s="1289"/>
      <c r="F41" s="1289"/>
      <c r="G41" s="1289"/>
      <c r="H41" s="1289"/>
      <c r="I41" s="1289"/>
    </row>
    <row r="42" spans="1:9" s="8" customFormat="1" ht="10.199999999999999" x14ac:dyDescent="0.2">
      <c r="C42" s="116"/>
    </row>
    <row r="43" spans="1:9" s="8" customFormat="1" ht="10.199999999999999" x14ac:dyDescent="0.2">
      <c r="A43" s="1248" t="s">
        <v>123</v>
      </c>
      <c r="B43" s="1248"/>
      <c r="C43" s="1248"/>
      <c r="D43" s="1248"/>
      <c r="E43" s="1248"/>
      <c r="F43" s="1248"/>
      <c r="G43" s="1248"/>
      <c r="H43" s="1248"/>
      <c r="I43" s="1248"/>
    </row>
    <row r="44" spans="1:9" s="8" customFormat="1" ht="10.199999999999999" x14ac:dyDescent="0.2">
      <c r="C44" s="116"/>
    </row>
    <row r="45" spans="1:9" s="23" customFormat="1" ht="10.199999999999999" x14ac:dyDescent="0.2">
      <c r="A45" s="1256" t="s">
        <v>92</v>
      </c>
      <c r="B45" s="1256"/>
      <c r="C45" s="960" t="s">
        <v>621</v>
      </c>
      <c r="D45" s="960" t="s">
        <v>93</v>
      </c>
      <c r="E45" s="956" t="s">
        <v>94</v>
      </c>
      <c r="F45" s="956" t="s">
        <v>1147</v>
      </c>
      <c r="G45" s="956" t="s">
        <v>1148</v>
      </c>
    </row>
    <row r="46" spans="1:9" s="8" customFormat="1" ht="11.25" customHeight="1" x14ac:dyDescent="0.2">
      <c r="A46" s="1420" t="s">
        <v>227</v>
      </c>
      <c r="B46" s="1421"/>
      <c r="C46" s="993" t="s">
        <v>1149</v>
      </c>
      <c r="D46" s="994">
        <v>43556</v>
      </c>
      <c r="E46" s="995">
        <v>43556</v>
      </c>
      <c r="F46" s="996">
        <v>0</v>
      </c>
      <c r="G46" s="997">
        <v>-80000</v>
      </c>
    </row>
    <row r="47" spans="1:9" s="8" customFormat="1" ht="11.25" customHeight="1" x14ac:dyDescent="0.2">
      <c r="A47" s="1420" t="s">
        <v>193</v>
      </c>
      <c r="B47" s="1421"/>
      <c r="C47" s="993" t="s">
        <v>1150</v>
      </c>
      <c r="D47" s="994">
        <v>43556</v>
      </c>
      <c r="E47" s="998">
        <v>43556</v>
      </c>
      <c r="F47" s="999">
        <v>0</v>
      </c>
      <c r="G47" s="997">
        <v>40000</v>
      </c>
    </row>
    <row r="48" spans="1:9" s="8" customFormat="1" ht="11.25" customHeight="1" x14ac:dyDescent="0.2">
      <c r="A48" s="1420" t="s">
        <v>1151</v>
      </c>
      <c r="B48" s="1421"/>
      <c r="C48" s="993" t="s">
        <v>1152</v>
      </c>
      <c r="D48" s="994">
        <v>43556</v>
      </c>
      <c r="E48" s="994">
        <v>43556</v>
      </c>
      <c r="F48" s="1000">
        <v>0</v>
      </c>
      <c r="G48" s="997">
        <v>10000</v>
      </c>
    </row>
    <row r="49" spans="1:7" s="8" customFormat="1" ht="11.25" customHeight="1" x14ac:dyDescent="0.2">
      <c r="A49" s="1420" t="s">
        <v>1153</v>
      </c>
      <c r="B49" s="1421"/>
      <c r="C49" s="993" t="s">
        <v>1154</v>
      </c>
      <c r="D49" s="994">
        <v>43556</v>
      </c>
      <c r="E49" s="998">
        <v>43556</v>
      </c>
      <c r="F49" s="999">
        <v>0</v>
      </c>
      <c r="G49" s="997">
        <v>30000</v>
      </c>
    </row>
    <row r="50" spans="1:7" s="8" customFormat="1" ht="11.25" customHeight="1" x14ac:dyDescent="0.2">
      <c r="A50" s="1420" t="s">
        <v>1155</v>
      </c>
      <c r="B50" s="1421"/>
      <c r="C50" s="993" t="s">
        <v>1156</v>
      </c>
      <c r="D50" s="994">
        <v>43571</v>
      </c>
      <c r="E50" s="998">
        <v>43571</v>
      </c>
      <c r="F50" s="999">
        <v>804000</v>
      </c>
      <c r="G50" s="997">
        <v>0</v>
      </c>
    </row>
    <row r="51" spans="1:7" s="8" customFormat="1" ht="11.25" customHeight="1" x14ac:dyDescent="0.2">
      <c r="A51" s="1420" t="s">
        <v>1155</v>
      </c>
      <c r="B51" s="1421"/>
      <c r="C51" s="993" t="s">
        <v>1157</v>
      </c>
      <c r="D51" s="994">
        <v>43571</v>
      </c>
      <c r="E51" s="998">
        <v>43571</v>
      </c>
      <c r="F51" s="999">
        <v>0</v>
      </c>
      <c r="G51" s="997">
        <v>804000</v>
      </c>
    </row>
    <row r="52" spans="1:7" s="8" customFormat="1" ht="11.25" customHeight="1" x14ac:dyDescent="0.2">
      <c r="A52" s="1420" t="s">
        <v>1158</v>
      </c>
      <c r="B52" s="1421"/>
      <c r="C52" s="993" t="s">
        <v>1159</v>
      </c>
      <c r="D52" s="994">
        <v>43608</v>
      </c>
      <c r="E52" s="998">
        <v>43608</v>
      </c>
      <c r="F52" s="999">
        <v>0</v>
      </c>
      <c r="G52" s="997">
        <v>-200000</v>
      </c>
    </row>
    <row r="53" spans="1:7" s="8" customFormat="1" ht="11.25" customHeight="1" x14ac:dyDescent="0.2">
      <c r="A53" s="1420" t="s">
        <v>1160</v>
      </c>
      <c r="B53" s="1421"/>
      <c r="C53" s="993" t="s">
        <v>1161</v>
      </c>
      <c r="D53" s="994">
        <v>43608</v>
      </c>
      <c r="E53" s="998">
        <v>43608</v>
      </c>
      <c r="F53" s="999">
        <v>0</v>
      </c>
      <c r="G53" s="997">
        <v>20000</v>
      </c>
    </row>
    <row r="54" spans="1:7" s="8" customFormat="1" ht="11.25" customHeight="1" x14ac:dyDescent="0.2">
      <c r="A54" s="1420" t="s">
        <v>1162</v>
      </c>
      <c r="B54" s="1421"/>
      <c r="C54" s="993" t="s">
        <v>1163</v>
      </c>
      <c r="D54" s="994">
        <v>43608</v>
      </c>
      <c r="E54" s="998">
        <v>43608</v>
      </c>
      <c r="F54" s="999">
        <v>0</v>
      </c>
      <c r="G54" s="997">
        <v>50000</v>
      </c>
    </row>
    <row r="55" spans="1:7" s="8" customFormat="1" ht="11.25" customHeight="1" x14ac:dyDescent="0.2">
      <c r="A55" s="1420" t="s">
        <v>1164</v>
      </c>
      <c r="B55" s="1421"/>
      <c r="C55" s="993" t="s">
        <v>1149</v>
      </c>
      <c r="D55" s="994">
        <v>43608</v>
      </c>
      <c r="E55" s="998">
        <v>43608</v>
      </c>
      <c r="F55" s="999">
        <v>0</v>
      </c>
      <c r="G55" s="997">
        <v>130000</v>
      </c>
    </row>
    <row r="56" spans="1:7" s="8" customFormat="1" ht="11.25" customHeight="1" x14ac:dyDescent="0.2">
      <c r="A56" s="1420" t="s">
        <v>1165</v>
      </c>
      <c r="B56" s="1421"/>
      <c r="C56" s="993" t="s">
        <v>1166</v>
      </c>
      <c r="D56" s="994">
        <v>43612</v>
      </c>
      <c r="E56" s="998">
        <v>43612</v>
      </c>
      <c r="F56" s="999">
        <v>0</v>
      </c>
      <c r="G56" s="997">
        <v>60000</v>
      </c>
    </row>
    <row r="57" spans="1:7" s="8" customFormat="1" ht="11.25" customHeight="1" x14ac:dyDescent="0.2">
      <c r="A57" s="1420" t="s">
        <v>1165</v>
      </c>
      <c r="B57" s="1421"/>
      <c r="C57" s="993" t="s">
        <v>1156</v>
      </c>
      <c r="D57" s="994">
        <v>43612</v>
      </c>
      <c r="E57" s="998">
        <v>43612</v>
      </c>
      <c r="F57" s="999">
        <v>60000</v>
      </c>
      <c r="G57" s="997">
        <v>0</v>
      </c>
    </row>
    <row r="58" spans="1:7" s="8" customFormat="1" ht="11.25" customHeight="1" x14ac:dyDescent="0.2">
      <c r="A58" s="1420" t="s">
        <v>1167</v>
      </c>
      <c r="B58" s="1421"/>
      <c r="C58" s="993" t="s">
        <v>1168</v>
      </c>
      <c r="D58" s="994">
        <v>43646</v>
      </c>
      <c r="E58" s="998">
        <v>43646</v>
      </c>
      <c r="F58" s="999">
        <v>156794</v>
      </c>
      <c r="G58" s="997">
        <v>0</v>
      </c>
    </row>
    <row r="59" spans="1:7" s="8" customFormat="1" ht="11.25" customHeight="1" x14ac:dyDescent="0.2">
      <c r="A59" s="1420" t="s">
        <v>224</v>
      </c>
      <c r="B59" s="1421"/>
      <c r="C59" s="993" t="s">
        <v>1163</v>
      </c>
      <c r="D59" s="994">
        <v>43646</v>
      </c>
      <c r="E59" s="998">
        <v>43646</v>
      </c>
      <c r="F59" s="999">
        <v>0</v>
      </c>
      <c r="G59" s="997">
        <v>24468</v>
      </c>
    </row>
    <row r="60" spans="1:7" s="8" customFormat="1" ht="11.25" customHeight="1" x14ac:dyDescent="0.2">
      <c r="A60" s="1420" t="s">
        <v>227</v>
      </c>
      <c r="B60" s="1421"/>
      <c r="C60" s="993" t="s">
        <v>1157</v>
      </c>
      <c r="D60" s="994">
        <v>43646</v>
      </c>
      <c r="E60" s="998">
        <v>43646</v>
      </c>
      <c r="F60" s="999">
        <v>0</v>
      </c>
      <c r="G60" s="997">
        <v>132326</v>
      </c>
    </row>
    <row r="61" spans="1:7" s="8" customFormat="1" ht="11.25" customHeight="1" x14ac:dyDescent="0.2">
      <c r="A61" s="1420" t="s">
        <v>1169</v>
      </c>
      <c r="B61" s="1422"/>
      <c r="C61" s="993" t="s">
        <v>1170</v>
      </c>
      <c r="D61" s="994">
        <v>43646</v>
      </c>
      <c r="E61" s="998">
        <v>43646</v>
      </c>
      <c r="F61" s="999">
        <v>0</v>
      </c>
      <c r="G61" s="997">
        <v>119875</v>
      </c>
    </row>
    <row r="62" spans="1:7" s="8" customFormat="1" ht="11.25" customHeight="1" x14ac:dyDescent="0.2">
      <c r="A62" s="1420" t="s">
        <v>1171</v>
      </c>
      <c r="B62" s="1422"/>
      <c r="C62" s="993" t="s">
        <v>1172</v>
      </c>
      <c r="D62" s="994">
        <v>43646</v>
      </c>
      <c r="E62" s="998">
        <v>43646</v>
      </c>
      <c r="F62" s="999">
        <v>119875</v>
      </c>
      <c r="G62" s="997">
        <v>0</v>
      </c>
    </row>
    <row r="63" spans="1:7" s="8" customFormat="1" ht="11.25" customHeight="1" x14ac:dyDescent="0.2">
      <c r="A63" s="1420" t="s">
        <v>1173</v>
      </c>
      <c r="B63" s="1422"/>
      <c r="C63" s="993" t="s">
        <v>1174</v>
      </c>
      <c r="D63" s="994">
        <v>43646</v>
      </c>
      <c r="E63" s="998">
        <v>43646</v>
      </c>
      <c r="F63" s="999">
        <v>1316</v>
      </c>
      <c r="G63" s="997">
        <v>0</v>
      </c>
    </row>
    <row r="64" spans="1:7" s="8" customFormat="1" ht="11.25" customHeight="1" x14ac:dyDescent="0.2">
      <c r="A64" s="1423" t="s">
        <v>1175</v>
      </c>
      <c r="B64" s="1424"/>
      <c r="C64" s="993" t="s">
        <v>1176</v>
      </c>
      <c r="D64" s="994">
        <v>43646</v>
      </c>
      <c r="E64" s="998">
        <v>43646</v>
      </c>
      <c r="F64" s="999">
        <v>6000</v>
      </c>
      <c r="G64" s="997">
        <v>0</v>
      </c>
    </row>
    <row r="65" spans="1:7" s="8" customFormat="1" ht="11.25" customHeight="1" x14ac:dyDescent="0.2">
      <c r="A65" s="1420" t="s">
        <v>1177</v>
      </c>
      <c r="B65" s="1421"/>
      <c r="C65" s="993" t="s">
        <v>1178</v>
      </c>
      <c r="D65" s="994">
        <v>43646</v>
      </c>
      <c r="E65" s="998">
        <v>43646</v>
      </c>
      <c r="F65" s="999">
        <v>0</v>
      </c>
      <c r="G65" s="997">
        <v>3000</v>
      </c>
    </row>
    <row r="66" spans="1:7" s="8" customFormat="1" ht="11.25" customHeight="1" x14ac:dyDescent="0.2">
      <c r="A66" s="1420" t="s">
        <v>1179</v>
      </c>
      <c r="B66" s="1421"/>
      <c r="C66" s="993" t="s">
        <v>1180</v>
      </c>
      <c r="D66" s="994">
        <v>43646</v>
      </c>
      <c r="E66" s="998">
        <v>43646</v>
      </c>
      <c r="F66" s="999">
        <v>0</v>
      </c>
      <c r="G66" s="997">
        <v>3000</v>
      </c>
    </row>
    <row r="67" spans="1:7" s="8" customFormat="1" ht="11.25" customHeight="1" x14ac:dyDescent="0.2">
      <c r="A67" s="1420" t="s">
        <v>1181</v>
      </c>
      <c r="B67" s="1421"/>
      <c r="C67" s="1001" t="s">
        <v>1182</v>
      </c>
      <c r="D67" s="994">
        <v>43646</v>
      </c>
      <c r="E67" s="994">
        <v>43646</v>
      </c>
      <c r="F67" s="1000">
        <v>0</v>
      </c>
      <c r="G67" s="997">
        <v>1316</v>
      </c>
    </row>
    <row r="68" spans="1:7" s="8" customFormat="1" ht="11.25" customHeight="1" x14ac:dyDescent="0.2">
      <c r="A68" s="1425" t="s">
        <v>1183</v>
      </c>
      <c r="B68" s="1425"/>
      <c r="C68" s="1002" t="s">
        <v>1184</v>
      </c>
      <c r="D68" s="1003">
        <v>43641</v>
      </c>
      <c r="E68" s="1004">
        <v>43649</v>
      </c>
      <c r="F68" s="209">
        <v>77364</v>
      </c>
      <c r="G68" s="1005">
        <v>0</v>
      </c>
    </row>
    <row r="69" spans="1:7" s="8" customFormat="1" ht="11.25" customHeight="1" x14ac:dyDescent="0.2">
      <c r="A69" s="1425" t="s">
        <v>1183</v>
      </c>
      <c r="B69" s="1425"/>
      <c r="C69" s="1002" t="s">
        <v>1161</v>
      </c>
      <c r="D69" s="1003">
        <v>43641</v>
      </c>
      <c r="E69" s="1004">
        <v>43649</v>
      </c>
      <c r="F69" s="1006">
        <v>0</v>
      </c>
      <c r="G69" s="1007">
        <v>17982</v>
      </c>
    </row>
    <row r="70" spans="1:7" s="8" customFormat="1" ht="11.25" customHeight="1" x14ac:dyDescent="0.2">
      <c r="A70" s="1425" t="s">
        <v>1183</v>
      </c>
      <c r="B70" s="1425"/>
      <c r="C70" s="1008" t="s">
        <v>1163</v>
      </c>
      <c r="D70" s="1003">
        <v>43641</v>
      </c>
      <c r="E70" s="1004">
        <v>43649</v>
      </c>
      <c r="F70" s="1006">
        <v>0</v>
      </c>
      <c r="G70" s="1005">
        <v>59382</v>
      </c>
    </row>
    <row r="71" spans="1:7" s="8" customFormat="1" ht="11.25" customHeight="1" x14ac:dyDescent="0.2">
      <c r="A71" s="1425" t="s">
        <v>1185</v>
      </c>
      <c r="B71" s="1425"/>
      <c r="C71" s="1002" t="s">
        <v>1156</v>
      </c>
      <c r="D71" s="1003">
        <v>43641</v>
      </c>
      <c r="E71" s="1004">
        <v>43650</v>
      </c>
      <c r="F71" s="1006">
        <v>173000</v>
      </c>
      <c r="G71" s="1007">
        <v>0</v>
      </c>
    </row>
    <row r="72" spans="1:7" s="8" customFormat="1" ht="11.25" customHeight="1" x14ac:dyDescent="0.2">
      <c r="A72" s="1425" t="s">
        <v>1185</v>
      </c>
      <c r="B72" s="1425"/>
      <c r="C72" s="1002" t="s">
        <v>1149</v>
      </c>
      <c r="D72" s="1003">
        <v>43641</v>
      </c>
      <c r="E72" s="1004">
        <v>43650</v>
      </c>
      <c r="F72" s="209">
        <v>0</v>
      </c>
      <c r="G72" s="1005">
        <v>173000</v>
      </c>
    </row>
    <row r="73" spans="1:7" s="8" customFormat="1" ht="11.25" customHeight="1" x14ac:dyDescent="0.2">
      <c r="A73" s="1425" t="s">
        <v>1186</v>
      </c>
      <c r="B73" s="1425"/>
      <c r="C73" s="1002" t="s">
        <v>1184</v>
      </c>
      <c r="D73" s="1003">
        <v>43655</v>
      </c>
      <c r="E73" s="1004">
        <v>43677</v>
      </c>
      <c r="F73" s="209">
        <v>64440</v>
      </c>
      <c r="G73" s="1005">
        <v>0</v>
      </c>
    </row>
    <row r="74" spans="1:7" s="8" customFormat="1" ht="11.25" customHeight="1" x14ac:dyDescent="0.2">
      <c r="A74" s="1425" t="s">
        <v>1186</v>
      </c>
      <c r="B74" s="1425"/>
      <c r="C74" s="1002" t="s">
        <v>1166</v>
      </c>
      <c r="D74" s="1003">
        <v>43655</v>
      </c>
      <c r="E74" s="1004">
        <v>43677</v>
      </c>
      <c r="F74" s="1006">
        <v>0</v>
      </c>
      <c r="G74" s="1007">
        <v>64440</v>
      </c>
    </row>
    <row r="75" spans="1:7" s="8" customFormat="1" ht="11.25" customHeight="1" x14ac:dyDescent="0.2">
      <c r="A75" s="1425" t="s">
        <v>1187</v>
      </c>
      <c r="B75" s="1425"/>
      <c r="C75" s="1008" t="s">
        <v>1188</v>
      </c>
      <c r="D75" s="1009">
        <v>43677</v>
      </c>
      <c r="E75" s="1004">
        <v>43677</v>
      </c>
      <c r="F75" s="209">
        <v>7300</v>
      </c>
      <c r="G75" s="1005">
        <v>0</v>
      </c>
    </row>
    <row r="76" spans="1:7" s="8" customFormat="1" ht="11.25" customHeight="1" x14ac:dyDescent="0.2">
      <c r="A76" s="1425" t="s">
        <v>1189</v>
      </c>
      <c r="B76" s="1425"/>
      <c r="C76" s="1008" t="s">
        <v>1190</v>
      </c>
      <c r="D76" s="1003">
        <v>43677</v>
      </c>
      <c r="E76" s="1004">
        <v>43677</v>
      </c>
      <c r="F76" s="209">
        <v>0</v>
      </c>
      <c r="G76" s="1005">
        <v>7300</v>
      </c>
    </row>
    <row r="77" spans="1:7" s="8" customFormat="1" ht="11.25" customHeight="1" x14ac:dyDescent="0.2">
      <c r="A77" s="1420" t="s">
        <v>1191</v>
      </c>
      <c r="B77" s="1421"/>
      <c r="C77" s="993" t="s">
        <v>1192</v>
      </c>
      <c r="D77" s="1009">
        <v>43677</v>
      </c>
      <c r="E77" s="1004">
        <v>43677</v>
      </c>
      <c r="F77" s="999">
        <v>119943</v>
      </c>
      <c r="G77" s="997">
        <v>0</v>
      </c>
    </row>
    <row r="78" spans="1:7" s="8" customFormat="1" ht="11.25" customHeight="1" x14ac:dyDescent="0.2">
      <c r="A78" s="1420" t="s">
        <v>227</v>
      </c>
      <c r="B78" s="1421"/>
      <c r="C78" s="993" t="s">
        <v>1157</v>
      </c>
      <c r="D78" s="1003">
        <v>43677</v>
      </c>
      <c r="E78" s="1004">
        <v>43677</v>
      </c>
      <c r="F78" s="999">
        <v>0</v>
      </c>
      <c r="G78" s="997">
        <v>119943</v>
      </c>
    </row>
    <row r="79" spans="1:7" s="8" customFormat="1" ht="11.25" customHeight="1" x14ac:dyDescent="0.2">
      <c r="A79" s="1426" t="s">
        <v>1193</v>
      </c>
      <c r="B79" s="1426"/>
      <c r="C79" s="1002" t="s">
        <v>1194</v>
      </c>
      <c r="D79" s="1009">
        <v>43708</v>
      </c>
      <c r="E79" s="1004">
        <v>43708</v>
      </c>
      <c r="F79" s="209">
        <v>0</v>
      </c>
      <c r="G79" s="1010">
        <v>-1000</v>
      </c>
    </row>
    <row r="80" spans="1:7" s="8" customFormat="1" ht="11.25" customHeight="1" x14ac:dyDescent="0.2">
      <c r="A80" s="1425" t="s">
        <v>206</v>
      </c>
      <c r="B80" s="1425"/>
      <c r="C80" s="1002" t="s">
        <v>1195</v>
      </c>
      <c r="D80" s="1009">
        <v>43708</v>
      </c>
      <c r="E80" s="1004">
        <v>43708</v>
      </c>
      <c r="F80" s="209">
        <v>0</v>
      </c>
      <c r="G80" s="1005">
        <v>1000</v>
      </c>
    </row>
    <row r="81" spans="1:7" s="8" customFormat="1" ht="11.25" customHeight="1" x14ac:dyDescent="0.2">
      <c r="A81" s="1420" t="s">
        <v>1191</v>
      </c>
      <c r="B81" s="1421"/>
      <c r="C81" s="993" t="s">
        <v>1192</v>
      </c>
      <c r="D81" s="1009">
        <v>43738</v>
      </c>
      <c r="E81" s="1004">
        <v>43738</v>
      </c>
      <c r="F81" s="999">
        <v>113508</v>
      </c>
      <c r="G81" s="997">
        <v>0</v>
      </c>
    </row>
    <row r="82" spans="1:7" s="8" customFormat="1" ht="11.25" customHeight="1" x14ac:dyDescent="0.2">
      <c r="A82" s="1420" t="s">
        <v>227</v>
      </c>
      <c r="B82" s="1421"/>
      <c r="C82" s="993" t="s">
        <v>1149</v>
      </c>
      <c r="D82" s="1009">
        <v>43738</v>
      </c>
      <c r="E82" s="1004">
        <v>43738</v>
      </c>
      <c r="F82" s="999">
        <v>0</v>
      </c>
      <c r="G82" s="997">
        <v>113508</v>
      </c>
    </row>
    <row r="83" spans="1:7" s="8" customFormat="1" ht="11.25" customHeight="1" x14ac:dyDescent="0.2">
      <c r="A83" s="1420" t="s">
        <v>1167</v>
      </c>
      <c r="B83" s="1421"/>
      <c r="C83" s="993" t="s">
        <v>1168</v>
      </c>
      <c r="D83" s="1009">
        <v>43738</v>
      </c>
      <c r="E83" s="1004">
        <v>43738</v>
      </c>
      <c r="F83" s="999">
        <v>12300</v>
      </c>
      <c r="G83" s="997">
        <v>0</v>
      </c>
    </row>
    <row r="84" spans="1:7" s="8" customFormat="1" ht="11.25" customHeight="1" x14ac:dyDescent="0.2">
      <c r="A84" s="1420" t="s">
        <v>224</v>
      </c>
      <c r="B84" s="1421"/>
      <c r="C84" s="993" t="s">
        <v>1163</v>
      </c>
      <c r="D84" s="1009">
        <v>43738</v>
      </c>
      <c r="E84" s="1004">
        <v>43738</v>
      </c>
      <c r="F84" s="999">
        <v>0</v>
      </c>
      <c r="G84" s="997">
        <v>12300</v>
      </c>
    </row>
    <row r="85" spans="1:7" s="8" customFormat="1" ht="11.25" customHeight="1" x14ac:dyDescent="0.2">
      <c r="A85" s="1420" t="s">
        <v>1167</v>
      </c>
      <c r="B85" s="1421"/>
      <c r="C85" s="993" t="s">
        <v>1168</v>
      </c>
      <c r="D85" s="1009">
        <v>43769</v>
      </c>
      <c r="E85" s="1003">
        <v>43769</v>
      </c>
      <c r="F85" s="1000">
        <v>5661.59</v>
      </c>
      <c r="G85" s="997">
        <v>0</v>
      </c>
    </row>
    <row r="86" spans="1:7" s="8" customFormat="1" ht="11.25" customHeight="1" x14ac:dyDescent="0.2">
      <c r="A86" s="1420" t="s">
        <v>224</v>
      </c>
      <c r="B86" s="1421"/>
      <c r="C86" s="993" t="s">
        <v>1163</v>
      </c>
      <c r="D86" s="1009">
        <v>43769</v>
      </c>
      <c r="E86" s="1004">
        <v>43769</v>
      </c>
      <c r="F86" s="999">
        <v>0</v>
      </c>
      <c r="G86" s="997">
        <v>5661.59</v>
      </c>
    </row>
    <row r="87" spans="1:7" s="8" customFormat="1" ht="11.25" customHeight="1" x14ac:dyDescent="0.2">
      <c r="A87" s="1420" t="s">
        <v>1196</v>
      </c>
      <c r="B87" s="1421"/>
      <c r="C87" s="993" t="s">
        <v>1152</v>
      </c>
      <c r="D87" s="1009">
        <v>43769</v>
      </c>
      <c r="E87" s="1004">
        <v>43769</v>
      </c>
      <c r="F87" s="999">
        <v>0</v>
      </c>
      <c r="G87" s="997">
        <v>-10000</v>
      </c>
    </row>
    <row r="88" spans="1:7" s="8" customFormat="1" ht="11.25" customHeight="1" x14ac:dyDescent="0.2">
      <c r="A88" s="1420" t="s">
        <v>224</v>
      </c>
      <c r="B88" s="1421"/>
      <c r="C88" s="993" t="s">
        <v>1163</v>
      </c>
      <c r="D88" s="1009">
        <v>43769</v>
      </c>
      <c r="E88" s="1004">
        <v>43769</v>
      </c>
      <c r="F88" s="999">
        <v>0</v>
      </c>
      <c r="G88" s="997">
        <v>10000</v>
      </c>
    </row>
    <row r="89" spans="1:7" s="8" customFormat="1" ht="11.25" customHeight="1" x14ac:dyDescent="0.2">
      <c r="A89" s="1425" t="s">
        <v>1197</v>
      </c>
      <c r="B89" s="1425"/>
      <c r="C89" s="1002" t="s">
        <v>1156</v>
      </c>
      <c r="D89" s="1003">
        <v>43760</v>
      </c>
      <c r="E89" s="1004">
        <v>43775</v>
      </c>
      <c r="F89" s="1006">
        <v>10375</v>
      </c>
      <c r="G89" s="1007">
        <v>0</v>
      </c>
    </row>
    <row r="90" spans="1:7" s="8" customFormat="1" ht="11.25" customHeight="1" x14ac:dyDescent="0.2">
      <c r="A90" s="1425" t="s">
        <v>1197</v>
      </c>
      <c r="B90" s="1425"/>
      <c r="C90" s="1002" t="s">
        <v>1152</v>
      </c>
      <c r="D90" s="1003">
        <v>43760</v>
      </c>
      <c r="E90" s="1004">
        <v>43775</v>
      </c>
      <c r="F90" s="209">
        <v>0</v>
      </c>
      <c r="G90" s="1005">
        <v>10375</v>
      </c>
    </row>
    <row r="91" spans="1:7" s="8" customFormat="1" ht="11.25" customHeight="1" x14ac:dyDescent="0.2">
      <c r="A91" s="1427" t="s">
        <v>1158</v>
      </c>
      <c r="B91" s="1428"/>
      <c r="C91" s="1002" t="s">
        <v>1198</v>
      </c>
      <c r="D91" s="1009">
        <v>43789</v>
      </c>
      <c r="E91" s="1004">
        <v>43799</v>
      </c>
      <c r="F91" s="209">
        <v>0</v>
      </c>
      <c r="G91" s="1005">
        <v>-350000</v>
      </c>
    </row>
    <row r="92" spans="1:7" s="8" customFormat="1" ht="11.25" customHeight="1" x14ac:dyDescent="0.2">
      <c r="A92" s="1427" t="s">
        <v>1199</v>
      </c>
      <c r="B92" s="1428"/>
      <c r="C92" s="1002" t="s">
        <v>1200</v>
      </c>
      <c r="D92" s="1009">
        <v>43789</v>
      </c>
      <c r="E92" s="1004">
        <v>43799</v>
      </c>
      <c r="F92" s="209">
        <v>0</v>
      </c>
      <c r="G92" s="1011">
        <v>156000</v>
      </c>
    </row>
    <row r="93" spans="1:7" s="8" customFormat="1" ht="11.25" customHeight="1" x14ac:dyDescent="0.2">
      <c r="A93" s="1427" t="s">
        <v>1164</v>
      </c>
      <c r="B93" s="1428"/>
      <c r="C93" s="1002" t="s">
        <v>1201</v>
      </c>
      <c r="D93" s="1009">
        <v>43789</v>
      </c>
      <c r="E93" s="1004">
        <v>43799</v>
      </c>
      <c r="F93" s="209">
        <v>0</v>
      </c>
      <c r="G93" s="1011">
        <v>140000</v>
      </c>
    </row>
    <row r="94" spans="1:7" s="8" customFormat="1" ht="11.25" customHeight="1" x14ac:dyDescent="0.2">
      <c r="A94" s="1427" t="s">
        <v>1162</v>
      </c>
      <c r="B94" s="1428"/>
      <c r="C94" s="1002" t="s">
        <v>1163</v>
      </c>
      <c r="D94" s="1009">
        <v>43789</v>
      </c>
      <c r="E94" s="1004">
        <v>43799</v>
      </c>
      <c r="F94" s="209">
        <v>0</v>
      </c>
      <c r="G94" s="1005">
        <v>40000</v>
      </c>
    </row>
    <row r="95" spans="1:7" s="8" customFormat="1" ht="11.25" customHeight="1" x14ac:dyDescent="0.2">
      <c r="A95" s="1427" t="s">
        <v>1202</v>
      </c>
      <c r="B95" s="1428"/>
      <c r="C95" s="1002" t="s">
        <v>1203</v>
      </c>
      <c r="D95" s="1009">
        <v>43789</v>
      </c>
      <c r="E95" s="1003">
        <v>43799</v>
      </c>
      <c r="F95" s="1012">
        <v>0</v>
      </c>
      <c r="G95" s="1005">
        <v>14000</v>
      </c>
    </row>
    <row r="96" spans="1:7" s="8" customFormat="1" ht="11.25" customHeight="1" x14ac:dyDescent="0.2">
      <c r="A96" s="1425" t="s">
        <v>1204</v>
      </c>
      <c r="B96" s="1425"/>
      <c r="C96" s="1002" t="s">
        <v>1205</v>
      </c>
      <c r="D96" s="1003">
        <v>43809</v>
      </c>
      <c r="E96" s="1004">
        <v>43816</v>
      </c>
      <c r="F96" s="209">
        <v>0</v>
      </c>
      <c r="G96" s="1005">
        <v>-17900</v>
      </c>
    </row>
    <row r="97" spans="1:7" s="8" customFormat="1" ht="11.25" customHeight="1" x14ac:dyDescent="0.2">
      <c r="A97" s="1425" t="s">
        <v>1206</v>
      </c>
      <c r="B97" s="1425"/>
      <c r="C97" s="1002" t="s">
        <v>1166</v>
      </c>
      <c r="D97" s="1003">
        <v>43809</v>
      </c>
      <c r="E97" s="1004">
        <v>43816</v>
      </c>
      <c r="F97" s="1006">
        <v>0</v>
      </c>
      <c r="G97" s="1007">
        <v>17900</v>
      </c>
    </row>
    <row r="98" spans="1:7" s="8" customFormat="1" ht="11.25" customHeight="1" x14ac:dyDescent="0.2">
      <c r="A98" s="1425" t="s">
        <v>1207</v>
      </c>
      <c r="B98" s="1425"/>
      <c r="C98" s="1002" t="s">
        <v>1184</v>
      </c>
      <c r="D98" s="1003">
        <v>43830</v>
      </c>
      <c r="E98" s="1004">
        <v>43830</v>
      </c>
      <c r="F98" s="209">
        <v>6196</v>
      </c>
      <c r="G98" s="1005">
        <v>0</v>
      </c>
    </row>
    <row r="99" spans="1:7" s="8" customFormat="1" ht="11.25" customHeight="1" x14ac:dyDescent="0.2">
      <c r="A99" s="1425" t="s">
        <v>1207</v>
      </c>
      <c r="B99" s="1425"/>
      <c r="C99" s="1002" t="s">
        <v>1208</v>
      </c>
      <c r="D99" s="1003">
        <v>43830</v>
      </c>
      <c r="E99" s="1004">
        <v>43830</v>
      </c>
      <c r="F99" s="1006">
        <v>0</v>
      </c>
      <c r="G99" s="1007">
        <v>6196</v>
      </c>
    </row>
    <row r="100" spans="1:7" s="8" customFormat="1" ht="11.25" customHeight="1" x14ac:dyDescent="0.2">
      <c r="A100" s="1420" t="s">
        <v>1209</v>
      </c>
      <c r="B100" s="1422"/>
      <c r="C100" s="993" t="s">
        <v>1170</v>
      </c>
      <c r="D100" s="1003">
        <v>43830</v>
      </c>
      <c r="E100" s="1004">
        <v>43830</v>
      </c>
      <c r="F100" s="1013">
        <v>0</v>
      </c>
      <c r="G100" s="997">
        <v>27985</v>
      </c>
    </row>
    <row r="101" spans="1:7" s="8" customFormat="1" ht="11.25" customHeight="1" x14ac:dyDescent="0.2">
      <c r="A101" s="1420" t="s">
        <v>1210</v>
      </c>
      <c r="B101" s="1422"/>
      <c r="C101" s="993" t="s">
        <v>1172</v>
      </c>
      <c r="D101" s="1003">
        <v>43830</v>
      </c>
      <c r="E101" s="1004">
        <v>43830</v>
      </c>
      <c r="F101" s="1014">
        <v>27985</v>
      </c>
      <c r="G101" s="997">
        <v>0</v>
      </c>
    </row>
    <row r="102" spans="1:7" s="8" customFormat="1" ht="11.25" customHeight="1" x14ac:dyDescent="0.2">
      <c r="A102" s="1420" t="s">
        <v>224</v>
      </c>
      <c r="B102" s="1421"/>
      <c r="C102" s="993" t="s">
        <v>1163</v>
      </c>
      <c r="D102" s="1003">
        <v>43830</v>
      </c>
      <c r="E102" s="1004">
        <v>43830</v>
      </c>
      <c r="F102" s="999">
        <v>0</v>
      </c>
      <c r="G102" s="997">
        <v>153000</v>
      </c>
    </row>
    <row r="103" spans="1:7" s="8" customFormat="1" ht="11.25" customHeight="1" x14ac:dyDescent="0.2">
      <c r="A103" s="1420" t="s">
        <v>227</v>
      </c>
      <c r="B103" s="1421"/>
      <c r="C103" s="993" t="s">
        <v>1201</v>
      </c>
      <c r="D103" s="1003">
        <v>43830</v>
      </c>
      <c r="E103" s="1004">
        <v>43830</v>
      </c>
      <c r="F103" s="999">
        <v>0</v>
      </c>
      <c r="G103" s="997">
        <v>-61000</v>
      </c>
    </row>
    <row r="104" spans="1:7" s="8" customFormat="1" ht="11.25" customHeight="1" x14ac:dyDescent="0.2">
      <c r="A104" s="1425" t="s">
        <v>1211</v>
      </c>
      <c r="B104" s="1425"/>
      <c r="C104" s="1002" t="s">
        <v>1200</v>
      </c>
      <c r="D104" s="1003">
        <v>43830</v>
      </c>
      <c r="E104" s="1004">
        <v>43830</v>
      </c>
      <c r="F104" s="209">
        <v>0</v>
      </c>
      <c r="G104" s="1005">
        <v>-87000</v>
      </c>
    </row>
    <row r="105" spans="1:7" s="8" customFormat="1" ht="11.25" customHeight="1" x14ac:dyDescent="0.2">
      <c r="A105" s="1431" t="s">
        <v>1212</v>
      </c>
      <c r="B105" s="1432"/>
      <c r="C105" s="1008" t="s">
        <v>1213</v>
      </c>
      <c r="D105" s="1003">
        <v>43830</v>
      </c>
      <c r="E105" s="1004">
        <v>43830</v>
      </c>
      <c r="F105" s="209">
        <v>2500</v>
      </c>
      <c r="G105" s="1005">
        <v>0</v>
      </c>
    </row>
    <row r="106" spans="1:7" s="8" customFormat="1" ht="11.25" customHeight="1" x14ac:dyDescent="0.2">
      <c r="A106" s="1433" t="s">
        <v>1214</v>
      </c>
      <c r="B106" s="1433"/>
      <c r="C106" s="1015" t="s">
        <v>1176</v>
      </c>
      <c r="D106" s="1016">
        <v>43830</v>
      </c>
      <c r="E106" s="1016">
        <v>43830</v>
      </c>
      <c r="F106" s="1017">
        <v>2500</v>
      </c>
      <c r="G106" s="1018">
        <v>0</v>
      </c>
    </row>
    <row r="107" spans="1:7" s="8" customFormat="1" ht="11.25" customHeight="1" x14ac:dyDescent="0.2">
      <c r="A107" s="1019" t="s">
        <v>1215</v>
      </c>
      <c r="B107" s="1020"/>
      <c r="C107" s="1021"/>
      <c r="D107" s="1021"/>
      <c r="E107" s="1022"/>
      <c r="F107" s="1023">
        <f>SUM(F46:F106)</f>
        <v>1771057.59</v>
      </c>
      <c r="G107" s="1024">
        <f>SUM(G46:G106)</f>
        <v>1771057.59</v>
      </c>
    </row>
    <row r="108" spans="1:7" s="8" customFormat="1" ht="11.25" customHeight="1" x14ac:dyDescent="0.2">
      <c r="A108" s="1025"/>
      <c r="B108" s="1025"/>
      <c r="C108" s="149"/>
      <c r="D108" s="149"/>
      <c r="E108" s="150"/>
      <c r="F108" s="117"/>
    </row>
    <row r="109" spans="1:7" s="8" customFormat="1" ht="11.25" customHeight="1" x14ac:dyDescent="0.2">
      <c r="A109" s="1026" t="s">
        <v>1216</v>
      </c>
      <c r="B109" s="1025"/>
      <c r="C109" s="149"/>
      <c r="D109" s="149"/>
      <c r="E109" s="150"/>
      <c r="F109" s="117"/>
      <c r="G109" s="117"/>
    </row>
    <row r="110" spans="1:7" s="8" customFormat="1" ht="11.25" customHeight="1" x14ac:dyDescent="0.2">
      <c r="A110" s="1256" t="s">
        <v>92</v>
      </c>
      <c r="B110" s="1256"/>
      <c r="C110" s="960" t="s">
        <v>621</v>
      </c>
      <c r="D110" s="960" t="s">
        <v>93</v>
      </c>
      <c r="E110" s="956" t="s">
        <v>94</v>
      </c>
      <c r="F110" s="956" t="s">
        <v>1147</v>
      </c>
      <c r="G110" s="956" t="s">
        <v>1148</v>
      </c>
    </row>
    <row r="111" spans="1:7" s="8" customFormat="1" ht="11.25" customHeight="1" x14ac:dyDescent="0.2">
      <c r="A111" s="1429" t="s">
        <v>1217</v>
      </c>
      <c r="B111" s="1430"/>
      <c r="C111" s="1027" t="s">
        <v>1218</v>
      </c>
      <c r="D111" s="1028">
        <v>43646</v>
      </c>
      <c r="E111" s="1029">
        <v>43646</v>
      </c>
      <c r="F111" s="1030">
        <v>9000</v>
      </c>
      <c r="G111" s="1031">
        <v>0</v>
      </c>
    </row>
    <row r="112" spans="1:7" s="8" customFormat="1" ht="11.25" customHeight="1" x14ac:dyDescent="0.2">
      <c r="A112" s="1429" t="s">
        <v>1219</v>
      </c>
      <c r="B112" s="1430"/>
      <c r="C112" s="1032" t="s">
        <v>1220</v>
      </c>
      <c r="D112" s="1028">
        <v>43646</v>
      </c>
      <c r="E112" s="1029">
        <v>43646</v>
      </c>
      <c r="F112" s="1033">
        <v>3000</v>
      </c>
      <c r="G112" s="1034">
        <v>0</v>
      </c>
    </row>
    <row r="113" spans="1:9" s="8" customFormat="1" ht="11.25" customHeight="1" x14ac:dyDescent="0.2">
      <c r="A113" s="1429" t="s">
        <v>1221</v>
      </c>
      <c r="B113" s="1430"/>
      <c r="C113" s="1035" t="s">
        <v>1222</v>
      </c>
      <c r="D113" s="1028">
        <v>43646</v>
      </c>
      <c r="E113" s="1029">
        <v>43646</v>
      </c>
      <c r="F113" s="1033">
        <v>0</v>
      </c>
      <c r="G113" s="1036">
        <v>500</v>
      </c>
    </row>
    <row r="114" spans="1:9" s="8" customFormat="1" ht="11.25" customHeight="1" x14ac:dyDescent="0.2">
      <c r="A114" s="1429" t="s">
        <v>1223</v>
      </c>
      <c r="B114" s="1430"/>
      <c r="C114" s="1035" t="s">
        <v>1224</v>
      </c>
      <c r="D114" s="1028">
        <v>43646</v>
      </c>
      <c r="E114" s="1029">
        <v>43646</v>
      </c>
      <c r="F114" s="1033">
        <v>0</v>
      </c>
      <c r="G114" s="1036">
        <v>5000</v>
      </c>
    </row>
    <row r="115" spans="1:9" s="8" customFormat="1" ht="11.25" customHeight="1" x14ac:dyDescent="0.2">
      <c r="A115" s="1429" t="s">
        <v>1225</v>
      </c>
      <c r="B115" s="1430"/>
      <c r="C115" s="1035" t="s">
        <v>1226</v>
      </c>
      <c r="D115" s="1028">
        <v>43646</v>
      </c>
      <c r="E115" s="1029">
        <v>43646</v>
      </c>
      <c r="F115" s="1033">
        <v>0</v>
      </c>
      <c r="G115" s="1036">
        <v>1000</v>
      </c>
    </row>
    <row r="116" spans="1:9" s="8" customFormat="1" ht="11.25" customHeight="1" x14ac:dyDescent="0.2">
      <c r="A116" s="1429" t="s">
        <v>1153</v>
      </c>
      <c r="B116" s="1430"/>
      <c r="C116" s="1037" t="s">
        <v>1227</v>
      </c>
      <c r="D116" s="1028">
        <v>43646</v>
      </c>
      <c r="E116" s="1029">
        <v>43646</v>
      </c>
      <c r="F116" s="1033">
        <v>0</v>
      </c>
      <c r="G116" s="1036">
        <v>6500</v>
      </c>
    </row>
    <row r="117" spans="1:9" s="8" customFormat="1" ht="11.25" customHeight="1" x14ac:dyDescent="0.2">
      <c r="A117" s="1429" t="s">
        <v>1228</v>
      </c>
      <c r="B117" s="1430"/>
      <c r="C117" s="1037" t="s">
        <v>1229</v>
      </c>
      <c r="D117" s="1028">
        <v>43646</v>
      </c>
      <c r="E117" s="1029">
        <v>43646</v>
      </c>
      <c r="F117" s="1033">
        <v>0</v>
      </c>
      <c r="G117" s="1036">
        <v>8000</v>
      </c>
    </row>
    <row r="118" spans="1:9" s="8" customFormat="1" ht="11.25" customHeight="1" x14ac:dyDescent="0.2">
      <c r="A118" s="1429" t="s">
        <v>207</v>
      </c>
      <c r="B118" s="1430"/>
      <c r="C118" s="1037" t="s">
        <v>1230</v>
      </c>
      <c r="D118" s="1028">
        <v>43646</v>
      </c>
      <c r="E118" s="1029">
        <v>43646</v>
      </c>
      <c r="F118" s="1033">
        <v>0</v>
      </c>
      <c r="G118" s="1036">
        <v>-10600</v>
      </c>
    </row>
    <row r="119" spans="1:9" s="8" customFormat="1" ht="11.25" customHeight="1" x14ac:dyDescent="0.2">
      <c r="A119" s="1429" t="s">
        <v>1231</v>
      </c>
      <c r="B119" s="1430"/>
      <c r="C119" s="1037" t="s">
        <v>1232</v>
      </c>
      <c r="D119" s="1028">
        <v>43646</v>
      </c>
      <c r="E119" s="1029">
        <v>43646</v>
      </c>
      <c r="F119" s="1033">
        <v>0</v>
      </c>
      <c r="G119" s="1036">
        <v>600</v>
      </c>
    </row>
    <row r="120" spans="1:9" s="8" customFormat="1" ht="11.25" customHeight="1" x14ac:dyDescent="0.2">
      <c r="A120" s="1434" t="s">
        <v>206</v>
      </c>
      <c r="B120" s="1435"/>
      <c r="C120" s="1038" t="s">
        <v>1233</v>
      </c>
      <c r="D120" s="1039">
        <v>43646</v>
      </c>
      <c r="E120" s="1040">
        <v>43646</v>
      </c>
      <c r="F120" s="1041">
        <v>0</v>
      </c>
      <c r="G120" s="1042">
        <v>1000</v>
      </c>
    </row>
    <row r="121" spans="1:9" s="8" customFormat="1" ht="11.25" customHeight="1" x14ac:dyDescent="0.2">
      <c r="A121" s="1019" t="s">
        <v>1215</v>
      </c>
      <c r="B121" s="1020"/>
      <c r="C121" s="1021"/>
      <c r="D121" s="1021"/>
      <c r="E121" s="1022"/>
      <c r="F121" s="1023">
        <f>SUM(F111:F120)</f>
        <v>12000</v>
      </c>
      <c r="G121" s="1024">
        <f>SUM(G111:G120)</f>
        <v>12000</v>
      </c>
    </row>
    <row r="122" spans="1:9" s="117" customFormat="1" ht="11.25" customHeight="1" x14ac:dyDescent="0.2">
      <c r="A122" s="227"/>
      <c r="B122" s="227"/>
      <c r="C122" s="149"/>
      <c r="D122" s="149"/>
      <c r="E122" s="150"/>
    </row>
    <row r="123" spans="1:9" s="117" customFormat="1" ht="11.25" customHeight="1" x14ac:dyDescent="0.2">
      <c r="A123" s="1436"/>
      <c r="B123" s="1437"/>
      <c r="C123" s="149"/>
      <c r="D123" s="149"/>
      <c r="E123" s="150"/>
    </row>
    <row r="124" spans="1:9" s="8" customFormat="1" ht="11.25" customHeight="1" x14ac:dyDescent="0.2">
      <c r="A124" s="147"/>
      <c r="B124" s="148"/>
      <c r="C124" s="149"/>
      <c r="D124" s="149"/>
      <c r="E124" s="150"/>
    </row>
    <row r="125" spans="1:9" s="8" customFormat="1" ht="10.199999999999999" x14ac:dyDescent="0.2">
      <c r="A125" s="1300" t="s">
        <v>154</v>
      </c>
      <c r="B125" s="1300"/>
      <c r="C125" s="1300"/>
      <c r="D125" s="1300"/>
      <c r="E125" s="1300"/>
      <c r="F125" s="1300"/>
      <c r="G125" s="1300"/>
      <c r="H125" s="1300"/>
      <c r="I125" s="1300"/>
    </row>
    <row r="126" spans="1:9" s="8" customFormat="1" ht="10.199999999999999" x14ac:dyDescent="0.2">
      <c r="A126" s="8" t="s">
        <v>95</v>
      </c>
    </row>
    <row r="127" spans="1:9" s="8" customFormat="1" ht="10.199999999999999" x14ac:dyDescent="0.2">
      <c r="A127" s="1297" t="s">
        <v>1234</v>
      </c>
      <c r="B127" s="1298"/>
      <c r="C127" s="1298"/>
      <c r="D127" s="1298"/>
      <c r="E127" s="1298"/>
      <c r="F127" s="1298"/>
      <c r="G127" s="1298"/>
      <c r="H127" s="1298"/>
      <c r="I127" s="1299"/>
    </row>
    <row r="128" spans="1:9" s="8" customFormat="1" ht="10.199999999999999" x14ac:dyDescent="0.2"/>
    <row r="129" spans="1:9" s="8" customFormat="1" ht="0.75" customHeight="1" x14ac:dyDescent="0.2">
      <c r="A129" s="1297"/>
      <c r="B129" s="1298"/>
      <c r="C129" s="1298"/>
      <c r="D129" s="1298"/>
      <c r="E129" s="1298"/>
      <c r="F129" s="1298"/>
      <c r="G129" s="1298"/>
      <c r="H129" s="1298"/>
      <c r="I129" s="1299"/>
    </row>
    <row r="130" spans="1:9" s="8" customFormat="1" ht="10.199999999999999" hidden="1" x14ac:dyDescent="0.2"/>
    <row r="131" spans="1:9" s="7" customFormat="1" ht="10.199999999999999" x14ac:dyDescent="0.2">
      <c r="A131" s="1248" t="s">
        <v>156</v>
      </c>
      <c r="B131" s="1248"/>
      <c r="C131" s="1248"/>
      <c r="D131" s="1248"/>
      <c r="E131" s="1248"/>
      <c r="F131" s="1248"/>
      <c r="G131" s="1248"/>
      <c r="H131" s="1248"/>
      <c r="I131" s="1248"/>
    </row>
    <row r="132" spans="1:9" s="8" customFormat="1" ht="10.199999999999999" x14ac:dyDescent="0.2">
      <c r="A132" s="8" t="s">
        <v>95</v>
      </c>
    </row>
    <row r="133" spans="1:9" s="8" customFormat="1" ht="55.5" customHeight="1" x14ac:dyDescent="0.2">
      <c r="A133" s="1297" t="s">
        <v>1235</v>
      </c>
      <c r="B133" s="1298"/>
      <c r="C133" s="1298"/>
      <c r="D133" s="1298"/>
      <c r="E133" s="1298"/>
      <c r="F133" s="1298"/>
      <c r="G133" s="1298"/>
      <c r="H133" s="1298"/>
      <c r="I133" s="1299"/>
    </row>
    <row r="135" spans="1:9" x14ac:dyDescent="0.25">
      <c r="A135" s="8" t="s">
        <v>1236</v>
      </c>
    </row>
    <row r="136" spans="1:9" x14ac:dyDescent="0.25">
      <c r="A136" s="322" t="s">
        <v>1237</v>
      </c>
    </row>
    <row r="137" spans="1:9" x14ac:dyDescent="0.25">
      <c r="A137" s="26"/>
    </row>
  </sheetData>
  <mergeCells count="111">
    <mergeCell ref="A129:I129"/>
    <mergeCell ref="A131:I131"/>
    <mergeCell ref="A133:I133"/>
    <mergeCell ref="A118:B118"/>
    <mergeCell ref="A119:B119"/>
    <mergeCell ref="A120:B120"/>
    <mergeCell ref="A123:B123"/>
    <mergeCell ref="A125:I125"/>
    <mergeCell ref="A127:I127"/>
    <mergeCell ref="A112:B112"/>
    <mergeCell ref="A113:B113"/>
    <mergeCell ref="A114:B114"/>
    <mergeCell ref="A115:B115"/>
    <mergeCell ref="A116:B116"/>
    <mergeCell ref="A117:B117"/>
    <mergeCell ref="A103:B103"/>
    <mergeCell ref="A104:B104"/>
    <mergeCell ref="A105:B105"/>
    <mergeCell ref="A106:B106"/>
    <mergeCell ref="A110:B110"/>
    <mergeCell ref="A111:B111"/>
    <mergeCell ref="A97:B97"/>
    <mergeCell ref="A98:B98"/>
    <mergeCell ref="A99:B99"/>
    <mergeCell ref="A100:B100"/>
    <mergeCell ref="A101:B101"/>
    <mergeCell ref="A102:B102"/>
    <mergeCell ref="A91:B91"/>
    <mergeCell ref="A92:B92"/>
    <mergeCell ref="A93:B93"/>
    <mergeCell ref="A94:B94"/>
    <mergeCell ref="A95:B95"/>
    <mergeCell ref="A96:B96"/>
    <mergeCell ref="A85:B85"/>
    <mergeCell ref="A86:B86"/>
    <mergeCell ref="A87:B87"/>
    <mergeCell ref="A88:B88"/>
    <mergeCell ref="A89:B89"/>
    <mergeCell ref="A90:B90"/>
    <mergeCell ref="A79:B79"/>
    <mergeCell ref="A80:B80"/>
    <mergeCell ref="A81:B81"/>
    <mergeCell ref="A82:B82"/>
    <mergeCell ref="A83:B83"/>
    <mergeCell ref="A84:B84"/>
    <mergeCell ref="A73:B73"/>
    <mergeCell ref="A74:B74"/>
    <mergeCell ref="A75:B75"/>
    <mergeCell ref="A76:B76"/>
    <mergeCell ref="A77:B77"/>
    <mergeCell ref="A78:B78"/>
    <mergeCell ref="A67:B67"/>
    <mergeCell ref="A68:B68"/>
    <mergeCell ref="A69:B69"/>
    <mergeCell ref="A70:B70"/>
    <mergeCell ref="A71:B71"/>
    <mergeCell ref="A72:B72"/>
    <mergeCell ref="A61:B61"/>
    <mergeCell ref="A62:B62"/>
    <mergeCell ref="A63:B63"/>
    <mergeCell ref="A64:B64"/>
    <mergeCell ref="A65:B65"/>
    <mergeCell ref="A66:B66"/>
    <mergeCell ref="A55:B55"/>
    <mergeCell ref="A56:B56"/>
    <mergeCell ref="A57:B57"/>
    <mergeCell ref="A58:B58"/>
    <mergeCell ref="A59:B59"/>
    <mergeCell ref="A60:B60"/>
    <mergeCell ref="A49:B49"/>
    <mergeCell ref="A50:B50"/>
    <mergeCell ref="A51:B51"/>
    <mergeCell ref="A52:B52"/>
    <mergeCell ref="A53:B53"/>
    <mergeCell ref="A54:B54"/>
    <mergeCell ref="C41:I41"/>
    <mergeCell ref="A43:I43"/>
    <mergeCell ref="A45:B45"/>
    <mergeCell ref="A46:B46"/>
    <mergeCell ref="A47:B47"/>
    <mergeCell ref="A48:B48"/>
    <mergeCell ref="D33:I33"/>
    <mergeCell ref="A35:I35"/>
    <mergeCell ref="C37:I37"/>
    <mergeCell ref="C38:I38"/>
    <mergeCell ref="C39:I39"/>
    <mergeCell ref="C40:I40"/>
    <mergeCell ref="F25:I25"/>
    <mergeCell ref="F26:I26"/>
    <mergeCell ref="F27:I27"/>
    <mergeCell ref="A29:I29"/>
    <mergeCell ref="D30:I30"/>
    <mergeCell ref="A32:I32"/>
    <mergeCell ref="F22:I22"/>
    <mergeCell ref="F23:I23"/>
    <mergeCell ref="F24:I24"/>
    <mergeCell ref="A7:B7"/>
    <mergeCell ref="D7:I7"/>
    <mergeCell ref="A8:B8"/>
    <mergeCell ref="D8:I8"/>
    <mergeCell ref="A9:B9"/>
    <mergeCell ref="D9:I9"/>
    <mergeCell ref="B1:I1"/>
    <mergeCell ref="A3:I3"/>
    <mergeCell ref="A5:B5"/>
    <mergeCell ref="D5:I5"/>
    <mergeCell ref="A6:B6"/>
    <mergeCell ref="D6:I6"/>
    <mergeCell ref="A11:I11"/>
    <mergeCell ref="A15:A17"/>
    <mergeCell ref="A20:I20"/>
  </mergeCells>
  <pageMargins left="0.70866141732283472" right="0.70866141732283472" top="0.78740157480314965" bottom="0.78740157480314965" header="0.31496062992125984" footer="0.31496062992125984"/>
  <pageSetup paperSize="9" scale="97" firstPageNumber="152" fitToHeight="8" orientation="landscape"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E38" sqref="E38"/>
    </sheetView>
  </sheetViews>
  <sheetFormatPr defaultColWidth="6.3984375" defaultRowHeight="7.8" x14ac:dyDescent="0.15"/>
  <cols>
    <col min="1" max="1" width="5.3984375" style="1214" customWidth="1"/>
    <col min="2" max="2" width="6.3984375" style="1060" customWidth="1"/>
    <col min="3" max="3" width="36.796875" style="1060" customWidth="1"/>
    <col min="4" max="4" width="9.3984375" style="1060" customWidth="1"/>
    <col min="5" max="7" width="11" style="1060" customWidth="1"/>
    <col min="8" max="8" width="8.796875" style="1060" customWidth="1"/>
    <col min="9" max="12" width="11" style="1060" customWidth="1"/>
    <col min="13" max="13" width="8.796875" style="1060" customWidth="1"/>
    <col min="14" max="17" width="11" style="1060" customWidth="1"/>
    <col min="18" max="18" width="8.796875" style="1060" customWidth="1"/>
    <col min="19" max="22" width="11" style="1060" customWidth="1"/>
    <col min="23" max="23" width="8.796875" style="1060" customWidth="1"/>
    <col min="24" max="24" width="11" style="1060" customWidth="1"/>
    <col min="25" max="16384" width="6.3984375" style="1060"/>
  </cols>
  <sheetData>
    <row r="1" spans="1:24" s="1062" customFormat="1" ht="15.6" x14ac:dyDescent="0.3">
      <c r="A1" s="1216" t="s">
        <v>238</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1063" customFormat="1" ht="7.8" customHeight="1" x14ac:dyDescent="0.15">
      <c r="A3" s="1442" t="s">
        <v>40</v>
      </c>
      <c r="B3" s="1444" t="s">
        <v>41</v>
      </c>
      <c r="C3" s="1445"/>
      <c r="D3" s="1447" t="s">
        <v>42</v>
      </c>
      <c r="E3" s="1449" t="s">
        <v>34</v>
      </c>
      <c r="F3" s="1450"/>
      <c r="G3" s="1450"/>
      <c r="H3" s="1450"/>
      <c r="I3" s="1451"/>
      <c r="J3" s="1449" t="s">
        <v>39</v>
      </c>
      <c r="K3" s="1450"/>
      <c r="L3" s="1450"/>
      <c r="M3" s="1450"/>
      <c r="N3" s="1451"/>
      <c r="O3" s="1452" t="s">
        <v>43</v>
      </c>
      <c r="P3" s="1450"/>
      <c r="Q3" s="1450"/>
      <c r="R3" s="1450"/>
      <c r="S3" s="1451"/>
      <c r="T3" s="1449" t="s">
        <v>38</v>
      </c>
      <c r="U3" s="1450"/>
      <c r="V3" s="1450"/>
      <c r="W3" s="1450"/>
      <c r="X3" s="1451"/>
    </row>
    <row r="4" spans="1:24" s="1064" customFormat="1" ht="7.8" customHeight="1" x14ac:dyDescent="0.15">
      <c r="A4" s="1443"/>
      <c r="B4" s="1446"/>
      <c r="C4" s="1446"/>
      <c r="D4" s="1448"/>
      <c r="E4" s="1440" t="s">
        <v>44</v>
      </c>
      <c r="F4" s="1441" t="s">
        <v>100</v>
      </c>
      <c r="G4" s="1441"/>
      <c r="H4" s="1441"/>
      <c r="I4" s="1439" t="s">
        <v>101</v>
      </c>
      <c r="J4" s="1440" t="s">
        <v>44</v>
      </c>
      <c r="K4" s="1441" t="s">
        <v>100</v>
      </c>
      <c r="L4" s="1441"/>
      <c r="M4" s="1441"/>
      <c r="N4" s="1439" t="s">
        <v>101</v>
      </c>
      <c r="O4" s="1453" t="s">
        <v>44</v>
      </c>
      <c r="P4" s="1441" t="s">
        <v>100</v>
      </c>
      <c r="Q4" s="1441"/>
      <c r="R4" s="1441"/>
      <c r="S4" s="1439" t="s">
        <v>101</v>
      </c>
      <c r="T4" s="1440" t="s">
        <v>44</v>
      </c>
      <c r="U4" s="1441" t="s">
        <v>100</v>
      </c>
      <c r="V4" s="1441"/>
      <c r="W4" s="1441"/>
      <c r="X4" s="1439" t="s">
        <v>101</v>
      </c>
    </row>
    <row r="5" spans="1:24" s="1065" customFormat="1" x14ac:dyDescent="0.15">
      <c r="A5" s="1443"/>
      <c r="B5" s="1446"/>
      <c r="C5" s="1446"/>
      <c r="D5" s="1448"/>
      <c r="E5" s="1440"/>
      <c r="F5" s="277" t="s">
        <v>35</v>
      </c>
      <c r="G5" s="277" t="s">
        <v>36</v>
      </c>
      <c r="H5" s="277" t="s">
        <v>37</v>
      </c>
      <c r="I5" s="1439"/>
      <c r="J5" s="1440"/>
      <c r="K5" s="277" t="s">
        <v>35</v>
      </c>
      <c r="L5" s="277" t="s">
        <v>36</v>
      </c>
      <c r="M5" s="277" t="s">
        <v>37</v>
      </c>
      <c r="N5" s="1439"/>
      <c r="O5" s="1453"/>
      <c r="P5" s="277" t="s">
        <v>35</v>
      </c>
      <c r="Q5" s="277" t="s">
        <v>36</v>
      </c>
      <c r="R5" s="277" t="s">
        <v>37</v>
      </c>
      <c r="S5" s="1439"/>
      <c r="T5" s="1440"/>
      <c r="U5" s="277" t="s">
        <v>35</v>
      </c>
      <c r="V5" s="277" t="s">
        <v>36</v>
      </c>
      <c r="W5" s="277" t="s">
        <v>37</v>
      </c>
      <c r="X5" s="1439"/>
    </row>
    <row r="6" spans="1:24" s="1063" customFormat="1" x14ac:dyDescent="0.15">
      <c r="A6" s="278" t="s">
        <v>0</v>
      </c>
      <c r="B6" s="1438" t="s">
        <v>1</v>
      </c>
      <c r="C6" s="1438"/>
      <c r="D6" s="279" t="s">
        <v>25</v>
      </c>
      <c r="E6" s="280">
        <f>SUM(E7:E9)</f>
        <v>52187030</v>
      </c>
      <c r="F6" s="281">
        <f>SUM(F7:F9)</f>
        <v>59062682.210000001</v>
      </c>
      <c r="G6" s="281">
        <f>SUM(G7:G9)</f>
        <v>59062682.210000001</v>
      </c>
      <c r="H6" s="282">
        <f t="shared" ref="H6:H36" si="0">G6/F6*100</f>
        <v>100</v>
      </c>
      <c r="I6" s="283">
        <f>SUM(I7:I9)</f>
        <v>51340006.530000001</v>
      </c>
      <c r="J6" s="280">
        <f>SUM(J7:J9)</f>
        <v>6397500</v>
      </c>
      <c r="K6" s="281">
        <f>SUM(K7:K9)</f>
        <v>8297051.8899999997</v>
      </c>
      <c r="L6" s="281">
        <f>SUM(L7:L9)</f>
        <v>8297051.8899999997</v>
      </c>
      <c r="M6" s="282">
        <f t="shared" ref="M6:M29" si="1">L6/K6*100</f>
        <v>100</v>
      </c>
      <c r="N6" s="283">
        <f>SUM(N7:N9)</f>
        <v>8484910.9700000007</v>
      </c>
      <c r="O6" s="284">
        <f>SUM(O7:O9)</f>
        <v>45789530</v>
      </c>
      <c r="P6" s="281">
        <f>SUM(P7:P9)</f>
        <v>50765630.32</v>
      </c>
      <c r="Q6" s="281">
        <f>SUM(Q7:Q9)</f>
        <v>50765630.32</v>
      </c>
      <c r="R6" s="282">
        <f>Q6/P6*100</f>
        <v>100</v>
      </c>
      <c r="S6" s="281">
        <f>SUM(S7:S9)</f>
        <v>42855095.560000002</v>
      </c>
      <c r="T6" s="280">
        <f>SUM(T7:T9)</f>
        <v>350000</v>
      </c>
      <c r="U6" s="281">
        <f>SUM(U7:U9)</f>
        <v>350000</v>
      </c>
      <c r="V6" s="281">
        <f>SUM(V7:V9)</f>
        <v>436930</v>
      </c>
      <c r="W6" s="282">
        <f>V6/U6*100</f>
        <v>124.83714285714285</v>
      </c>
      <c r="X6" s="281">
        <f>SUM(X7:X9)</f>
        <v>482488.33</v>
      </c>
    </row>
    <row r="7" spans="1:24" s="1063" customFormat="1" x14ac:dyDescent="0.15">
      <c r="A7" s="706" t="s">
        <v>2</v>
      </c>
      <c r="B7" s="1233" t="s">
        <v>46</v>
      </c>
      <c r="C7" s="1233"/>
      <c r="D7" s="279" t="s">
        <v>25</v>
      </c>
      <c r="E7" s="668">
        <f t="shared" ref="E7:G10" si="2">SUM(J7,O7)</f>
        <v>445000</v>
      </c>
      <c r="F7" s="650">
        <f t="shared" si="2"/>
        <v>885309.16</v>
      </c>
      <c r="G7" s="650">
        <f t="shared" si="2"/>
        <v>885309.16</v>
      </c>
      <c r="H7" s="651">
        <f t="shared" si="0"/>
        <v>100</v>
      </c>
      <c r="I7" s="669">
        <f>SUM(N7,S7)</f>
        <v>894270.12</v>
      </c>
      <c r="J7" s="678">
        <v>445000</v>
      </c>
      <c r="K7" s="652">
        <v>885309.16</v>
      </c>
      <c r="L7" s="652">
        <v>885309.16</v>
      </c>
      <c r="M7" s="651">
        <f t="shared" si="1"/>
        <v>100</v>
      </c>
      <c r="N7" s="679">
        <v>894270.12</v>
      </c>
      <c r="O7" s="62">
        <v>0</v>
      </c>
      <c r="P7" s="652">
        <v>0</v>
      </c>
      <c r="Q7" s="652">
        <v>0</v>
      </c>
      <c r="R7" s="651">
        <v>0</v>
      </c>
      <c r="S7" s="652">
        <v>0</v>
      </c>
      <c r="T7" s="694">
        <v>350000</v>
      </c>
      <c r="U7" s="652">
        <v>350000</v>
      </c>
      <c r="V7" s="652">
        <v>436930</v>
      </c>
      <c r="W7" s="651">
        <f>V7/U7*100</f>
        <v>124.83714285714285</v>
      </c>
      <c r="X7" s="652">
        <v>482488.33</v>
      </c>
    </row>
    <row r="8" spans="1:24" s="1063" customFormat="1" x14ac:dyDescent="0.15">
      <c r="A8" s="707" t="s">
        <v>3</v>
      </c>
      <c r="B8" s="1237" t="s">
        <v>47</v>
      </c>
      <c r="C8" s="1237"/>
      <c r="D8" s="279" t="s">
        <v>25</v>
      </c>
      <c r="E8" s="668">
        <f t="shared" si="2"/>
        <v>0</v>
      </c>
      <c r="F8" s="650">
        <f t="shared" si="2"/>
        <v>1820.73</v>
      </c>
      <c r="G8" s="650">
        <f t="shared" si="2"/>
        <v>1820.73</v>
      </c>
      <c r="H8" s="651">
        <f t="shared" si="0"/>
        <v>100</v>
      </c>
      <c r="I8" s="669">
        <f>SUM(N8,S8)</f>
        <v>1775.49</v>
      </c>
      <c r="J8" s="680">
        <v>0</v>
      </c>
      <c r="K8" s="650">
        <v>1820.73</v>
      </c>
      <c r="L8" s="650">
        <v>1820.73</v>
      </c>
      <c r="M8" s="651">
        <v>0</v>
      </c>
      <c r="N8" s="669">
        <v>1721.85</v>
      </c>
      <c r="O8" s="65">
        <v>0</v>
      </c>
      <c r="P8" s="650">
        <v>0</v>
      </c>
      <c r="Q8" s="650">
        <v>0</v>
      </c>
      <c r="R8" s="651">
        <v>0</v>
      </c>
      <c r="S8" s="650">
        <v>53.64</v>
      </c>
      <c r="T8" s="668">
        <v>0</v>
      </c>
      <c r="U8" s="650">
        <v>0</v>
      </c>
      <c r="V8" s="650">
        <v>0</v>
      </c>
      <c r="W8" s="651">
        <v>0</v>
      </c>
      <c r="X8" s="650">
        <v>0</v>
      </c>
    </row>
    <row r="9" spans="1:24" s="1063" customFormat="1" ht="8.4" x14ac:dyDescent="0.2">
      <c r="A9" s="707" t="s">
        <v>4</v>
      </c>
      <c r="B9" s="653" t="s">
        <v>62</v>
      </c>
      <c r="C9" s="1212"/>
      <c r="D9" s="279" t="s">
        <v>25</v>
      </c>
      <c r="E9" s="668">
        <f t="shared" si="2"/>
        <v>51742030</v>
      </c>
      <c r="F9" s="650">
        <f t="shared" si="2"/>
        <v>58175552.32</v>
      </c>
      <c r="G9" s="650">
        <f t="shared" si="2"/>
        <v>58175552.32</v>
      </c>
      <c r="H9" s="651">
        <f t="shared" si="0"/>
        <v>100</v>
      </c>
      <c r="I9" s="669">
        <f>SUM(N9,S9)</f>
        <v>50443960.920000002</v>
      </c>
      <c r="J9" s="680">
        <v>5952500</v>
      </c>
      <c r="K9" s="650">
        <v>7409922</v>
      </c>
      <c r="L9" s="650">
        <v>7409922</v>
      </c>
      <c r="M9" s="651">
        <f t="shared" si="1"/>
        <v>100</v>
      </c>
      <c r="N9" s="669">
        <v>7588919</v>
      </c>
      <c r="O9" s="65">
        <v>45789530</v>
      </c>
      <c r="P9" s="650">
        <f>49082201+463380.7+974555.76+245492.86</f>
        <v>50765630.32</v>
      </c>
      <c r="Q9" s="650">
        <f>49082201+463380.7+974555.76+245492.86</f>
        <v>50765630.32</v>
      </c>
      <c r="R9" s="651">
        <f>Q9/P9*100</f>
        <v>100</v>
      </c>
      <c r="S9" s="650">
        <f>40358319+1059877.71+1436845.21</f>
        <v>42855041.920000002</v>
      </c>
      <c r="T9" s="668">
        <v>0</v>
      </c>
      <c r="U9" s="650">
        <v>0</v>
      </c>
      <c r="V9" s="650">
        <v>0</v>
      </c>
      <c r="W9" s="651">
        <v>0</v>
      </c>
      <c r="X9" s="650">
        <v>0</v>
      </c>
    </row>
    <row r="10" spans="1:24" s="1063" customFormat="1" x14ac:dyDescent="0.15">
      <c r="A10" s="278" t="s">
        <v>5</v>
      </c>
      <c r="B10" s="1438" t="s">
        <v>7</v>
      </c>
      <c r="C10" s="1438"/>
      <c r="D10" s="279" t="s">
        <v>25</v>
      </c>
      <c r="E10" s="285">
        <f t="shared" si="2"/>
        <v>0</v>
      </c>
      <c r="F10" s="286">
        <f t="shared" si="2"/>
        <v>0</v>
      </c>
      <c r="G10" s="286">
        <f t="shared" si="2"/>
        <v>0</v>
      </c>
      <c r="H10" s="282">
        <v>0</v>
      </c>
      <c r="I10" s="287">
        <f>SUM(N10,S10)</f>
        <v>0</v>
      </c>
      <c r="J10" s="288">
        <v>0</v>
      </c>
      <c r="K10" s="286">
        <v>0</v>
      </c>
      <c r="L10" s="286">
        <v>0</v>
      </c>
      <c r="M10" s="282">
        <v>0</v>
      </c>
      <c r="N10" s="287">
        <v>0</v>
      </c>
      <c r="O10" s="289">
        <v>0</v>
      </c>
      <c r="P10" s="286">
        <v>0</v>
      </c>
      <c r="Q10" s="286">
        <v>0</v>
      </c>
      <c r="R10" s="282">
        <v>0</v>
      </c>
      <c r="S10" s="286">
        <v>0</v>
      </c>
      <c r="T10" s="285">
        <v>0</v>
      </c>
      <c r="U10" s="286">
        <v>0</v>
      </c>
      <c r="V10" s="286">
        <v>0</v>
      </c>
      <c r="W10" s="282">
        <v>0</v>
      </c>
      <c r="X10" s="286">
        <v>0</v>
      </c>
    </row>
    <row r="11" spans="1:24" s="1063" customFormat="1" x14ac:dyDescent="0.15">
      <c r="A11" s="278" t="s">
        <v>6</v>
      </c>
      <c r="B11" s="1438" t="s">
        <v>9</v>
      </c>
      <c r="C11" s="1438"/>
      <c r="D11" s="279" t="s">
        <v>25</v>
      </c>
      <c r="E11" s="280">
        <f>SUM(E12:E31)</f>
        <v>52187030</v>
      </c>
      <c r="F11" s="281">
        <f>SUM(F12:F32)</f>
        <v>59062682.210000008</v>
      </c>
      <c r="G11" s="281">
        <f>SUM(G12:G31)</f>
        <v>59062456.850000009</v>
      </c>
      <c r="H11" s="282">
        <f t="shared" si="0"/>
        <v>99.999618439272368</v>
      </c>
      <c r="I11" s="283">
        <f>SUM(I12:I31)</f>
        <v>51339288.829999998</v>
      </c>
      <c r="J11" s="280">
        <f>SUM(J12:J31)</f>
        <v>6397500</v>
      </c>
      <c r="K11" s="281">
        <f>SUM(K12:K31)</f>
        <v>8297051.8899999997</v>
      </c>
      <c r="L11" s="281">
        <f>SUM(L12:L31)</f>
        <v>8296826.5300000003</v>
      </c>
      <c r="M11" s="282">
        <f t="shared" si="1"/>
        <v>99.997283854518599</v>
      </c>
      <c r="N11" s="283">
        <f>SUM(N12:N31)</f>
        <v>8484193.2700000014</v>
      </c>
      <c r="O11" s="284">
        <f>SUM(O12:O31)</f>
        <v>45789530</v>
      </c>
      <c r="P11" s="281">
        <f>SUM(P12:P31)</f>
        <v>50765630.32</v>
      </c>
      <c r="Q11" s="281">
        <f>SUM(Q12:Q31)</f>
        <v>50765630.32</v>
      </c>
      <c r="R11" s="282">
        <f>Q11/P11*100</f>
        <v>100</v>
      </c>
      <c r="S11" s="281">
        <f>SUM(S12:S31)</f>
        <v>42855095.560000002</v>
      </c>
      <c r="T11" s="280">
        <f>SUM(T12:T31)</f>
        <v>294684</v>
      </c>
      <c r="U11" s="281">
        <f>SUM(U12:U31)</f>
        <v>203384.1</v>
      </c>
      <c r="V11" s="281">
        <f>SUM(V12:V31)</f>
        <v>202557.1</v>
      </c>
      <c r="W11" s="282">
        <f>V11/U11*100</f>
        <v>99.593380210154095</v>
      </c>
      <c r="X11" s="281">
        <f>SUM(X12:X31)</f>
        <v>201989</v>
      </c>
    </row>
    <row r="12" spans="1:24" s="1063" customFormat="1" x14ac:dyDescent="0.15">
      <c r="A12" s="708" t="s">
        <v>8</v>
      </c>
      <c r="B12" s="1238" t="s">
        <v>28</v>
      </c>
      <c r="C12" s="1238"/>
      <c r="D12" s="279" t="s">
        <v>25</v>
      </c>
      <c r="E12" s="668">
        <f>SUM(J12,O12)</f>
        <v>779265</v>
      </c>
      <c r="F12" s="650">
        <f t="shared" ref="E12:I28" si="3">SUM(K12,P12)</f>
        <v>1380982.3499999999</v>
      </c>
      <c r="G12" s="650">
        <f t="shared" si="3"/>
        <v>1380982.3499999999</v>
      </c>
      <c r="H12" s="651">
        <f t="shared" si="0"/>
        <v>100</v>
      </c>
      <c r="I12" s="669">
        <f t="shared" si="3"/>
        <v>1287486.49</v>
      </c>
      <c r="J12" s="682">
        <v>630685</v>
      </c>
      <c r="K12" s="655">
        <v>1088793.6499999999</v>
      </c>
      <c r="L12" s="655">
        <v>1088793.6499999999</v>
      </c>
      <c r="M12" s="651">
        <f t="shared" si="1"/>
        <v>100</v>
      </c>
      <c r="N12" s="696">
        <v>1037461.61</v>
      </c>
      <c r="O12" s="180">
        <v>148580</v>
      </c>
      <c r="P12" s="655">
        <f>229973.04+8317.54+53898.12</f>
        <v>292188.7</v>
      </c>
      <c r="Q12" s="655">
        <f>229973.04+8317.54+53898.12</f>
        <v>292188.7</v>
      </c>
      <c r="R12" s="651">
        <f>Q12/P12*100</f>
        <v>100</v>
      </c>
      <c r="S12" s="655">
        <f>237820.88+11459+745</f>
        <v>250024.88</v>
      </c>
      <c r="T12" s="695">
        <v>20000</v>
      </c>
      <c r="U12" s="655">
        <v>6500</v>
      </c>
      <c r="V12" s="655">
        <v>6458</v>
      </c>
      <c r="W12" s="651">
        <f>V12/U12*100</f>
        <v>99.353846153846163</v>
      </c>
      <c r="X12" s="655">
        <v>5880</v>
      </c>
    </row>
    <row r="13" spans="1:24" s="1063" customFormat="1" x14ac:dyDescent="0.15">
      <c r="A13" s="706" t="s">
        <v>10</v>
      </c>
      <c r="B13" s="1233" t="s">
        <v>29</v>
      </c>
      <c r="C13" s="1233"/>
      <c r="D13" s="279" t="s">
        <v>25</v>
      </c>
      <c r="E13" s="668">
        <f t="shared" si="3"/>
        <v>2615200</v>
      </c>
      <c r="F13" s="650">
        <f t="shared" si="3"/>
        <v>2424200</v>
      </c>
      <c r="G13" s="650">
        <f t="shared" si="3"/>
        <v>2423974.64</v>
      </c>
      <c r="H13" s="651">
        <f t="shared" si="0"/>
        <v>99.990703737315414</v>
      </c>
      <c r="I13" s="669">
        <f t="shared" si="3"/>
        <v>2124993</v>
      </c>
      <c r="J13" s="682">
        <v>2615200</v>
      </c>
      <c r="K13" s="650">
        <v>2424200</v>
      </c>
      <c r="L13" s="650">
        <v>2423974.64</v>
      </c>
      <c r="M13" s="651">
        <f t="shared" si="1"/>
        <v>99.990703737315414</v>
      </c>
      <c r="N13" s="669">
        <v>2124993</v>
      </c>
      <c r="O13" s="65">
        <v>0</v>
      </c>
      <c r="P13" s="650">
        <v>0</v>
      </c>
      <c r="Q13" s="650">
        <v>0</v>
      </c>
      <c r="R13" s="651">
        <v>0</v>
      </c>
      <c r="S13" s="650">
        <v>0</v>
      </c>
      <c r="T13" s="668">
        <v>160000</v>
      </c>
      <c r="U13" s="650">
        <v>77000</v>
      </c>
      <c r="V13" s="650">
        <v>76499</v>
      </c>
      <c r="W13" s="651">
        <f>V13/U13*100</f>
        <v>99.349350649350654</v>
      </c>
      <c r="X13" s="650">
        <v>88332</v>
      </c>
    </row>
    <row r="14" spans="1:24" s="1063" customFormat="1" x14ac:dyDescent="0.15">
      <c r="A14" s="706" t="s">
        <v>11</v>
      </c>
      <c r="B14" s="1211" t="s">
        <v>63</v>
      </c>
      <c r="C14" s="1211"/>
      <c r="D14" s="279" t="s">
        <v>25</v>
      </c>
      <c r="E14" s="668">
        <f t="shared" si="3"/>
        <v>0</v>
      </c>
      <c r="F14" s="650">
        <f t="shared" si="3"/>
        <v>0</v>
      </c>
      <c r="G14" s="650">
        <f t="shared" si="3"/>
        <v>0</v>
      </c>
      <c r="H14" s="651">
        <v>0</v>
      </c>
      <c r="I14" s="669">
        <f t="shared" si="3"/>
        <v>0</v>
      </c>
      <c r="J14" s="682">
        <v>0</v>
      </c>
      <c r="K14" s="650">
        <v>0</v>
      </c>
      <c r="L14" s="650">
        <v>0</v>
      </c>
      <c r="M14" s="651">
        <v>0</v>
      </c>
      <c r="N14" s="669">
        <v>0</v>
      </c>
      <c r="O14" s="65">
        <v>0</v>
      </c>
      <c r="P14" s="650">
        <v>0</v>
      </c>
      <c r="Q14" s="650">
        <v>0</v>
      </c>
      <c r="R14" s="651">
        <v>0</v>
      </c>
      <c r="S14" s="650">
        <v>0</v>
      </c>
      <c r="T14" s="668">
        <v>0</v>
      </c>
      <c r="U14" s="650">
        <v>0</v>
      </c>
      <c r="V14" s="650">
        <v>0</v>
      </c>
      <c r="W14" s="651">
        <v>0</v>
      </c>
      <c r="X14" s="650">
        <v>0</v>
      </c>
    </row>
    <row r="15" spans="1:24" s="1063" customFormat="1" x14ac:dyDescent="0.15">
      <c r="A15" s="706" t="s">
        <v>12</v>
      </c>
      <c r="B15" s="1233" t="s">
        <v>64</v>
      </c>
      <c r="C15" s="1233"/>
      <c r="D15" s="279" t="s">
        <v>25</v>
      </c>
      <c r="E15" s="668">
        <f t="shared" si="3"/>
        <v>970000</v>
      </c>
      <c r="F15" s="650">
        <f t="shared" si="3"/>
        <v>2085546.57</v>
      </c>
      <c r="G15" s="650">
        <f t="shared" si="3"/>
        <v>2085546.57</v>
      </c>
      <c r="H15" s="651">
        <f t="shared" si="0"/>
        <v>100</v>
      </c>
      <c r="I15" s="669">
        <f t="shared" si="3"/>
        <v>2188712.2000000002</v>
      </c>
      <c r="J15" s="682">
        <v>970000</v>
      </c>
      <c r="K15" s="650">
        <v>2085546.57</v>
      </c>
      <c r="L15" s="650">
        <v>2085546.57</v>
      </c>
      <c r="M15" s="651">
        <f t="shared" si="1"/>
        <v>100</v>
      </c>
      <c r="N15" s="669">
        <v>2188712.2000000002</v>
      </c>
      <c r="O15" s="65">
        <v>0</v>
      </c>
      <c r="P15" s="650">
        <v>0</v>
      </c>
      <c r="Q15" s="650">
        <v>0</v>
      </c>
      <c r="R15" s="651">
        <v>0</v>
      </c>
      <c r="S15" s="650">
        <v>0</v>
      </c>
      <c r="T15" s="668">
        <v>25000</v>
      </c>
      <c r="U15" s="650">
        <v>27000</v>
      </c>
      <c r="V15" s="650">
        <v>26855</v>
      </c>
      <c r="W15" s="651">
        <f>V15/U15*100</f>
        <v>99.462962962962962</v>
      </c>
      <c r="X15" s="650">
        <v>19471</v>
      </c>
    </row>
    <row r="16" spans="1:24" s="1063" customFormat="1" x14ac:dyDescent="0.15">
      <c r="A16" s="706" t="s">
        <v>13</v>
      </c>
      <c r="B16" s="1233" t="s">
        <v>30</v>
      </c>
      <c r="C16" s="1233"/>
      <c r="D16" s="279" t="s">
        <v>25</v>
      </c>
      <c r="E16" s="668">
        <f t="shared" si="3"/>
        <v>43000</v>
      </c>
      <c r="F16" s="650">
        <f t="shared" si="3"/>
        <v>46440</v>
      </c>
      <c r="G16" s="650">
        <f t="shared" si="3"/>
        <v>46440</v>
      </c>
      <c r="H16" s="651">
        <f t="shared" si="0"/>
        <v>100</v>
      </c>
      <c r="I16" s="669">
        <f t="shared" si="3"/>
        <v>48734</v>
      </c>
      <c r="J16" s="682">
        <v>3000</v>
      </c>
      <c r="K16" s="650">
        <v>3000</v>
      </c>
      <c r="L16" s="650">
        <v>3000</v>
      </c>
      <c r="M16" s="651">
        <f t="shared" si="1"/>
        <v>100</v>
      </c>
      <c r="N16" s="669">
        <v>3356</v>
      </c>
      <c r="O16" s="65">
        <v>40000</v>
      </c>
      <c r="P16" s="650">
        <v>43440</v>
      </c>
      <c r="Q16" s="650">
        <v>43440</v>
      </c>
      <c r="R16" s="651">
        <f>Q16/P16*100</f>
        <v>100</v>
      </c>
      <c r="S16" s="650">
        <f>38723+6655</f>
        <v>45378</v>
      </c>
      <c r="T16" s="668">
        <v>0</v>
      </c>
      <c r="U16" s="650">
        <v>0</v>
      </c>
      <c r="V16" s="650">
        <v>0</v>
      </c>
      <c r="W16" s="651">
        <v>0</v>
      </c>
      <c r="X16" s="650">
        <v>0</v>
      </c>
    </row>
    <row r="17" spans="1:24" s="1063" customFormat="1" x14ac:dyDescent="0.15">
      <c r="A17" s="706" t="s">
        <v>14</v>
      </c>
      <c r="B17" s="1211" t="s">
        <v>48</v>
      </c>
      <c r="C17" s="1211"/>
      <c r="D17" s="279" t="s">
        <v>25</v>
      </c>
      <c r="E17" s="668">
        <f t="shared" si="3"/>
        <v>5000</v>
      </c>
      <c r="F17" s="650">
        <f t="shared" si="3"/>
        <v>4940</v>
      </c>
      <c r="G17" s="650">
        <f t="shared" si="3"/>
        <v>4940</v>
      </c>
      <c r="H17" s="651">
        <f t="shared" si="0"/>
        <v>100</v>
      </c>
      <c r="I17" s="669">
        <f t="shared" si="3"/>
        <v>3805</v>
      </c>
      <c r="J17" s="682">
        <v>5000</v>
      </c>
      <c r="K17" s="650">
        <v>4940</v>
      </c>
      <c r="L17" s="650">
        <v>4940</v>
      </c>
      <c r="M17" s="651">
        <f t="shared" si="1"/>
        <v>100</v>
      </c>
      <c r="N17" s="669">
        <v>3805</v>
      </c>
      <c r="O17" s="65">
        <v>0</v>
      </c>
      <c r="P17" s="650">
        <v>0</v>
      </c>
      <c r="Q17" s="650">
        <v>0</v>
      </c>
      <c r="R17" s="651">
        <v>0</v>
      </c>
      <c r="S17" s="650">
        <v>0</v>
      </c>
      <c r="T17" s="668">
        <v>0</v>
      </c>
      <c r="U17" s="650">
        <v>0</v>
      </c>
      <c r="V17" s="650">
        <v>0</v>
      </c>
      <c r="W17" s="651">
        <v>0</v>
      </c>
      <c r="X17" s="650">
        <v>0</v>
      </c>
    </row>
    <row r="18" spans="1:24" s="1063" customFormat="1" x14ac:dyDescent="0.15">
      <c r="A18" s="706" t="s">
        <v>15</v>
      </c>
      <c r="B18" s="1233" t="s">
        <v>31</v>
      </c>
      <c r="C18" s="1233"/>
      <c r="D18" s="279" t="s">
        <v>25</v>
      </c>
      <c r="E18" s="668">
        <f t="shared" si="3"/>
        <v>666000</v>
      </c>
      <c r="F18" s="650">
        <f t="shared" si="3"/>
        <v>630059.46</v>
      </c>
      <c r="G18" s="650">
        <f t="shared" si="3"/>
        <v>630059.46</v>
      </c>
      <c r="H18" s="651">
        <f t="shared" si="0"/>
        <v>100</v>
      </c>
      <c r="I18" s="669">
        <f t="shared" si="3"/>
        <v>1035462.3800000001</v>
      </c>
      <c r="J18" s="682">
        <v>540000</v>
      </c>
      <c r="K18" s="650">
        <v>513775.51</v>
      </c>
      <c r="L18" s="650">
        <v>513775.51</v>
      </c>
      <c r="M18" s="651">
        <f t="shared" si="1"/>
        <v>100</v>
      </c>
      <c r="N18" s="669">
        <v>482066.96</v>
      </c>
      <c r="O18" s="65">
        <v>126000</v>
      </c>
      <c r="P18" s="650">
        <f>115634.95+649</f>
        <v>116283.95</v>
      </c>
      <c r="Q18" s="650">
        <f>115634.95+649</f>
        <v>116283.95</v>
      </c>
      <c r="R18" s="651">
        <f>Q18/P18*100</f>
        <v>100</v>
      </c>
      <c r="S18" s="650">
        <f>125366.42+987+427042</f>
        <v>553395.42000000004</v>
      </c>
      <c r="T18" s="668">
        <v>5000</v>
      </c>
      <c r="U18" s="650">
        <v>8200</v>
      </c>
      <c r="V18" s="650">
        <v>8106</v>
      </c>
      <c r="W18" s="651">
        <f>V18/U18*100</f>
        <v>98.853658536585371</v>
      </c>
      <c r="X18" s="650">
        <v>6581</v>
      </c>
    </row>
    <row r="19" spans="1:24" s="1066" customFormat="1" x14ac:dyDescent="0.15">
      <c r="A19" s="706" t="s">
        <v>16</v>
      </c>
      <c r="B19" s="1233" t="s">
        <v>32</v>
      </c>
      <c r="C19" s="1233"/>
      <c r="D19" s="279" t="s">
        <v>25</v>
      </c>
      <c r="E19" s="668">
        <f t="shared" si="3"/>
        <v>33482715</v>
      </c>
      <c r="F19" s="650">
        <f t="shared" si="3"/>
        <v>37208727</v>
      </c>
      <c r="G19" s="650">
        <f t="shared" si="3"/>
        <v>37208727</v>
      </c>
      <c r="H19" s="651">
        <f t="shared" si="0"/>
        <v>100</v>
      </c>
      <c r="I19" s="669">
        <f t="shared" si="3"/>
        <v>31141317</v>
      </c>
      <c r="J19" s="684">
        <v>242915</v>
      </c>
      <c r="K19" s="650">
        <v>284915</v>
      </c>
      <c r="L19" s="650">
        <v>284915</v>
      </c>
      <c r="M19" s="651">
        <f t="shared" si="1"/>
        <v>100</v>
      </c>
      <c r="N19" s="669">
        <v>266740</v>
      </c>
      <c r="O19" s="65">
        <v>33239800</v>
      </c>
      <c r="P19" s="650">
        <f>35709881+411520+616927+185484</f>
        <v>36923812</v>
      </c>
      <c r="Q19" s="650">
        <f>35709881+411520+616927+185484</f>
        <v>36923812</v>
      </c>
      <c r="R19" s="651">
        <f>Q19/P19*100</f>
        <v>100</v>
      </c>
      <c r="S19" s="650">
        <f>29203462+1157320+513795</f>
        <v>30874577</v>
      </c>
      <c r="T19" s="700">
        <v>50000</v>
      </c>
      <c r="U19" s="658">
        <v>50000</v>
      </c>
      <c r="V19" s="658">
        <v>50000</v>
      </c>
      <c r="W19" s="651">
        <f>V19/U19*100</f>
        <v>100</v>
      </c>
      <c r="X19" s="658">
        <v>53885</v>
      </c>
    </row>
    <row r="20" spans="1:24" s="1063" customFormat="1" x14ac:dyDescent="0.15">
      <c r="A20" s="706" t="s">
        <v>17</v>
      </c>
      <c r="B20" s="1233" t="s">
        <v>49</v>
      </c>
      <c r="C20" s="1233"/>
      <c r="D20" s="279" t="s">
        <v>25</v>
      </c>
      <c r="E20" s="668">
        <f t="shared" si="3"/>
        <v>11391150</v>
      </c>
      <c r="F20" s="650">
        <f t="shared" si="3"/>
        <v>12381159.07</v>
      </c>
      <c r="G20" s="650">
        <f t="shared" si="3"/>
        <v>12381159.07</v>
      </c>
      <c r="H20" s="651">
        <f t="shared" si="0"/>
        <v>100</v>
      </c>
      <c r="I20" s="669">
        <f t="shared" si="3"/>
        <v>10349769.08</v>
      </c>
      <c r="J20" s="682">
        <v>0</v>
      </c>
      <c r="K20" s="650">
        <f>14196+176.4</f>
        <v>14372.4</v>
      </c>
      <c r="L20" s="650">
        <f>14196+176.4</f>
        <v>14372.4</v>
      </c>
      <c r="M20" s="651">
        <v>0</v>
      </c>
      <c r="N20" s="669">
        <f>14314+176.82</f>
        <v>14490.82</v>
      </c>
      <c r="O20" s="65">
        <f>11250500+140650</f>
        <v>11391150</v>
      </c>
      <c r="P20" s="650">
        <f>11989445+148607.01+42370+524.16+127567+1578.64+55999+695.86</f>
        <v>12366786.67</v>
      </c>
      <c r="Q20" s="650">
        <f>11989445+148607.01+42370+524.16+127567+1578.64+55999+695.86</f>
        <v>12366786.67</v>
      </c>
      <c r="R20" s="651">
        <f>Q20/P20*100</f>
        <v>100</v>
      </c>
      <c r="S20" s="650">
        <f>9855200+104913+246527+121661.7+1376.71+5599.85</f>
        <v>10335278.26</v>
      </c>
      <c r="T20" s="668">
        <v>15661</v>
      </c>
      <c r="U20" s="650">
        <v>15661.1</v>
      </c>
      <c r="V20" s="650">
        <v>15616.1</v>
      </c>
      <c r="W20" s="651">
        <f>V20/U20*100</f>
        <v>99.712663861414583</v>
      </c>
      <c r="X20" s="650">
        <v>13080</v>
      </c>
    </row>
    <row r="21" spans="1:24" s="1063" customFormat="1" x14ac:dyDescent="0.15">
      <c r="A21" s="706" t="s">
        <v>18</v>
      </c>
      <c r="B21" s="1233" t="s">
        <v>50</v>
      </c>
      <c r="C21" s="1233"/>
      <c r="D21" s="279" t="s">
        <v>25</v>
      </c>
      <c r="E21" s="668">
        <f t="shared" si="3"/>
        <v>709000</v>
      </c>
      <c r="F21" s="650">
        <f t="shared" si="3"/>
        <v>767029</v>
      </c>
      <c r="G21" s="650">
        <f t="shared" si="3"/>
        <v>767029</v>
      </c>
      <c r="H21" s="651">
        <f t="shared" si="0"/>
        <v>100</v>
      </c>
      <c r="I21" s="669">
        <f t="shared" si="3"/>
        <v>634988</v>
      </c>
      <c r="J21" s="682">
        <v>15000</v>
      </c>
      <c r="K21" s="650">
        <v>15840</v>
      </c>
      <c r="L21" s="650">
        <v>15840</v>
      </c>
      <c r="M21" s="651">
        <f t="shared" si="1"/>
        <v>100</v>
      </c>
      <c r="N21" s="669">
        <v>15842</v>
      </c>
      <c r="O21" s="65">
        <v>694000</v>
      </c>
      <c r="P21" s="650">
        <f>740338+7537+3314</f>
        <v>751189</v>
      </c>
      <c r="Q21" s="650">
        <f>740338+7537+3314</f>
        <v>751189</v>
      </c>
      <c r="R21" s="651">
        <f>Q21/P21*100</f>
        <v>100</v>
      </c>
      <c r="S21" s="650">
        <f>606789+5351+7006</f>
        <v>619146</v>
      </c>
      <c r="T21" s="668">
        <v>910</v>
      </c>
      <c r="U21" s="650">
        <v>910</v>
      </c>
      <c r="V21" s="650">
        <v>910</v>
      </c>
      <c r="W21" s="651">
        <f>V21/U21*100</f>
        <v>100</v>
      </c>
      <c r="X21" s="650">
        <v>760</v>
      </c>
    </row>
    <row r="22" spans="1:24" s="1063" customFormat="1" x14ac:dyDescent="0.15">
      <c r="A22" s="706" t="s">
        <v>19</v>
      </c>
      <c r="B22" s="1233" t="s">
        <v>65</v>
      </c>
      <c r="C22" s="1233"/>
      <c r="D22" s="279" t="s">
        <v>25</v>
      </c>
      <c r="E22" s="668">
        <f t="shared" si="3"/>
        <v>0</v>
      </c>
      <c r="F22" s="650">
        <f t="shared" si="3"/>
        <v>0</v>
      </c>
      <c r="G22" s="650">
        <f t="shared" si="3"/>
        <v>0</v>
      </c>
      <c r="H22" s="651">
        <v>0</v>
      </c>
      <c r="I22" s="669">
        <f t="shared" si="3"/>
        <v>0</v>
      </c>
      <c r="J22" s="682">
        <v>0</v>
      </c>
      <c r="K22" s="650">
        <v>0</v>
      </c>
      <c r="L22" s="650">
        <v>0</v>
      </c>
      <c r="M22" s="651">
        <v>0</v>
      </c>
      <c r="N22" s="669">
        <v>0</v>
      </c>
      <c r="O22" s="65">
        <v>0</v>
      </c>
      <c r="P22" s="650">
        <v>0</v>
      </c>
      <c r="Q22" s="650">
        <v>0</v>
      </c>
      <c r="R22" s="651">
        <v>0</v>
      </c>
      <c r="S22" s="650">
        <v>0</v>
      </c>
      <c r="T22" s="668">
        <v>0</v>
      </c>
      <c r="U22" s="650">
        <v>0</v>
      </c>
      <c r="V22" s="650">
        <v>0</v>
      </c>
      <c r="W22" s="651">
        <v>0</v>
      </c>
      <c r="X22" s="650">
        <v>0</v>
      </c>
    </row>
    <row r="23" spans="1:24" s="1063" customFormat="1" x14ac:dyDescent="0.15">
      <c r="A23" s="706" t="s">
        <v>20</v>
      </c>
      <c r="B23" s="1211" t="s">
        <v>66</v>
      </c>
      <c r="C23" s="1211"/>
      <c r="D23" s="279" t="s">
        <v>25</v>
      </c>
      <c r="E23" s="668">
        <f t="shared" si="3"/>
        <v>0</v>
      </c>
      <c r="F23" s="650">
        <f t="shared" si="3"/>
        <v>5000</v>
      </c>
      <c r="G23" s="650">
        <f t="shared" si="3"/>
        <v>5000</v>
      </c>
      <c r="H23" s="651">
        <f t="shared" si="0"/>
        <v>100</v>
      </c>
      <c r="I23" s="669">
        <f t="shared" si="3"/>
        <v>0</v>
      </c>
      <c r="J23" s="682">
        <v>0</v>
      </c>
      <c r="K23" s="650">
        <v>5000</v>
      </c>
      <c r="L23" s="650">
        <v>5000</v>
      </c>
      <c r="M23" s="651">
        <v>0</v>
      </c>
      <c r="N23" s="669">
        <v>0</v>
      </c>
      <c r="O23" s="65">
        <v>0</v>
      </c>
      <c r="P23" s="650">
        <v>0</v>
      </c>
      <c r="Q23" s="650">
        <v>0</v>
      </c>
      <c r="R23" s="651">
        <v>0</v>
      </c>
      <c r="S23" s="650">
        <v>0</v>
      </c>
      <c r="T23" s="668">
        <v>0</v>
      </c>
      <c r="U23" s="650">
        <v>0</v>
      </c>
      <c r="V23" s="650">
        <v>0</v>
      </c>
      <c r="W23" s="651">
        <v>0</v>
      </c>
      <c r="X23" s="650">
        <v>0</v>
      </c>
    </row>
    <row r="24" spans="1:24" s="1063" customFormat="1" x14ac:dyDescent="0.15">
      <c r="A24" s="706" t="s">
        <v>21</v>
      </c>
      <c r="B24" s="1211" t="s">
        <v>73</v>
      </c>
      <c r="C24" s="1211"/>
      <c r="D24" s="279" t="s">
        <v>25</v>
      </c>
      <c r="E24" s="668">
        <f t="shared" si="3"/>
        <v>0</v>
      </c>
      <c r="F24" s="650">
        <f t="shared" si="3"/>
        <v>0</v>
      </c>
      <c r="G24" s="650">
        <f t="shared" si="3"/>
        <v>0</v>
      </c>
      <c r="H24" s="651">
        <v>0</v>
      </c>
      <c r="I24" s="669">
        <f t="shared" si="3"/>
        <v>0</v>
      </c>
      <c r="J24" s="682">
        <v>0</v>
      </c>
      <c r="K24" s="650">
        <v>0</v>
      </c>
      <c r="L24" s="650">
        <v>0</v>
      </c>
      <c r="M24" s="651">
        <v>0</v>
      </c>
      <c r="N24" s="669">
        <v>0</v>
      </c>
      <c r="O24" s="65">
        <v>0</v>
      </c>
      <c r="P24" s="650">
        <v>0</v>
      </c>
      <c r="Q24" s="650">
        <v>0</v>
      </c>
      <c r="R24" s="651">
        <v>0</v>
      </c>
      <c r="S24" s="650">
        <v>0</v>
      </c>
      <c r="T24" s="668">
        <v>0</v>
      </c>
      <c r="U24" s="650">
        <v>0</v>
      </c>
      <c r="V24" s="650">
        <v>0</v>
      </c>
      <c r="W24" s="651">
        <v>0</v>
      </c>
      <c r="X24" s="650">
        <v>0</v>
      </c>
    </row>
    <row r="25" spans="1:24" s="1063" customFormat="1" x14ac:dyDescent="0.15">
      <c r="A25" s="708" t="s">
        <v>22</v>
      </c>
      <c r="B25" s="1213" t="s">
        <v>68</v>
      </c>
      <c r="C25" s="1213"/>
      <c r="D25" s="279" t="s">
        <v>25</v>
      </c>
      <c r="E25" s="668">
        <f t="shared" si="3"/>
        <v>0</v>
      </c>
      <c r="F25" s="650">
        <f t="shared" si="3"/>
        <v>0</v>
      </c>
      <c r="G25" s="650">
        <f t="shared" si="3"/>
        <v>0</v>
      </c>
      <c r="H25" s="651">
        <v>0</v>
      </c>
      <c r="I25" s="669">
        <f t="shared" si="3"/>
        <v>0</v>
      </c>
      <c r="J25" s="682">
        <v>0</v>
      </c>
      <c r="K25" s="655">
        <v>0</v>
      </c>
      <c r="L25" s="655">
        <v>0</v>
      </c>
      <c r="M25" s="651">
        <v>0</v>
      </c>
      <c r="N25" s="696">
        <v>0</v>
      </c>
      <c r="O25" s="180">
        <v>0</v>
      </c>
      <c r="P25" s="655">
        <v>0</v>
      </c>
      <c r="Q25" s="655">
        <v>0</v>
      </c>
      <c r="R25" s="651">
        <v>0</v>
      </c>
      <c r="S25" s="655">
        <v>0</v>
      </c>
      <c r="T25" s="695">
        <v>0</v>
      </c>
      <c r="U25" s="655">
        <v>0</v>
      </c>
      <c r="V25" s="650">
        <v>0</v>
      </c>
      <c r="W25" s="651">
        <v>0</v>
      </c>
      <c r="X25" s="655">
        <v>0</v>
      </c>
    </row>
    <row r="26" spans="1:24" s="1067" customFormat="1" x14ac:dyDescent="0.15">
      <c r="A26" s="706" t="s">
        <v>23</v>
      </c>
      <c r="B26" s="1233" t="s">
        <v>69</v>
      </c>
      <c r="C26" s="1233"/>
      <c r="D26" s="279" t="s">
        <v>25</v>
      </c>
      <c r="E26" s="668">
        <f>SUM(J26,O26)</f>
        <v>955000</v>
      </c>
      <c r="F26" s="650">
        <f>SUM(K26,P26)</f>
        <v>1295740</v>
      </c>
      <c r="G26" s="650">
        <f t="shared" si="3"/>
        <v>1295740</v>
      </c>
      <c r="H26" s="651">
        <f t="shared" si="0"/>
        <v>100</v>
      </c>
      <c r="I26" s="669">
        <f>SUM(N26,S26)</f>
        <v>975289.3</v>
      </c>
      <c r="J26" s="682">
        <v>955000</v>
      </c>
      <c r="K26" s="656">
        <v>1295740</v>
      </c>
      <c r="L26" s="656">
        <v>1295740</v>
      </c>
      <c r="M26" s="651">
        <f t="shared" si="1"/>
        <v>100</v>
      </c>
      <c r="N26" s="683">
        <v>975289.3</v>
      </c>
      <c r="O26" s="290">
        <v>0</v>
      </c>
      <c r="P26" s="656">
        <v>0</v>
      </c>
      <c r="Q26" s="656">
        <v>0</v>
      </c>
      <c r="R26" s="651">
        <v>0</v>
      </c>
      <c r="S26" s="656">
        <v>0</v>
      </c>
      <c r="T26" s="668">
        <v>18113</v>
      </c>
      <c r="U26" s="655">
        <v>18113</v>
      </c>
      <c r="V26" s="650">
        <v>18113</v>
      </c>
      <c r="W26" s="651">
        <f>V26/U26*100</f>
        <v>100</v>
      </c>
      <c r="X26" s="650">
        <v>14000</v>
      </c>
    </row>
    <row r="27" spans="1:24" s="1068" customFormat="1" x14ac:dyDescent="0.15">
      <c r="A27" s="706" t="s">
        <v>45</v>
      </c>
      <c r="B27" s="1211" t="s">
        <v>70</v>
      </c>
      <c r="C27" s="1211"/>
      <c r="D27" s="279" t="s">
        <v>25</v>
      </c>
      <c r="E27" s="668">
        <f t="shared" si="3"/>
        <v>0</v>
      </c>
      <c r="F27" s="650">
        <f t="shared" si="3"/>
        <v>0</v>
      </c>
      <c r="G27" s="650">
        <f t="shared" si="3"/>
        <v>0</v>
      </c>
      <c r="H27" s="651">
        <v>0</v>
      </c>
      <c r="I27" s="669">
        <f t="shared" si="3"/>
        <v>0</v>
      </c>
      <c r="J27" s="682">
        <v>0</v>
      </c>
      <c r="K27" s="656">
        <v>0</v>
      </c>
      <c r="L27" s="656">
        <v>0</v>
      </c>
      <c r="M27" s="651">
        <v>0</v>
      </c>
      <c r="N27" s="683">
        <v>0</v>
      </c>
      <c r="O27" s="290">
        <v>0</v>
      </c>
      <c r="P27" s="656">
        <v>0</v>
      </c>
      <c r="Q27" s="656">
        <v>0</v>
      </c>
      <c r="R27" s="651">
        <v>0</v>
      </c>
      <c r="S27" s="656">
        <v>0</v>
      </c>
      <c r="T27" s="668">
        <v>0</v>
      </c>
      <c r="U27" s="655">
        <v>0</v>
      </c>
      <c r="V27" s="650">
        <v>0</v>
      </c>
      <c r="W27" s="651">
        <v>0</v>
      </c>
      <c r="X27" s="663">
        <v>0</v>
      </c>
    </row>
    <row r="28" spans="1:24" s="1068" customFormat="1" x14ac:dyDescent="0.15">
      <c r="A28" s="706" t="s">
        <v>51</v>
      </c>
      <c r="B28" s="1211" t="s">
        <v>74</v>
      </c>
      <c r="C28" s="1211"/>
      <c r="D28" s="279" t="s">
        <v>25</v>
      </c>
      <c r="E28" s="668">
        <f>SUM(J28,O28)</f>
        <v>490000</v>
      </c>
      <c r="F28" s="650">
        <f t="shared" si="3"/>
        <v>747772.7</v>
      </c>
      <c r="G28" s="650">
        <f t="shared" si="3"/>
        <v>747772.7</v>
      </c>
      <c r="H28" s="651">
        <v>0</v>
      </c>
      <c r="I28" s="669">
        <f>SUM(N28,S28)</f>
        <v>1513162.5</v>
      </c>
      <c r="J28" s="682">
        <v>340000</v>
      </c>
      <c r="K28" s="656">
        <v>475842.7</v>
      </c>
      <c r="L28" s="656">
        <v>475842.7</v>
      </c>
      <c r="M28" s="651">
        <f t="shared" si="1"/>
        <v>100</v>
      </c>
      <c r="N28" s="683">
        <v>1335866.5</v>
      </c>
      <c r="O28" s="290">
        <v>150000</v>
      </c>
      <c r="P28" s="656">
        <f>104882+167048</f>
        <v>271930</v>
      </c>
      <c r="Q28" s="656">
        <f>104882+167048</f>
        <v>271930</v>
      </c>
      <c r="R28" s="651">
        <f>Q28/P28*100</f>
        <v>100</v>
      </c>
      <c r="S28" s="656">
        <f>169296+8000</f>
        <v>177296</v>
      </c>
      <c r="T28" s="668">
        <v>0</v>
      </c>
      <c r="U28" s="663">
        <v>0</v>
      </c>
      <c r="V28" s="650">
        <v>0</v>
      </c>
      <c r="W28" s="651">
        <v>0</v>
      </c>
      <c r="X28" s="663">
        <v>0</v>
      </c>
    </row>
    <row r="29" spans="1:24" s="1067" customFormat="1" x14ac:dyDescent="0.15">
      <c r="A29" s="706" t="s">
        <v>52</v>
      </c>
      <c r="B29" s="1233" t="s">
        <v>67</v>
      </c>
      <c r="C29" s="1233"/>
      <c r="D29" s="279" t="s">
        <v>25</v>
      </c>
      <c r="E29" s="668">
        <f t="shared" ref="E29:G31" si="4">SUM(J29,O29)</f>
        <v>80700</v>
      </c>
      <c r="F29" s="650">
        <f t="shared" si="4"/>
        <v>85086.06</v>
      </c>
      <c r="G29" s="650">
        <f t="shared" si="4"/>
        <v>85086.06</v>
      </c>
      <c r="H29" s="651">
        <f t="shared" si="0"/>
        <v>100</v>
      </c>
      <c r="I29" s="669">
        <f>SUM(N29,S29)</f>
        <v>35569.879999999997</v>
      </c>
      <c r="J29" s="682">
        <v>80700</v>
      </c>
      <c r="K29" s="656">
        <v>85086.06</v>
      </c>
      <c r="L29" s="656">
        <v>85086.06</v>
      </c>
      <c r="M29" s="651">
        <f t="shared" si="1"/>
        <v>100</v>
      </c>
      <c r="N29" s="683">
        <v>35569.879999999997</v>
      </c>
      <c r="O29" s="290">
        <v>0</v>
      </c>
      <c r="P29" s="656">
        <v>0</v>
      </c>
      <c r="Q29" s="656">
        <v>0</v>
      </c>
      <c r="R29" s="651">
        <v>0</v>
      </c>
      <c r="S29" s="656">
        <v>0</v>
      </c>
      <c r="T29" s="668">
        <v>0</v>
      </c>
      <c r="U29" s="663">
        <v>0</v>
      </c>
      <c r="V29" s="650">
        <v>0</v>
      </c>
      <c r="W29" s="651">
        <v>0</v>
      </c>
      <c r="X29" s="663">
        <v>0</v>
      </c>
    </row>
    <row r="30" spans="1:24" s="1063" customFormat="1" x14ac:dyDescent="0.15">
      <c r="A30" s="706" t="s">
        <v>54</v>
      </c>
      <c r="B30" s="1211" t="s">
        <v>53</v>
      </c>
      <c r="C30" s="1211"/>
      <c r="D30" s="279" t="s">
        <v>25</v>
      </c>
      <c r="E30" s="668">
        <f t="shared" si="4"/>
        <v>0</v>
      </c>
      <c r="F30" s="650">
        <f t="shared" si="4"/>
        <v>0</v>
      </c>
      <c r="G30" s="650">
        <f t="shared" si="4"/>
        <v>0</v>
      </c>
      <c r="H30" s="651">
        <v>0</v>
      </c>
      <c r="I30" s="669">
        <f>SUM(N30,S30)</f>
        <v>0</v>
      </c>
      <c r="J30" s="682">
        <v>0</v>
      </c>
      <c r="K30" s="656">
        <v>0</v>
      </c>
      <c r="L30" s="656">
        <v>0</v>
      </c>
      <c r="M30" s="651">
        <v>0</v>
      </c>
      <c r="N30" s="683">
        <v>0</v>
      </c>
      <c r="O30" s="290">
        <v>0</v>
      </c>
      <c r="P30" s="656">
        <v>0</v>
      </c>
      <c r="Q30" s="656">
        <v>0</v>
      </c>
      <c r="R30" s="651">
        <v>0</v>
      </c>
      <c r="S30" s="656">
        <v>0</v>
      </c>
      <c r="T30" s="668">
        <v>0</v>
      </c>
      <c r="U30" s="663">
        <v>0</v>
      </c>
      <c r="V30" s="650">
        <v>0</v>
      </c>
      <c r="W30" s="651">
        <v>0</v>
      </c>
      <c r="X30" s="663">
        <v>0</v>
      </c>
    </row>
    <row r="31" spans="1:24" s="1069" customFormat="1" ht="8.4" x14ac:dyDescent="0.2">
      <c r="A31" s="706" t="s">
        <v>55</v>
      </c>
      <c r="B31" s="653" t="s">
        <v>71</v>
      </c>
      <c r="C31" s="653"/>
      <c r="D31" s="279" t="s">
        <v>25</v>
      </c>
      <c r="E31" s="668">
        <f t="shared" si="4"/>
        <v>0</v>
      </c>
      <c r="F31" s="650">
        <f t="shared" si="4"/>
        <v>0</v>
      </c>
      <c r="G31" s="650">
        <f t="shared" si="4"/>
        <v>0</v>
      </c>
      <c r="H31" s="651">
        <v>0</v>
      </c>
      <c r="I31" s="669">
        <f>SUM(N31,S31)</f>
        <v>0</v>
      </c>
      <c r="J31" s="682">
        <v>0</v>
      </c>
      <c r="K31" s="662">
        <v>0</v>
      </c>
      <c r="L31" s="662">
        <v>0</v>
      </c>
      <c r="M31" s="651">
        <v>0</v>
      </c>
      <c r="N31" s="685">
        <v>0</v>
      </c>
      <c r="O31" s="85">
        <v>0</v>
      </c>
      <c r="P31" s="662">
        <v>0</v>
      </c>
      <c r="Q31" s="662">
        <v>0</v>
      </c>
      <c r="R31" s="651">
        <v>0</v>
      </c>
      <c r="S31" s="662">
        <v>0</v>
      </c>
      <c r="T31" s="699">
        <v>0</v>
      </c>
      <c r="U31" s="663">
        <v>0</v>
      </c>
      <c r="V31" s="650">
        <v>0</v>
      </c>
      <c r="W31" s="651">
        <v>0</v>
      </c>
      <c r="X31" s="663">
        <v>0</v>
      </c>
    </row>
    <row r="32" spans="1:24" s="1069" customFormat="1" x14ac:dyDescent="0.15">
      <c r="A32" s="708" t="s">
        <v>56</v>
      </c>
      <c r="B32" s="1213" t="s">
        <v>72</v>
      </c>
      <c r="C32" s="1213"/>
      <c r="D32" s="279" t="s">
        <v>25</v>
      </c>
      <c r="E32" s="668">
        <f>SUM(J32,O32)</f>
        <v>0</v>
      </c>
      <c r="F32" s="650">
        <f>SUM(K32,P32)</f>
        <v>0</v>
      </c>
      <c r="G32" s="650">
        <f>SUM(L32,Q32)</f>
        <v>0</v>
      </c>
      <c r="H32" s="651">
        <v>0</v>
      </c>
      <c r="I32" s="669">
        <f>SUM(N32,S32)</f>
        <v>0</v>
      </c>
      <c r="J32" s="686">
        <v>0</v>
      </c>
      <c r="K32" s="663">
        <v>0</v>
      </c>
      <c r="L32" s="663">
        <v>0</v>
      </c>
      <c r="M32" s="651">
        <v>0</v>
      </c>
      <c r="N32" s="687">
        <v>0</v>
      </c>
      <c r="O32" s="87">
        <v>0</v>
      </c>
      <c r="P32" s="663">
        <v>0</v>
      </c>
      <c r="Q32" s="663">
        <v>0</v>
      </c>
      <c r="R32" s="651">
        <v>0</v>
      </c>
      <c r="S32" s="663">
        <v>0</v>
      </c>
      <c r="T32" s="699">
        <v>0</v>
      </c>
      <c r="U32" s="663">
        <v>0</v>
      </c>
      <c r="V32" s="663">
        <v>0</v>
      </c>
      <c r="W32" s="651">
        <v>0</v>
      </c>
      <c r="X32" s="663">
        <v>0</v>
      </c>
    </row>
    <row r="33" spans="1:24" s="1069" customFormat="1" x14ac:dyDescent="0.15">
      <c r="A33" s="278" t="s">
        <v>57</v>
      </c>
      <c r="B33" s="1215" t="s">
        <v>58</v>
      </c>
      <c r="C33" s="1215"/>
      <c r="D33" s="279" t="s">
        <v>25</v>
      </c>
      <c r="E33" s="280">
        <f>E6-E11</f>
        <v>0</v>
      </c>
      <c r="F33" s="281">
        <f>F6-F11</f>
        <v>0</v>
      </c>
      <c r="G33" s="281">
        <f>G6-G11</f>
        <v>225.35999999195337</v>
      </c>
      <c r="H33" s="282">
        <v>0</v>
      </c>
      <c r="I33" s="283">
        <f>I6-I11</f>
        <v>717.70000000298023</v>
      </c>
      <c r="J33" s="280">
        <f>J6-J11</f>
        <v>0</v>
      </c>
      <c r="K33" s="281">
        <f>K6-K11</f>
        <v>0</v>
      </c>
      <c r="L33" s="281">
        <f>L6-L11</f>
        <v>225.35999999940395</v>
      </c>
      <c r="M33" s="282">
        <v>0</v>
      </c>
      <c r="N33" s="283">
        <f>N6-N11</f>
        <v>717.69999999925494</v>
      </c>
      <c r="O33" s="284">
        <f>O6-O11</f>
        <v>0</v>
      </c>
      <c r="P33" s="281">
        <f>P6-P11</f>
        <v>0</v>
      </c>
      <c r="Q33" s="281">
        <f>Q6-Q11</f>
        <v>0</v>
      </c>
      <c r="R33" s="282">
        <v>0</v>
      </c>
      <c r="S33" s="281">
        <f>S6-S11</f>
        <v>0</v>
      </c>
      <c r="T33" s="280">
        <f>T6-T11</f>
        <v>55316</v>
      </c>
      <c r="U33" s="281">
        <f>U6-U11</f>
        <v>146615.9</v>
      </c>
      <c r="V33" s="281">
        <f>V6-V11</f>
        <v>234372.9</v>
      </c>
      <c r="W33" s="282">
        <f>V33/U33*100</f>
        <v>159.85503618638904</v>
      </c>
      <c r="X33" s="281">
        <f>X6-X11</f>
        <v>280499.33</v>
      </c>
    </row>
    <row r="34" spans="1:24" s="1070" customFormat="1" x14ac:dyDescent="0.15">
      <c r="A34" s="709" t="s">
        <v>59</v>
      </c>
      <c r="B34" s="1239" t="s">
        <v>24</v>
      </c>
      <c r="C34" s="1239"/>
      <c r="D34" s="291" t="s">
        <v>25</v>
      </c>
      <c r="E34" s="292">
        <f>E19/6/E35/2</f>
        <v>32023.714564443937</v>
      </c>
      <c r="F34" s="293">
        <f>F19/6/F35/2</f>
        <v>35897.673600663511</v>
      </c>
      <c r="G34" s="293">
        <f>G19/6/G35/2</f>
        <v>35170.710916923577</v>
      </c>
      <c r="H34" s="660">
        <f t="shared" si="0"/>
        <v>97.974903076375128</v>
      </c>
      <c r="I34" s="292">
        <f>I19/6/I35/2</f>
        <v>31348.644394567913</v>
      </c>
      <c r="J34" s="294"/>
      <c r="K34" s="648"/>
      <c r="L34" s="648"/>
      <c r="M34" s="651">
        <v>0</v>
      </c>
      <c r="N34" s="689"/>
      <c r="O34" s="293">
        <f>O19/6/O35/2</f>
        <v>31791.384521213517</v>
      </c>
      <c r="P34" s="293">
        <f>P19/6/P35/2</f>
        <v>35462.079277032441</v>
      </c>
      <c r="Q34" s="293">
        <f>Q19/6/Q35/2</f>
        <v>34901.401432057428</v>
      </c>
      <c r="R34" s="651">
        <f>Q34/P34*100</f>
        <v>98.41893691400621</v>
      </c>
      <c r="S34" s="292">
        <f>S19/6/S35/2</f>
        <v>31080.128538099572</v>
      </c>
      <c r="T34" s="294"/>
      <c r="U34" s="295"/>
      <c r="V34" s="295"/>
      <c r="W34" s="651">
        <v>0</v>
      </c>
      <c r="X34" s="296"/>
    </row>
    <row r="35" spans="1:24" s="1070" customFormat="1" x14ac:dyDescent="0.15">
      <c r="A35" s="711" t="s">
        <v>60</v>
      </c>
      <c r="B35" s="1240" t="s">
        <v>33</v>
      </c>
      <c r="C35" s="1240"/>
      <c r="D35" s="297" t="s">
        <v>26</v>
      </c>
      <c r="E35" s="298">
        <v>87.13</v>
      </c>
      <c r="F35" s="299">
        <v>86.376829999999998</v>
      </c>
      <c r="G35" s="299">
        <v>88.162199999999999</v>
      </c>
      <c r="H35" s="660">
        <f t="shared" si="0"/>
        <v>102.06695476090057</v>
      </c>
      <c r="I35" s="665">
        <v>82.782200000000003</v>
      </c>
      <c r="J35" s="300"/>
      <c r="K35" s="648"/>
      <c r="L35" s="648"/>
      <c r="M35" s="651">
        <v>0</v>
      </c>
      <c r="N35" s="689"/>
      <c r="O35" s="299">
        <v>87.13</v>
      </c>
      <c r="P35" s="299">
        <v>86.768299999999996</v>
      </c>
      <c r="Q35" s="299">
        <v>88.162199999999999</v>
      </c>
      <c r="R35" s="651">
        <f>Q35/P35*100</f>
        <v>101.606462267902</v>
      </c>
      <c r="S35" s="648">
        <v>82.782200000000003</v>
      </c>
      <c r="T35" s="300"/>
      <c r="U35" s="301"/>
      <c r="V35" s="301"/>
      <c r="W35" s="651">
        <v>0</v>
      </c>
      <c r="X35" s="302"/>
    </row>
    <row r="36" spans="1:24" s="1070" customFormat="1" ht="8.4" thickBot="1" x14ac:dyDescent="0.2">
      <c r="A36" s="713" t="s">
        <v>61</v>
      </c>
      <c r="B36" s="1241" t="s">
        <v>27</v>
      </c>
      <c r="C36" s="1241"/>
      <c r="D36" s="303" t="s">
        <v>26</v>
      </c>
      <c r="E36" s="304">
        <v>97</v>
      </c>
      <c r="F36" s="305">
        <v>102</v>
      </c>
      <c r="G36" s="305">
        <v>102</v>
      </c>
      <c r="H36" s="676">
        <f t="shared" si="0"/>
        <v>100</v>
      </c>
      <c r="I36" s="677">
        <v>95</v>
      </c>
      <c r="J36" s="306"/>
      <c r="K36" s="691"/>
      <c r="L36" s="691"/>
      <c r="M36" s="692">
        <v>0</v>
      </c>
      <c r="N36" s="693"/>
      <c r="O36" s="305">
        <v>97</v>
      </c>
      <c r="P36" s="305">
        <v>102</v>
      </c>
      <c r="Q36" s="305">
        <v>102</v>
      </c>
      <c r="R36" s="692">
        <f>Q36/P36*100</f>
        <v>100</v>
      </c>
      <c r="S36" s="693">
        <v>95</v>
      </c>
      <c r="T36" s="306"/>
      <c r="U36" s="307"/>
      <c r="V36" s="307"/>
      <c r="W36" s="692">
        <v>0</v>
      </c>
      <c r="X36" s="308"/>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56" orientation="landscape"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1"/>
  <sheetViews>
    <sheetView topLeftCell="A28" workbookViewId="0">
      <selection activeCell="F17" sqref="F17"/>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256" width="16.3984375" style="44"/>
    <col min="257" max="257" width="59.3984375" style="44" customWidth="1"/>
    <col min="258" max="258" width="34.3984375" style="44" customWidth="1"/>
    <col min="259" max="261" width="26.3984375" style="44" customWidth="1"/>
    <col min="262" max="262" width="23.3984375" style="44" customWidth="1"/>
    <col min="263" max="512" width="16.3984375" style="44"/>
    <col min="513" max="513" width="59.3984375" style="44" customWidth="1"/>
    <col min="514" max="514" width="34.3984375" style="44" customWidth="1"/>
    <col min="515" max="517" width="26.3984375" style="44" customWidth="1"/>
    <col min="518" max="518" width="23.3984375" style="44" customWidth="1"/>
    <col min="519" max="768" width="16.3984375" style="44"/>
    <col min="769" max="769" width="59.3984375" style="44" customWidth="1"/>
    <col min="770" max="770" width="34.3984375" style="44" customWidth="1"/>
    <col min="771" max="773" width="26.3984375" style="44" customWidth="1"/>
    <col min="774" max="774" width="23.3984375" style="44" customWidth="1"/>
    <col min="775" max="1024" width="16.3984375" style="44"/>
    <col min="1025" max="1025" width="59.3984375" style="44" customWidth="1"/>
    <col min="1026" max="1026" width="34.3984375" style="44" customWidth="1"/>
    <col min="1027" max="1029" width="26.3984375" style="44" customWidth="1"/>
    <col min="1030" max="1030" width="23.3984375" style="44" customWidth="1"/>
    <col min="1031" max="1280" width="16.3984375" style="44"/>
    <col min="1281" max="1281" width="59.3984375" style="44" customWidth="1"/>
    <col min="1282" max="1282" width="34.3984375" style="44" customWidth="1"/>
    <col min="1283" max="1285" width="26.3984375" style="44" customWidth="1"/>
    <col min="1286" max="1286" width="23.3984375" style="44" customWidth="1"/>
    <col min="1287" max="1536" width="16.3984375" style="44"/>
    <col min="1537" max="1537" width="59.3984375" style="44" customWidth="1"/>
    <col min="1538" max="1538" width="34.3984375" style="44" customWidth="1"/>
    <col min="1539" max="1541" width="26.3984375" style="44" customWidth="1"/>
    <col min="1542" max="1542" width="23.3984375" style="44" customWidth="1"/>
    <col min="1543" max="1792" width="16.3984375" style="44"/>
    <col min="1793" max="1793" width="59.3984375" style="44" customWidth="1"/>
    <col min="1794" max="1794" width="34.3984375" style="44" customWidth="1"/>
    <col min="1795" max="1797" width="26.3984375" style="44" customWidth="1"/>
    <col min="1798" max="1798" width="23.3984375" style="44" customWidth="1"/>
    <col min="1799" max="2048" width="16.3984375" style="44"/>
    <col min="2049" max="2049" width="59.3984375" style="44" customWidth="1"/>
    <col min="2050" max="2050" width="34.3984375" style="44" customWidth="1"/>
    <col min="2051" max="2053" width="26.3984375" style="44" customWidth="1"/>
    <col min="2054" max="2054" width="23.3984375" style="44" customWidth="1"/>
    <col min="2055" max="2304" width="16.3984375" style="44"/>
    <col min="2305" max="2305" width="59.3984375" style="44" customWidth="1"/>
    <col min="2306" max="2306" width="34.3984375" style="44" customWidth="1"/>
    <col min="2307" max="2309" width="26.3984375" style="44" customWidth="1"/>
    <col min="2310" max="2310" width="23.3984375" style="44" customWidth="1"/>
    <col min="2311" max="2560" width="16.3984375" style="44"/>
    <col min="2561" max="2561" width="59.3984375" style="44" customWidth="1"/>
    <col min="2562" max="2562" width="34.3984375" style="44" customWidth="1"/>
    <col min="2563" max="2565" width="26.3984375" style="44" customWidth="1"/>
    <col min="2566" max="2566" width="23.3984375" style="44" customWidth="1"/>
    <col min="2567" max="2816" width="16.3984375" style="44"/>
    <col min="2817" max="2817" width="59.3984375" style="44" customWidth="1"/>
    <col min="2818" max="2818" width="34.3984375" style="44" customWidth="1"/>
    <col min="2819" max="2821" width="26.3984375" style="44" customWidth="1"/>
    <col min="2822" max="2822" width="23.3984375" style="44" customWidth="1"/>
    <col min="2823" max="3072" width="16.3984375" style="44"/>
    <col min="3073" max="3073" width="59.3984375" style="44" customWidth="1"/>
    <col min="3074" max="3074" width="34.3984375" style="44" customWidth="1"/>
    <col min="3075" max="3077" width="26.3984375" style="44" customWidth="1"/>
    <col min="3078" max="3078" width="23.3984375" style="44" customWidth="1"/>
    <col min="3079" max="3328" width="16.3984375" style="44"/>
    <col min="3329" max="3329" width="59.3984375" style="44" customWidth="1"/>
    <col min="3330" max="3330" width="34.3984375" style="44" customWidth="1"/>
    <col min="3331" max="3333" width="26.3984375" style="44" customWidth="1"/>
    <col min="3334" max="3334" width="23.3984375" style="44" customWidth="1"/>
    <col min="3335" max="3584" width="16.3984375" style="44"/>
    <col min="3585" max="3585" width="59.3984375" style="44" customWidth="1"/>
    <col min="3586" max="3586" width="34.3984375" style="44" customWidth="1"/>
    <col min="3587" max="3589" width="26.3984375" style="44" customWidth="1"/>
    <col min="3590" max="3590" width="23.3984375" style="44" customWidth="1"/>
    <col min="3591" max="3840" width="16.3984375" style="44"/>
    <col min="3841" max="3841" width="59.3984375" style="44" customWidth="1"/>
    <col min="3842" max="3842" width="34.3984375" style="44" customWidth="1"/>
    <col min="3843" max="3845" width="26.3984375" style="44" customWidth="1"/>
    <col min="3846" max="3846" width="23.3984375" style="44" customWidth="1"/>
    <col min="3847" max="4096" width="16.3984375" style="44"/>
    <col min="4097" max="4097" width="59.3984375" style="44" customWidth="1"/>
    <col min="4098" max="4098" width="34.3984375" style="44" customWidth="1"/>
    <col min="4099" max="4101" width="26.3984375" style="44" customWidth="1"/>
    <col min="4102" max="4102" width="23.3984375" style="44" customWidth="1"/>
    <col min="4103" max="4352" width="16.3984375" style="44"/>
    <col min="4353" max="4353" width="59.3984375" style="44" customWidth="1"/>
    <col min="4354" max="4354" width="34.3984375" style="44" customWidth="1"/>
    <col min="4355" max="4357" width="26.3984375" style="44" customWidth="1"/>
    <col min="4358" max="4358" width="23.3984375" style="44" customWidth="1"/>
    <col min="4359" max="4608" width="16.3984375" style="44"/>
    <col min="4609" max="4609" width="59.3984375" style="44" customWidth="1"/>
    <col min="4610" max="4610" width="34.3984375" style="44" customWidth="1"/>
    <col min="4611" max="4613" width="26.3984375" style="44" customWidth="1"/>
    <col min="4614" max="4614" width="23.3984375" style="44" customWidth="1"/>
    <col min="4615" max="4864" width="16.3984375" style="44"/>
    <col min="4865" max="4865" width="59.3984375" style="44" customWidth="1"/>
    <col min="4866" max="4866" width="34.3984375" style="44" customWidth="1"/>
    <col min="4867" max="4869" width="26.3984375" style="44" customWidth="1"/>
    <col min="4870" max="4870" width="23.3984375" style="44" customWidth="1"/>
    <col min="4871" max="5120" width="16.3984375" style="44"/>
    <col min="5121" max="5121" width="59.3984375" style="44" customWidth="1"/>
    <col min="5122" max="5122" width="34.3984375" style="44" customWidth="1"/>
    <col min="5123" max="5125" width="26.3984375" style="44" customWidth="1"/>
    <col min="5126" max="5126" width="23.3984375" style="44" customWidth="1"/>
    <col min="5127" max="5376" width="16.3984375" style="44"/>
    <col min="5377" max="5377" width="59.3984375" style="44" customWidth="1"/>
    <col min="5378" max="5378" width="34.3984375" style="44" customWidth="1"/>
    <col min="5379" max="5381" width="26.3984375" style="44" customWidth="1"/>
    <col min="5382" max="5382" width="23.3984375" style="44" customWidth="1"/>
    <col min="5383" max="5632" width="16.3984375" style="44"/>
    <col min="5633" max="5633" width="59.3984375" style="44" customWidth="1"/>
    <col min="5634" max="5634" width="34.3984375" style="44" customWidth="1"/>
    <col min="5635" max="5637" width="26.3984375" style="44" customWidth="1"/>
    <col min="5638" max="5638" width="23.3984375" style="44" customWidth="1"/>
    <col min="5639" max="5888" width="16.3984375" style="44"/>
    <col min="5889" max="5889" width="59.3984375" style="44" customWidth="1"/>
    <col min="5890" max="5890" width="34.3984375" style="44" customWidth="1"/>
    <col min="5891" max="5893" width="26.3984375" style="44" customWidth="1"/>
    <col min="5894" max="5894" width="23.3984375" style="44" customWidth="1"/>
    <col min="5895" max="6144" width="16.3984375" style="44"/>
    <col min="6145" max="6145" width="59.3984375" style="44" customWidth="1"/>
    <col min="6146" max="6146" width="34.3984375" style="44" customWidth="1"/>
    <col min="6147" max="6149" width="26.3984375" style="44" customWidth="1"/>
    <col min="6150" max="6150" width="23.3984375" style="44" customWidth="1"/>
    <col min="6151" max="6400" width="16.3984375" style="44"/>
    <col min="6401" max="6401" width="59.3984375" style="44" customWidth="1"/>
    <col min="6402" max="6402" width="34.3984375" style="44" customWidth="1"/>
    <col min="6403" max="6405" width="26.3984375" style="44" customWidth="1"/>
    <col min="6406" max="6406" width="23.3984375" style="44" customWidth="1"/>
    <col min="6407" max="6656" width="16.3984375" style="44"/>
    <col min="6657" max="6657" width="59.3984375" style="44" customWidth="1"/>
    <col min="6658" max="6658" width="34.3984375" style="44" customWidth="1"/>
    <col min="6659" max="6661" width="26.3984375" style="44" customWidth="1"/>
    <col min="6662" max="6662" width="23.3984375" style="44" customWidth="1"/>
    <col min="6663" max="6912" width="16.3984375" style="44"/>
    <col min="6913" max="6913" width="59.3984375" style="44" customWidth="1"/>
    <col min="6914" max="6914" width="34.3984375" style="44" customWidth="1"/>
    <col min="6915" max="6917" width="26.3984375" style="44" customWidth="1"/>
    <col min="6918" max="6918" width="23.3984375" style="44" customWidth="1"/>
    <col min="6919" max="7168" width="16.3984375" style="44"/>
    <col min="7169" max="7169" width="59.3984375" style="44" customWidth="1"/>
    <col min="7170" max="7170" width="34.3984375" style="44" customWidth="1"/>
    <col min="7171" max="7173" width="26.3984375" style="44" customWidth="1"/>
    <col min="7174" max="7174" width="23.3984375" style="44" customWidth="1"/>
    <col min="7175" max="7424" width="16.3984375" style="44"/>
    <col min="7425" max="7425" width="59.3984375" style="44" customWidth="1"/>
    <col min="7426" max="7426" width="34.3984375" style="44" customWidth="1"/>
    <col min="7427" max="7429" width="26.3984375" style="44" customWidth="1"/>
    <col min="7430" max="7430" width="23.3984375" style="44" customWidth="1"/>
    <col min="7431" max="7680" width="16.3984375" style="44"/>
    <col min="7681" max="7681" width="59.3984375" style="44" customWidth="1"/>
    <col min="7682" max="7682" width="34.3984375" style="44" customWidth="1"/>
    <col min="7683" max="7685" width="26.3984375" style="44" customWidth="1"/>
    <col min="7686" max="7686" width="23.3984375" style="44" customWidth="1"/>
    <col min="7687" max="7936" width="16.3984375" style="44"/>
    <col min="7937" max="7937" width="59.3984375" style="44" customWidth="1"/>
    <col min="7938" max="7938" width="34.3984375" style="44" customWidth="1"/>
    <col min="7939" max="7941" width="26.3984375" style="44" customWidth="1"/>
    <col min="7942" max="7942" width="23.3984375" style="44" customWidth="1"/>
    <col min="7943" max="8192" width="16.3984375" style="44"/>
    <col min="8193" max="8193" width="59.3984375" style="44" customWidth="1"/>
    <col min="8194" max="8194" width="34.3984375" style="44" customWidth="1"/>
    <col min="8195" max="8197" width="26.3984375" style="44" customWidth="1"/>
    <col min="8198" max="8198" width="23.3984375" style="44" customWidth="1"/>
    <col min="8199" max="8448" width="16.3984375" style="44"/>
    <col min="8449" max="8449" width="59.3984375" style="44" customWidth="1"/>
    <col min="8450" max="8450" width="34.3984375" style="44" customWidth="1"/>
    <col min="8451" max="8453" width="26.3984375" style="44" customWidth="1"/>
    <col min="8454" max="8454" width="23.3984375" style="44" customWidth="1"/>
    <col min="8455" max="8704" width="16.3984375" style="44"/>
    <col min="8705" max="8705" width="59.3984375" style="44" customWidth="1"/>
    <col min="8706" max="8706" width="34.3984375" style="44" customWidth="1"/>
    <col min="8707" max="8709" width="26.3984375" style="44" customWidth="1"/>
    <col min="8710" max="8710" width="23.3984375" style="44" customWidth="1"/>
    <col min="8711" max="8960" width="16.3984375" style="44"/>
    <col min="8961" max="8961" width="59.3984375" style="44" customWidth="1"/>
    <col min="8962" max="8962" width="34.3984375" style="44" customWidth="1"/>
    <col min="8963" max="8965" width="26.3984375" style="44" customWidth="1"/>
    <col min="8966" max="8966" width="23.3984375" style="44" customWidth="1"/>
    <col min="8967" max="9216" width="16.3984375" style="44"/>
    <col min="9217" max="9217" width="59.3984375" style="44" customWidth="1"/>
    <col min="9218" max="9218" width="34.3984375" style="44" customWidth="1"/>
    <col min="9219" max="9221" width="26.3984375" style="44" customWidth="1"/>
    <col min="9222" max="9222" width="23.3984375" style="44" customWidth="1"/>
    <col min="9223" max="9472" width="16.3984375" style="44"/>
    <col min="9473" max="9473" width="59.3984375" style="44" customWidth="1"/>
    <col min="9474" max="9474" width="34.3984375" style="44" customWidth="1"/>
    <col min="9475" max="9477" width="26.3984375" style="44" customWidth="1"/>
    <col min="9478" max="9478" width="23.3984375" style="44" customWidth="1"/>
    <col min="9479" max="9728" width="16.3984375" style="44"/>
    <col min="9729" max="9729" width="59.3984375" style="44" customWidth="1"/>
    <col min="9730" max="9730" width="34.3984375" style="44" customWidth="1"/>
    <col min="9731" max="9733" width="26.3984375" style="44" customWidth="1"/>
    <col min="9734" max="9734" width="23.3984375" style="44" customWidth="1"/>
    <col min="9735" max="9984" width="16.3984375" style="44"/>
    <col min="9985" max="9985" width="59.3984375" style="44" customWidth="1"/>
    <col min="9986" max="9986" width="34.3984375" style="44" customWidth="1"/>
    <col min="9987" max="9989" width="26.3984375" style="44" customWidth="1"/>
    <col min="9990" max="9990" width="23.3984375" style="44" customWidth="1"/>
    <col min="9991" max="10240" width="16.3984375" style="44"/>
    <col min="10241" max="10241" width="59.3984375" style="44" customWidth="1"/>
    <col min="10242" max="10242" width="34.3984375" style="44" customWidth="1"/>
    <col min="10243" max="10245" width="26.3984375" style="44" customWidth="1"/>
    <col min="10246" max="10246" width="23.3984375" style="44" customWidth="1"/>
    <col min="10247" max="10496" width="16.3984375" style="44"/>
    <col min="10497" max="10497" width="59.3984375" style="44" customWidth="1"/>
    <col min="10498" max="10498" width="34.3984375" style="44" customWidth="1"/>
    <col min="10499" max="10501" width="26.3984375" style="44" customWidth="1"/>
    <col min="10502" max="10502" width="23.3984375" style="44" customWidth="1"/>
    <col min="10503" max="10752" width="16.3984375" style="44"/>
    <col min="10753" max="10753" width="59.3984375" style="44" customWidth="1"/>
    <col min="10754" max="10754" width="34.3984375" style="44" customWidth="1"/>
    <col min="10755" max="10757" width="26.3984375" style="44" customWidth="1"/>
    <col min="10758" max="10758" width="23.3984375" style="44" customWidth="1"/>
    <col min="10759" max="11008" width="16.3984375" style="44"/>
    <col min="11009" max="11009" width="59.3984375" style="44" customWidth="1"/>
    <col min="11010" max="11010" width="34.3984375" style="44" customWidth="1"/>
    <col min="11011" max="11013" width="26.3984375" style="44" customWidth="1"/>
    <col min="11014" max="11014" width="23.3984375" style="44" customWidth="1"/>
    <col min="11015" max="11264" width="16.3984375" style="44"/>
    <col min="11265" max="11265" width="59.3984375" style="44" customWidth="1"/>
    <col min="11266" max="11266" width="34.3984375" style="44" customWidth="1"/>
    <col min="11267" max="11269" width="26.3984375" style="44" customWidth="1"/>
    <col min="11270" max="11270" width="23.3984375" style="44" customWidth="1"/>
    <col min="11271" max="11520" width="16.3984375" style="44"/>
    <col min="11521" max="11521" width="59.3984375" style="44" customWidth="1"/>
    <col min="11522" max="11522" width="34.3984375" style="44" customWidth="1"/>
    <col min="11523" max="11525" width="26.3984375" style="44" customWidth="1"/>
    <col min="11526" max="11526" width="23.3984375" style="44" customWidth="1"/>
    <col min="11527" max="11776" width="16.3984375" style="44"/>
    <col min="11777" max="11777" width="59.3984375" style="44" customWidth="1"/>
    <col min="11778" max="11778" width="34.3984375" style="44" customWidth="1"/>
    <col min="11779" max="11781" width="26.3984375" style="44" customWidth="1"/>
    <col min="11782" max="11782" width="23.3984375" style="44" customWidth="1"/>
    <col min="11783" max="12032" width="16.3984375" style="44"/>
    <col min="12033" max="12033" width="59.3984375" style="44" customWidth="1"/>
    <col min="12034" max="12034" width="34.3984375" style="44" customWidth="1"/>
    <col min="12035" max="12037" width="26.3984375" style="44" customWidth="1"/>
    <col min="12038" max="12038" width="23.3984375" style="44" customWidth="1"/>
    <col min="12039" max="12288" width="16.3984375" style="44"/>
    <col min="12289" max="12289" width="59.3984375" style="44" customWidth="1"/>
    <col min="12290" max="12290" width="34.3984375" style="44" customWidth="1"/>
    <col min="12291" max="12293" width="26.3984375" style="44" customWidth="1"/>
    <col min="12294" max="12294" width="23.3984375" style="44" customWidth="1"/>
    <col min="12295" max="12544" width="16.3984375" style="44"/>
    <col min="12545" max="12545" width="59.3984375" style="44" customWidth="1"/>
    <col min="12546" max="12546" width="34.3984375" style="44" customWidth="1"/>
    <col min="12547" max="12549" width="26.3984375" style="44" customWidth="1"/>
    <col min="12550" max="12550" width="23.3984375" style="44" customWidth="1"/>
    <col min="12551" max="12800" width="16.3984375" style="44"/>
    <col min="12801" max="12801" width="59.3984375" style="44" customWidth="1"/>
    <col min="12802" max="12802" width="34.3984375" style="44" customWidth="1"/>
    <col min="12803" max="12805" width="26.3984375" style="44" customWidth="1"/>
    <col min="12806" max="12806" width="23.3984375" style="44" customWidth="1"/>
    <col min="12807" max="13056" width="16.3984375" style="44"/>
    <col min="13057" max="13057" width="59.3984375" style="44" customWidth="1"/>
    <col min="13058" max="13058" width="34.3984375" style="44" customWidth="1"/>
    <col min="13059" max="13061" width="26.3984375" style="44" customWidth="1"/>
    <col min="13062" max="13062" width="23.3984375" style="44" customWidth="1"/>
    <col min="13063" max="13312" width="16.3984375" style="44"/>
    <col min="13313" max="13313" width="59.3984375" style="44" customWidth="1"/>
    <col min="13314" max="13314" width="34.3984375" style="44" customWidth="1"/>
    <col min="13315" max="13317" width="26.3984375" style="44" customWidth="1"/>
    <col min="13318" max="13318" width="23.3984375" style="44" customWidth="1"/>
    <col min="13319" max="13568" width="16.3984375" style="44"/>
    <col min="13569" max="13569" width="59.3984375" style="44" customWidth="1"/>
    <col min="13570" max="13570" width="34.3984375" style="44" customWidth="1"/>
    <col min="13571" max="13573" width="26.3984375" style="44" customWidth="1"/>
    <col min="13574" max="13574" width="23.3984375" style="44" customWidth="1"/>
    <col min="13575" max="13824" width="16.3984375" style="44"/>
    <col min="13825" max="13825" width="59.3984375" style="44" customWidth="1"/>
    <col min="13826" max="13826" width="34.3984375" style="44" customWidth="1"/>
    <col min="13827" max="13829" width="26.3984375" style="44" customWidth="1"/>
    <col min="13830" max="13830" width="23.3984375" style="44" customWidth="1"/>
    <col min="13831" max="14080" width="16.3984375" style="44"/>
    <col min="14081" max="14081" width="59.3984375" style="44" customWidth="1"/>
    <col min="14082" max="14082" width="34.3984375" style="44" customWidth="1"/>
    <col min="14083" max="14085" width="26.3984375" style="44" customWidth="1"/>
    <col min="14086" max="14086" width="23.3984375" style="44" customWidth="1"/>
    <col min="14087" max="14336" width="16.3984375" style="44"/>
    <col min="14337" max="14337" width="59.3984375" style="44" customWidth="1"/>
    <col min="14338" max="14338" width="34.3984375" style="44" customWidth="1"/>
    <col min="14339" max="14341" width="26.3984375" style="44" customWidth="1"/>
    <col min="14342" max="14342" width="23.3984375" style="44" customWidth="1"/>
    <col min="14343" max="14592" width="16.3984375" style="44"/>
    <col min="14593" max="14593" width="59.3984375" style="44" customWidth="1"/>
    <col min="14594" max="14594" width="34.3984375" style="44" customWidth="1"/>
    <col min="14595" max="14597" width="26.3984375" style="44" customWidth="1"/>
    <col min="14598" max="14598" width="23.3984375" style="44" customWidth="1"/>
    <col min="14599" max="14848" width="16.3984375" style="44"/>
    <col min="14849" max="14849" width="59.3984375" style="44" customWidth="1"/>
    <col min="14850" max="14850" width="34.3984375" style="44" customWidth="1"/>
    <col min="14851" max="14853" width="26.3984375" style="44" customWidth="1"/>
    <col min="14854" max="14854" width="23.3984375" style="44" customWidth="1"/>
    <col min="14855" max="15104" width="16.3984375" style="44"/>
    <col min="15105" max="15105" width="59.3984375" style="44" customWidth="1"/>
    <col min="15106" max="15106" width="34.3984375" style="44" customWidth="1"/>
    <col min="15107" max="15109" width="26.3984375" style="44" customWidth="1"/>
    <col min="15110" max="15110" width="23.3984375" style="44" customWidth="1"/>
    <col min="15111" max="15360" width="16.3984375" style="44"/>
    <col min="15361" max="15361" width="59.3984375" style="44" customWidth="1"/>
    <col min="15362" max="15362" width="34.3984375" style="44" customWidth="1"/>
    <col min="15363" max="15365" width="26.3984375" style="44" customWidth="1"/>
    <col min="15366" max="15366" width="23.3984375" style="44" customWidth="1"/>
    <col min="15367" max="15616" width="16.3984375" style="44"/>
    <col min="15617" max="15617" width="59.3984375" style="44" customWidth="1"/>
    <col min="15618" max="15618" width="34.3984375" style="44" customWidth="1"/>
    <col min="15619" max="15621" width="26.3984375" style="44" customWidth="1"/>
    <col min="15622" max="15622" width="23.3984375" style="44" customWidth="1"/>
    <col min="15623" max="15872" width="16.3984375" style="44"/>
    <col min="15873" max="15873" width="59.3984375" style="44" customWidth="1"/>
    <col min="15874" max="15874" width="34.3984375" style="44" customWidth="1"/>
    <col min="15875" max="15877" width="26.3984375" style="44" customWidth="1"/>
    <col min="15878" max="15878" width="23.3984375" style="44" customWidth="1"/>
    <col min="15879" max="16128" width="16.3984375" style="44"/>
    <col min="16129" max="16129" width="59.3984375" style="44" customWidth="1"/>
    <col min="16130" max="16130" width="34.3984375" style="44" customWidth="1"/>
    <col min="16131" max="16133" width="26.3984375" style="44" customWidth="1"/>
    <col min="16134" max="16134" width="23.3984375" style="44" customWidth="1"/>
    <col min="16135" max="16384" width="16.3984375" style="44"/>
  </cols>
  <sheetData>
    <row r="1" spans="1:9" s="861" customFormat="1" ht="17.399999999999999" x14ac:dyDescent="0.3">
      <c r="A1" s="1495" t="s">
        <v>1370</v>
      </c>
      <c r="B1" s="1495"/>
      <c r="C1" s="1495"/>
      <c r="D1" s="1495"/>
      <c r="E1" s="1495"/>
      <c r="F1" s="1495"/>
      <c r="G1" s="1495"/>
      <c r="H1" s="1495"/>
      <c r="I1" s="1495"/>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854" t="s">
        <v>25</v>
      </c>
      <c r="D5" s="1256" t="s">
        <v>103</v>
      </c>
      <c r="E5" s="1256"/>
      <c r="F5" s="1256"/>
      <c r="G5" s="1256"/>
      <c r="H5" s="1256"/>
      <c r="I5" s="1256"/>
    </row>
    <row r="6" spans="1:9" s="8" customFormat="1" ht="15" customHeight="1" x14ac:dyDescent="0.2">
      <c r="A6" s="1267" t="s">
        <v>104</v>
      </c>
      <c r="B6" s="1267"/>
      <c r="C6" s="113">
        <f>SUM(C7:C9)</f>
        <v>234598.25999999998</v>
      </c>
      <c r="D6" s="1262"/>
      <c r="E6" s="1263"/>
      <c r="F6" s="1263"/>
      <c r="G6" s="1263"/>
      <c r="H6" s="1263"/>
      <c r="I6" s="1263"/>
    </row>
    <row r="7" spans="1:9" s="8" customFormat="1" ht="22.5" customHeight="1" x14ac:dyDescent="0.2">
      <c r="A7" s="1257" t="s">
        <v>77</v>
      </c>
      <c r="B7" s="1258"/>
      <c r="C7" s="114">
        <v>225.36</v>
      </c>
      <c r="D7" s="1261" t="s">
        <v>914</v>
      </c>
      <c r="E7" s="1261"/>
      <c r="F7" s="1261"/>
      <c r="G7" s="1261"/>
      <c r="H7" s="1261"/>
      <c r="I7" s="1261"/>
    </row>
    <row r="8" spans="1:9" s="7" customFormat="1" ht="62.25" customHeight="1" x14ac:dyDescent="0.2">
      <c r="A8" s="1259" t="s">
        <v>78</v>
      </c>
      <c r="B8" s="1260"/>
      <c r="C8" s="115">
        <v>234372.9</v>
      </c>
      <c r="D8" s="1261" t="s">
        <v>915</v>
      </c>
      <c r="E8" s="1261"/>
      <c r="F8" s="1261"/>
      <c r="G8" s="1261"/>
      <c r="H8" s="1261"/>
      <c r="I8" s="1261"/>
    </row>
    <row r="9" spans="1:9" s="7" customFormat="1" ht="15" customHeight="1" x14ac:dyDescent="0.2">
      <c r="A9" s="1259" t="s">
        <v>79</v>
      </c>
      <c r="B9" s="1260"/>
      <c r="C9" s="115"/>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854" t="s">
        <v>76</v>
      </c>
      <c r="B13" s="854" t="s">
        <v>80</v>
      </c>
      <c r="C13" s="854"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199598.26</v>
      </c>
      <c r="D16" s="126"/>
      <c r="E16" s="127"/>
      <c r="F16" s="127"/>
      <c r="G16" s="127"/>
      <c r="H16" s="127"/>
      <c r="I16" s="127"/>
    </row>
    <row r="17" spans="1:9" s="8" customFormat="1" ht="15" customHeight="1" x14ac:dyDescent="0.2">
      <c r="A17" s="1251"/>
      <c r="B17" s="15" t="s">
        <v>84</v>
      </c>
      <c r="C17" s="128">
        <v>35000</v>
      </c>
      <c r="D17" s="129"/>
      <c r="E17" s="130"/>
      <c r="F17" s="130"/>
      <c r="G17" s="130"/>
      <c r="H17" s="130"/>
      <c r="I17" s="130"/>
    </row>
    <row r="18" spans="1:9" s="8" customFormat="1" ht="15" customHeight="1" x14ac:dyDescent="0.2">
      <c r="A18" s="855" t="s">
        <v>104</v>
      </c>
      <c r="B18" s="16"/>
      <c r="C18" s="131">
        <f>SUM(C14:C17)</f>
        <v>234598.26</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854" t="s">
        <v>80</v>
      </c>
      <c r="B22" s="854" t="s">
        <v>109</v>
      </c>
      <c r="C22" s="860" t="s">
        <v>110</v>
      </c>
      <c r="D22" s="854" t="s">
        <v>111</v>
      </c>
      <c r="E22" s="854" t="s">
        <v>112</v>
      </c>
      <c r="F22" s="1256" t="s">
        <v>113</v>
      </c>
      <c r="G22" s="1256"/>
      <c r="H22" s="1256"/>
      <c r="I22" s="1256"/>
    </row>
    <row r="23" spans="1:9" s="8" customFormat="1" ht="41.1" customHeight="1" x14ac:dyDescent="0.2">
      <c r="A23" s="17" t="s">
        <v>85</v>
      </c>
      <c r="B23" s="139">
        <f>265908.89+1279186.35</f>
        <v>1545095.2400000002</v>
      </c>
      <c r="C23" s="139">
        <f>256217.03+2837244.14</f>
        <v>3093461.17</v>
      </c>
      <c r="D23" s="139">
        <f>250526.16+1258906.55</f>
        <v>1509432.71</v>
      </c>
      <c r="E23" s="139">
        <f>B23+C23-D23</f>
        <v>3129123.7</v>
      </c>
      <c r="F23" s="1253" t="s">
        <v>916</v>
      </c>
      <c r="G23" s="1254"/>
      <c r="H23" s="1254"/>
      <c r="I23" s="1255"/>
    </row>
    <row r="24" spans="1:9" s="8" customFormat="1" ht="41.1" customHeight="1" x14ac:dyDescent="0.2">
      <c r="A24" s="14" t="s">
        <v>86</v>
      </c>
      <c r="B24" s="140">
        <v>159938.13</v>
      </c>
      <c r="C24" s="140">
        <v>1313852</v>
      </c>
      <c r="D24" s="140">
        <v>1298718</v>
      </c>
      <c r="E24" s="140">
        <f>B24+C24-D24</f>
        <v>175072.12999999989</v>
      </c>
      <c r="F24" s="1242" t="s">
        <v>917</v>
      </c>
      <c r="G24" s="1243"/>
      <c r="H24" s="1243"/>
      <c r="I24" s="1244"/>
    </row>
    <row r="25" spans="1:9" s="8" customFormat="1" ht="41.1" customHeight="1" x14ac:dyDescent="0.2">
      <c r="A25" s="14" t="s">
        <v>84</v>
      </c>
      <c r="B25" s="140">
        <v>30466.12</v>
      </c>
      <c r="C25" s="140">
        <v>25000</v>
      </c>
      <c r="D25" s="140">
        <v>42000</v>
      </c>
      <c r="E25" s="140">
        <f>B25+C25-D25</f>
        <v>13466.119999999995</v>
      </c>
      <c r="F25" s="1242" t="s">
        <v>918</v>
      </c>
      <c r="G25" s="1243"/>
      <c r="H25" s="1243"/>
      <c r="I25" s="1244"/>
    </row>
    <row r="26" spans="1:9" s="8" customFormat="1" ht="41.1" customHeight="1" x14ac:dyDescent="0.2">
      <c r="A26" s="15" t="s">
        <v>87</v>
      </c>
      <c r="B26" s="141">
        <v>875005.81</v>
      </c>
      <c r="C26" s="141">
        <v>723793</v>
      </c>
      <c r="D26" s="141">
        <v>620722.69999999995</v>
      </c>
      <c r="E26" s="140">
        <f>B26+C26-D26</f>
        <v>978076.1100000001</v>
      </c>
      <c r="F26" s="1245" t="s">
        <v>919</v>
      </c>
      <c r="G26" s="1246"/>
      <c r="H26" s="1246"/>
      <c r="I26" s="1247"/>
    </row>
    <row r="27" spans="1:9" s="7" customFormat="1" ht="10.199999999999999" x14ac:dyDescent="0.2">
      <c r="A27" s="10" t="s">
        <v>34</v>
      </c>
      <c r="B27" s="113">
        <f>SUM(B23:B26)</f>
        <v>2610505.3000000003</v>
      </c>
      <c r="C27" s="113">
        <f>SUM(C23:C26)</f>
        <v>5156106.17</v>
      </c>
      <c r="D27" s="113">
        <f>SUM(D23:D26)</f>
        <v>3470873.41</v>
      </c>
      <c r="E27" s="113">
        <f>SUM(E23:E26)</f>
        <v>4295738.0600000005</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854" t="s">
        <v>88</v>
      </c>
      <c r="B31" s="854" t="s">
        <v>25</v>
      </c>
      <c r="C31" s="860" t="s">
        <v>89</v>
      </c>
      <c r="D31" s="1256" t="s">
        <v>90</v>
      </c>
      <c r="E31" s="1256"/>
      <c r="F31" s="1256"/>
      <c r="G31" s="1256"/>
      <c r="H31" s="1256"/>
      <c r="I31" s="1256"/>
    </row>
    <row r="32" spans="1:9" s="8" customFormat="1" ht="15" customHeight="1" x14ac:dyDescent="0.2">
      <c r="A32" s="19"/>
      <c r="B32" s="139"/>
      <c r="C32" s="20"/>
      <c r="D32" s="1270"/>
      <c r="E32" s="1496"/>
      <c r="F32" s="1496"/>
      <c r="G32" s="1496"/>
      <c r="H32" s="1496"/>
      <c r="I32" s="1461"/>
    </row>
    <row r="33" spans="1:9" s="7" customFormat="1" ht="10.199999999999999" x14ac:dyDescent="0.2">
      <c r="A33" s="10" t="s">
        <v>34</v>
      </c>
      <c r="B33" s="113">
        <f>SUM(B32:B32)</f>
        <v>0</v>
      </c>
      <c r="C33" s="1497" t="s">
        <v>920</v>
      </c>
      <c r="D33" s="1498"/>
      <c r="E33" s="1498"/>
      <c r="F33" s="1498"/>
      <c r="G33" s="1498"/>
      <c r="H33" s="1498"/>
      <c r="I33" s="1499"/>
    </row>
    <row r="34" spans="1:9" s="8" customFormat="1" ht="10.199999999999999" x14ac:dyDescent="0.2">
      <c r="C34" s="116"/>
    </row>
    <row r="35" spans="1:9" s="8" customFormat="1" ht="10.199999999999999" x14ac:dyDescent="0.2">
      <c r="A35" s="1248" t="s">
        <v>119</v>
      </c>
      <c r="B35" s="1248"/>
      <c r="C35" s="1248"/>
      <c r="D35" s="1248"/>
      <c r="E35" s="1248"/>
      <c r="F35" s="1248"/>
      <c r="G35" s="1248"/>
      <c r="H35" s="1248"/>
      <c r="I35" s="1248"/>
    </row>
    <row r="36" spans="1:9" s="8" customFormat="1" ht="10.199999999999999" x14ac:dyDescent="0.2">
      <c r="C36" s="116"/>
    </row>
    <row r="37" spans="1:9" s="8" customFormat="1" ht="10.199999999999999" x14ac:dyDescent="0.2">
      <c r="A37" s="854" t="s">
        <v>88</v>
      </c>
      <c r="B37" s="854" t="s">
        <v>25</v>
      </c>
      <c r="C37" s="860" t="s">
        <v>89</v>
      </c>
      <c r="D37" s="1279" t="s">
        <v>90</v>
      </c>
      <c r="E37" s="1279"/>
      <c r="F37" s="1279"/>
      <c r="G37" s="1279"/>
      <c r="H37" s="1279"/>
      <c r="I37" s="1280"/>
    </row>
    <row r="38" spans="1:9" s="8" customFormat="1" ht="15" customHeight="1" x14ac:dyDescent="0.2">
      <c r="A38" s="19"/>
      <c r="B38" s="139"/>
      <c r="C38" s="20"/>
      <c r="D38" s="1242"/>
      <c r="E38" s="1281"/>
      <c r="F38" s="1281"/>
      <c r="G38" s="1281"/>
      <c r="H38" s="1281"/>
      <c r="I38" s="1282"/>
    </row>
    <row r="39" spans="1:9" s="7" customFormat="1" ht="10.199999999999999" x14ac:dyDescent="0.2">
      <c r="A39" s="10" t="s">
        <v>34</v>
      </c>
      <c r="B39" s="113">
        <f>SUM(B38:B38)</f>
        <v>0</v>
      </c>
      <c r="C39" s="1500" t="s">
        <v>921</v>
      </c>
      <c r="D39" s="1501"/>
      <c r="E39" s="1501"/>
      <c r="F39" s="1501"/>
      <c r="G39" s="1501"/>
      <c r="H39" s="1501"/>
      <c r="I39" s="1501"/>
    </row>
    <row r="40" spans="1:9" s="8" customFormat="1" ht="10.199999999999999" x14ac:dyDescent="0.2">
      <c r="C40" s="116"/>
    </row>
    <row r="41" spans="1:9" s="8" customFormat="1" ht="10.199999999999999" x14ac:dyDescent="0.2">
      <c r="A41" s="1248" t="s">
        <v>120</v>
      </c>
      <c r="B41" s="1248"/>
      <c r="C41" s="1248"/>
      <c r="D41" s="1248"/>
      <c r="E41" s="1248"/>
      <c r="F41" s="1248"/>
      <c r="G41" s="1248"/>
      <c r="H41" s="1248"/>
      <c r="I41" s="1248"/>
    </row>
    <row r="42" spans="1:9" s="8" customFormat="1" ht="10.199999999999999" x14ac:dyDescent="0.2">
      <c r="C42" s="116"/>
    </row>
    <row r="43" spans="1:9" s="8" customFormat="1" ht="10.199999999999999" x14ac:dyDescent="0.2">
      <c r="A43" s="856" t="s">
        <v>25</v>
      </c>
      <c r="B43" s="857" t="s">
        <v>122</v>
      </c>
      <c r="C43" s="1285" t="s">
        <v>91</v>
      </c>
      <c r="D43" s="1285"/>
      <c r="E43" s="1285"/>
      <c r="F43" s="1285"/>
      <c r="G43" s="1285"/>
      <c r="H43" s="1285"/>
      <c r="I43" s="1286"/>
    </row>
    <row r="44" spans="1:9" s="8" customFormat="1" ht="10.199999999999999" x14ac:dyDescent="0.2">
      <c r="A44" s="897">
        <v>4308</v>
      </c>
      <c r="B44" s="897">
        <v>4308</v>
      </c>
      <c r="C44" s="1502" t="s">
        <v>922</v>
      </c>
      <c r="D44" s="1502"/>
      <c r="E44" s="1502"/>
      <c r="F44" s="1502"/>
      <c r="G44" s="1502"/>
      <c r="H44" s="1502"/>
      <c r="I44" s="1502"/>
    </row>
    <row r="45" spans="1:9" s="7" customFormat="1" ht="10.199999999999999" x14ac:dyDescent="0.2">
      <c r="A45" s="113">
        <f>A44</f>
        <v>4308</v>
      </c>
      <c r="B45" s="113">
        <f>B44</f>
        <v>4308</v>
      </c>
      <c r="C45" s="1289" t="s">
        <v>34</v>
      </c>
      <c r="D45" s="1289"/>
      <c r="E45" s="1289"/>
      <c r="F45" s="1289"/>
      <c r="G45" s="1289"/>
      <c r="H45" s="1289"/>
      <c r="I45" s="1289"/>
    </row>
    <row r="46" spans="1:9" s="8" customFormat="1" ht="10.199999999999999" x14ac:dyDescent="0.2">
      <c r="C46" s="116"/>
    </row>
    <row r="47" spans="1:9" s="8" customFormat="1" ht="10.199999999999999" x14ac:dyDescent="0.2">
      <c r="A47" s="1248" t="s">
        <v>123</v>
      </c>
      <c r="B47" s="1248"/>
      <c r="C47" s="1248"/>
      <c r="D47" s="1248"/>
      <c r="E47" s="1248"/>
      <c r="F47" s="1248"/>
      <c r="G47" s="1248"/>
      <c r="H47" s="1248"/>
      <c r="I47" s="1248"/>
    </row>
    <row r="48" spans="1:9" s="8" customFormat="1" ht="10.199999999999999" x14ac:dyDescent="0.2">
      <c r="C48" s="116"/>
    </row>
    <row r="49" spans="1:7" s="23" customFormat="1" ht="30.6" x14ac:dyDescent="0.2">
      <c r="A49" s="1503" t="s">
        <v>923</v>
      </c>
      <c r="B49" s="1504"/>
      <c r="C49" s="898" t="s">
        <v>621</v>
      </c>
      <c r="D49" s="898" t="s">
        <v>251</v>
      </c>
      <c r="E49" s="898" t="s">
        <v>252</v>
      </c>
      <c r="F49" s="898" t="s">
        <v>743</v>
      </c>
      <c r="G49" s="898" t="s">
        <v>623</v>
      </c>
    </row>
    <row r="50" spans="1:7" s="8" customFormat="1" ht="11.25" customHeight="1" x14ac:dyDescent="0.2">
      <c r="A50" s="1479" t="s">
        <v>924</v>
      </c>
      <c r="B50" s="1485"/>
      <c r="C50" s="899" t="s">
        <v>925</v>
      </c>
      <c r="D50" s="900">
        <v>471177</v>
      </c>
      <c r="E50" s="901"/>
      <c r="F50" s="1466">
        <v>43222</v>
      </c>
      <c r="G50" s="1469">
        <v>43518</v>
      </c>
    </row>
    <row r="51" spans="1:7" s="8" customFormat="1" ht="11.25" customHeight="1" x14ac:dyDescent="0.2">
      <c r="A51" s="1486"/>
      <c r="B51" s="1487"/>
      <c r="C51" s="902" t="s">
        <v>926</v>
      </c>
      <c r="D51" s="903"/>
      <c r="E51" s="903">
        <f>D50</f>
        <v>471177</v>
      </c>
      <c r="F51" s="1475"/>
      <c r="G51" s="1476"/>
    </row>
    <row r="52" spans="1:7" s="8" customFormat="1" ht="11.25" customHeight="1" x14ac:dyDescent="0.2">
      <c r="A52" s="1479" t="s">
        <v>927</v>
      </c>
      <c r="B52" s="1485"/>
      <c r="C52" s="899" t="s">
        <v>925</v>
      </c>
      <c r="D52" s="900">
        <v>341264</v>
      </c>
      <c r="E52" s="901"/>
      <c r="F52" s="1466">
        <v>43529</v>
      </c>
      <c r="G52" s="1469">
        <v>43536</v>
      </c>
    </row>
    <row r="53" spans="1:7" s="8" customFormat="1" ht="11.25" customHeight="1" x14ac:dyDescent="0.2">
      <c r="A53" s="1486"/>
      <c r="B53" s="1487"/>
      <c r="C53" s="902" t="s">
        <v>928</v>
      </c>
      <c r="D53" s="903"/>
      <c r="E53" s="903">
        <f>D52</f>
        <v>341264</v>
      </c>
      <c r="F53" s="1475"/>
      <c r="G53" s="1476"/>
    </row>
    <row r="54" spans="1:7" s="8" customFormat="1" ht="11.25" customHeight="1" x14ac:dyDescent="0.2">
      <c r="A54" s="1479" t="s">
        <v>929</v>
      </c>
      <c r="B54" s="1485"/>
      <c r="C54" s="899" t="s">
        <v>930</v>
      </c>
      <c r="D54" s="900">
        <f>E55</f>
        <v>29381</v>
      </c>
      <c r="E54" s="900"/>
      <c r="F54" s="1466">
        <v>43599</v>
      </c>
      <c r="G54" s="1469">
        <v>43608</v>
      </c>
    </row>
    <row r="55" spans="1:7" s="8" customFormat="1" ht="11.25" customHeight="1" x14ac:dyDescent="0.2">
      <c r="A55" s="1486"/>
      <c r="B55" s="1487"/>
      <c r="C55" s="904" t="s">
        <v>931</v>
      </c>
      <c r="D55" s="905"/>
      <c r="E55" s="905">
        <v>29381</v>
      </c>
      <c r="F55" s="1475"/>
      <c r="G55" s="1476"/>
    </row>
    <row r="56" spans="1:7" s="8" customFormat="1" ht="11.25" customHeight="1" x14ac:dyDescent="0.2">
      <c r="A56" s="1479" t="s">
        <v>932</v>
      </c>
      <c r="B56" s="1480"/>
      <c r="C56" s="899" t="s">
        <v>933</v>
      </c>
      <c r="D56" s="900">
        <v>2158</v>
      </c>
      <c r="E56" s="901"/>
      <c r="F56" s="1466">
        <v>43328</v>
      </c>
      <c r="G56" s="1469">
        <v>43644</v>
      </c>
    </row>
    <row r="57" spans="1:7" s="8" customFormat="1" ht="11.25" customHeight="1" x14ac:dyDescent="0.2">
      <c r="A57" s="1481"/>
      <c r="B57" s="1482"/>
      <c r="C57" s="902" t="s">
        <v>934</v>
      </c>
      <c r="D57" s="903"/>
      <c r="E57" s="903">
        <f>D56</f>
        <v>2158</v>
      </c>
      <c r="F57" s="1483"/>
      <c r="G57" s="1484"/>
    </row>
    <row r="58" spans="1:7" s="8" customFormat="1" ht="11.25" customHeight="1" x14ac:dyDescent="0.2">
      <c r="A58" s="1460" t="s">
        <v>935</v>
      </c>
      <c r="B58" s="1492"/>
      <c r="C58" s="899" t="s">
        <v>936</v>
      </c>
      <c r="D58" s="900">
        <v>-1500</v>
      </c>
      <c r="E58" s="901"/>
      <c r="F58" s="1466">
        <v>43646</v>
      </c>
      <c r="G58" s="1469">
        <v>43646</v>
      </c>
    </row>
    <row r="59" spans="1:7" s="8" customFormat="1" ht="11.25" customHeight="1" x14ac:dyDescent="0.2">
      <c r="A59" s="1493"/>
      <c r="B59" s="1494"/>
      <c r="C59" s="902" t="s">
        <v>937</v>
      </c>
      <c r="D59" s="903">
        <f>-D58</f>
        <v>1500</v>
      </c>
      <c r="E59" s="903"/>
      <c r="F59" s="1475"/>
      <c r="G59" s="1476"/>
    </row>
    <row r="60" spans="1:7" s="8" customFormat="1" ht="11.25" customHeight="1" x14ac:dyDescent="0.2">
      <c r="A60" s="1479" t="s">
        <v>938</v>
      </c>
      <c r="B60" s="1485"/>
      <c r="C60" s="899" t="s">
        <v>939</v>
      </c>
      <c r="D60" s="900">
        <f>E61+E62</f>
        <v>12000</v>
      </c>
      <c r="E60" s="901"/>
      <c r="F60" s="1466">
        <v>43507</v>
      </c>
      <c r="G60" s="1469">
        <v>43646</v>
      </c>
    </row>
    <row r="61" spans="1:7" s="8" customFormat="1" ht="11.25" customHeight="1" x14ac:dyDescent="0.2">
      <c r="A61" s="1490"/>
      <c r="B61" s="1491"/>
      <c r="C61" s="906" t="s">
        <v>940</v>
      </c>
      <c r="D61" s="907"/>
      <c r="E61" s="900">
        <v>7000</v>
      </c>
      <c r="F61" s="1488"/>
      <c r="G61" s="1489"/>
    </row>
    <row r="62" spans="1:7" s="8" customFormat="1" ht="11.25" customHeight="1" x14ac:dyDescent="0.2">
      <c r="A62" s="1486"/>
      <c r="B62" s="1487"/>
      <c r="C62" s="902" t="s">
        <v>941</v>
      </c>
      <c r="D62" s="903"/>
      <c r="E62" s="903">
        <v>5000</v>
      </c>
      <c r="F62" s="1475"/>
      <c r="G62" s="1476"/>
    </row>
    <row r="63" spans="1:7" s="8" customFormat="1" ht="11.25" customHeight="1" x14ac:dyDescent="0.2">
      <c r="A63" s="1460" t="s">
        <v>942</v>
      </c>
      <c r="B63" s="1472"/>
      <c r="C63" s="899" t="s">
        <v>939</v>
      </c>
      <c r="D63" s="900">
        <v>6030</v>
      </c>
      <c r="E63" s="901"/>
      <c r="F63" s="1466">
        <v>43646</v>
      </c>
      <c r="G63" s="1469">
        <v>43646</v>
      </c>
    </row>
    <row r="64" spans="1:7" s="8" customFormat="1" ht="11.25" customHeight="1" x14ac:dyDescent="0.2">
      <c r="A64" s="1473"/>
      <c r="B64" s="1474"/>
      <c r="C64" s="902" t="s">
        <v>940</v>
      </c>
      <c r="D64" s="903"/>
      <c r="E64" s="903">
        <f>D63</f>
        <v>6030</v>
      </c>
      <c r="F64" s="1475"/>
      <c r="G64" s="1476"/>
    </row>
    <row r="65" spans="1:7" s="8" customFormat="1" ht="11.25" customHeight="1" x14ac:dyDescent="0.2">
      <c r="A65" s="1479" t="s">
        <v>943</v>
      </c>
      <c r="B65" s="1485"/>
      <c r="C65" s="899" t="s">
        <v>925</v>
      </c>
      <c r="D65" s="900">
        <v>80130</v>
      </c>
      <c r="E65" s="901"/>
      <c r="F65" s="1466">
        <v>43612</v>
      </c>
      <c r="G65" s="1469">
        <v>43741</v>
      </c>
    </row>
    <row r="66" spans="1:7" s="8" customFormat="1" ht="11.25" customHeight="1" x14ac:dyDescent="0.2">
      <c r="A66" s="1486"/>
      <c r="B66" s="1487"/>
      <c r="C66" s="902" t="s">
        <v>926</v>
      </c>
      <c r="D66" s="903"/>
      <c r="E66" s="903">
        <f>D65</f>
        <v>80130</v>
      </c>
      <c r="F66" s="1475"/>
      <c r="G66" s="1476"/>
    </row>
    <row r="67" spans="1:7" s="8" customFormat="1" ht="11.25" customHeight="1" x14ac:dyDescent="0.2">
      <c r="A67" s="1479" t="s">
        <v>944</v>
      </c>
      <c r="B67" s="1485"/>
      <c r="C67" s="899" t="s">
        <v>925</v>
      </c>
      <c r="D67" s="900">
        <v>482000</v>
      </c>
      <c r="E67" s="901"/>
      <c r="F67" s="1466">
        <v>43571</v>
      </c>
      <c r="G67" s="1469">
        <v>43791</v>
      </c>
    </row>
    <row r="68" spans="1:7" s="8" customFormat="1" ht="11.25" customHeight="1" x14ac:dyDescent="0.2">
      <c r="A68" s="1486"/>
      <c r="B68" s="1487"/>
      <c r="C68" s="902" t="s">
        <v>926</v>
      </c>
      <c r="D68" s="903"/>
      <c r="E68" s="903">
        <f>D67</f>
        <v>482000</v>
      </c>
      <c r="F68" s="1475"/>
      <c r="G68" s="1476"/>
    </row>
    <row r="69" spans="1:7" s="8" customFormat="1" ht="11.25" customHeight="1" x14ac:dyDescent="0.2">
      <c r="A69" s="1460" t="s">
        <v>945</v>
      </c>
      <c r="B69" s="1472"/>
      <c r="C69" s="899" t="s">
        <v>933</v>
      </c>
      <c r="D69" s="900">
        <v>42000</v>
      </c>
      <c r="E69" s="901"/>
      <c r="F69" s="1466">
        <v>43677</v>
      </c>
      <c r="G69" s="1469">
        <v>43677</v>
      </c>
    </row>
    <row r="70" spans="1:7" s="8" customFormat="1" ht="11.25" customHeight="1" x14ac:dyDescent="0.2">
      <c r="A70" s="1473"/>
      <c r="B70" s="1474"/>
      <c r="C70" s="902" t="s">
        <v>946</v>
      </c>
      <c r="D70" s="903"/>
      <c r="E70" s="903">
        <f>D69</f>
        <v>42000</v>
      </c>
      <c r="F70" s="1475"/>
      <c r="G70" s="1476"/>
    </row>
    <row r="71" spans="1:7" s="8" customFormat="1" ht="11.25" customHeight="1" x14ac:dyDescent="0.2">
      <c r="A71" s="1479" t="s">
        <v>947</v>
      </c>
      <c r="B71" s="1485"/>
      <c r="C71" s="899" t="s">
        <v>925</v>
      </c>
      <c r="D71" s="900">
        <v>73000</v>
      </c>
      <c r="E71" s="901"/>
      <c r="F71" s="1466">
        <v>43612</v>
      </c>
      <c r="G71" s="1469">
        <v>43669</v>
      </c>
    </row>
    <row r="72" spans="1:7" s="8" customFormat="1" ht="11.25" customHeight="1" x14ac:dyDescent="0.2">
      <c r="A72" s="1486"/>
      <c r="B72" s="1487"/>
      <c r="C72" s="902" t="s">
        <v>948</v>
      </c>
      <c r="D72" s="903"/>
      <c r="E72" s="903">
        <f>D71</f>
        <v>73000</v>
      </c>
      <c r="F72" s="1475"/>
      <c r="G72" s="1476"/>
    </row>
    <row r="73" spans="1:7" s="8" customFormat="1" ht="11.25" customHeight="1" x14ac:dyDescent="0.2">
      <c r="A73" s="1479" t="s">
        <v>949</v>
      </c>
      <c r="B73" s="1480"/>
      <c r="C73" s="899" t="s">
        <v>933</v>
      </c>
      <c r="D73" s="900">
        <f>4308-D109</f>
        <v>4308</v>
      </c>
      <c r="E73" s="901"/>
      <c r="F73" s="1466">
        <v>43655</v>
      </c>
      <c r="G73" s="1469">
        <v>43710</v>
      </c>
    </row>
    <row r="74" spans="1:7" s="8" customFormat="1" ht="11.25" customHeight="1" x14ac:dyDescent="0.2">
      <c r="A74" s="1481"/>
      <c r="B74" s="1482"/>
      <c r="C74" s="902" t="s">
        <v>934</v>
      </c>
      <c r="D74" s="903"/>
      <c r="E74" s="903">
        <f>D73</f>
        <v>4308</v>
      </c>
      <c r="F74" s="1483"/>
      <c r="G74" s="1484"/>
    </row>
    <row r="75" spans="1:7" s="8" customFormat="1" ht="11.25" customHeight="1" x14ac:dyDescent="0.2">
      <c r="A75" s="1479" t="s">
        <v>950</v>
      </c>
      <c r="B75" s="1485"/>
      <c r="C75" s="899" t="s">
        <v>925</v>
      </c>
      <c r="D75" s="900">
        <v>10375</v>
      </c>
      <c r="E75" s="901"/>
      <c r="F75" s="1466">
        <v>43760</v>
      </c>
      <c r="G75" s="1469">
        <v>43781</v>
      </c>
    </row>
    <row r="76" spans="1:7" s="8" customFormat="1" ht="11.25" customHeight="1" x14ac:dyDescent="0.2">
      <c r="A76" s="1486"/>
      <c r="B76" s="1487"/>
      <c r="C76" s="902" t="s">
        <v>951</v>
      </c>
      <c r="D76" s="903"/>
      <c r="E76" s="903">
        <f>D75</f>
        <v>10375</v>
      </c>
      <c r="F76" s="1475"/>
      <c r="G76" s="1476"/>
    </row>
    <row r="77" spans="1:7" s="8" customFormat="1" ht="11.25" customHeight="1" x14ac:dyDescent="0.2">
      <c r="A77" s="1460" t="s">
        <v>952</v>
      </c>
      <c r="B77" s="1472"/>
      <c r="C77" s="908" t="s">
        <v>953</v>
      </c>
      <c r="D77" s="909"/>
      <c r="E77" s="909">
        <v>-191000</v>
      </c>
      <c r="F77" s="1466">
        <v>43809</v>
      </c>
      <c r="G77" s="1469">
        <v>43810</v>
      </c>
    </row>
    <row r="78" spans="1:7" s="8" customFormat="1" ht="11.25" customHeight="1" x14ac:dyDescent="0.2">
      <c r="A78" s="1477"/>
      <c r="B78" s="1478"/>
      <c r="C78" s="899" t="s">
        <v>954</v>
      </c>
      <c r="D78" s="900"/>
      <c r="E78" s="900">
        <v>108000</v>
      </c>
      <c r="F78" s="1488"/>
      <c r="G78" s="1489"/>
    </row>
    <row r="79" spans="1:7" s="8" customFormat="1" ht="11.25" customHeight="1" x14ac:dyDescent="0.2">
      <c r="A79" s="1473"/>
      <c r="B79" s="1474"/>
      <c r="C79" s="904" t="s">
        <v>955</v>
      </c>
      <c r="D79" s="905"/>
      <c r="E79" s="905">
        <v>83000</v>
      </c>
      <c r="F79" s="1488"/>
      <c r="G79" s="1489"/>
    </row>
    <row r="80" spans="1:7" s="8" customFormat="1" ht="11.25" customHeight="1" x14ac:dyDescent="0.2">
      <c r="A80" s="1460" t="s">
        <v>956</v>
      </c>
      <c r="B80" s="1472"/>
      <c r="C80" s="908" t="s">
        <v>933</v>
      </c>
      <c r="D80" s="909">
        <v>250526.16</v>
      </c>
      <c r="E80" s="909"/>
      <c r="F80" s="1466">
        <v>43830</v>
      </c>
      <c r="G80" s="1469">
        <v>43830</v>
      </c>
    </row>
    <row r="81" spans="1:7" s="8" customFormat="1" ht="11.25" customHeight="1" x14ac:dyDescent="0.2">
      <c r="A81" s="1477"/>
      <c r="B81" s="1478"/>
      <c r="C81" s="899" t="s">
        <v>940</v>
      </c>
      <c r="D81" s="900"/>
      <c r="E81" s="900">
        <v>11538.94</v>
      </c>
      <c r="F81" s="1488"/>
      <c r="G81" s="1489"/>
    </row>
    <row r="82" spans="1:7" s="8" customFormat="1" ht="11.25" customHeight="1" x14ac:dyDescent="0.2">
      <c r="A82" s="1477"/>
      <c r="B82" s="1478"/>
      <c r="C82" s="899" t="s">
        <v>954</v>
      </c>
      <c r="D82" s="900"/>
      <c r="E82" s="900">
        <f>152615+173.52</f>
        <v>152788.51999999999</v>
      </c>
      <c r="F82" s="1488"/>
      <c r="G82" s="1489"/>
    </row>
    <row r="83" spans="1:7" s="8" customFormat="1" ht="11.25" customHeight="1" x14ac:dyDescent="0.2">
      <c r="A83" s="1473"/>
      <c r="B83" s="1474"/>
      <c r="C83" s="904" t="s">
        <v>931</v>
      </c>
      <c r="D83" s="905"/>
      <c r="E83" s="905">
        <v>86198.7</v>
      </c>
      <c r="F83" s="1475"/>
      <c r="G83" s="1476"/>
    </row>
    <row r="84" spans="1:7" s="8" customFormat="1" ht="11.25" customHeight="1" x14ac:dyDescent="0.2">
      <c r="A84" s="1460" t="s">
        <v>957</v>
      </c>
      <c r="B84" s="1472"/>
      <c r="C84" s="908" t="s">
        <v>928</v>
      </c>
      <c r="D84" s="909"/>
      <c r="E84" s="909">
        <v>-524</v>
      </c>
      <c r="F84" s="1466">
        <v>43830</v>
      </c>
      <c r="G84" s="1469">
        <v>43830</v>
      </c>
    </row>
    <row r="85" spans="1:7" s="8" customFormat="1" ht="11.25" customHeight="1" x14ac:dyDescent="0.2">
      <c r="A85" s="1473"/>
      <c r="B85" s="1474"/>
      <c r="C85" s="904" t="s">
        <v>925</v>
      </c>
      <c r="D85" s="905">
        <v>-524</v>
      </c>
      <c r="E85" s="905"/>
      <c r="F85" s="1475"/>
      <c r="G85" s="1476"/>
    </row>
    <row r="86" spans="1:7" s="8" customFormat="1" ht="11.25" customHeight="1" x14ac:dyDescent="0.2">
      <c r="A86" s="1460" t="s">
        <v>958</v>
      </c>
      <c r="B86" s="1461"/>
      <c r="C86" s="908" t="s">
        <v>959</v>
      </c>
      <c r="D86" s="909">
        <v>73119</v>
      </c>
      <c r="E86" s="909"/>
      <c r="F86" s="1466">
        <v>43830</v>
      </c>
      <c r="G86" s="1469">
        <v>43830</v>
      </c>
    </row>
    <row r="87" spans="1:7" s="8" customFormat="1" ht="11.25" customHeight="1" x14ac:dyDescent="0.2">
      <c r="A87" s="1462"/>
      <c r="B87" s="1463"/>
      <c r="C87" s="899" t="s">
        <v>960</v>
      </c>
      <c r="D87" s="900">
        <v>17370</v>
      </c>
      <c r="E87" s="900"/>
      <c r="F87" s="1467"/>
      <c r="G87" s="1470"/>
    </row>
    <row r="88" spans="1:7" s="8" customFormat="1" ht="11.25" customHeight="1" x14ac:dyDescent="0.2">
      <c r="A88" s="1462"/>
      <c r="B88" s="1463"/>
      <c r="C88" s="899" t="s">
        <v>961</v>
      </c>
      <c r="D88" s="900">
        <v>100</v>
      </c>
      <c r="E88" s="900"/>
      <c r="F88" s="1467"/>
      <c r="G88" s="1470"/>
    </row>
    <row r="89" spans="1:7" s="8" customFormat="1" ht="11.25" customHeight="1" x14ac:dyDescent="0.2">
      <c r="A89" s="1462"/>
      <c r="B89" s="1463"/>
      <c r="C89" s="899" t="s">
        <v>939</v>
      </c>
      <c r="D89" s="900">
        <v>3870</v>
      </c>
      <c r="E89" s="900"/>
      <c r="F89" s="1467"/>
      <c r="G89" s="1470"/>
    </row>
    <row r="90" spans="1:7" s="8" customFormat="1" ht="11.25" customHeight="1" x14ac:dyDescent="0.2">
      <c r="A90" s="1462"/>
      <c r="B90" s="1463"/>
      <c r="C90" s="899" t="s">
        <v>936</v>
      </c>
      <c r="D90" s="900">
        <v>320</v>
      </c>
      <c r="E90" s="900"/>
      <c r="F90" s="1467"/>
      <c r="G90" s="1470"/>
    </row>
    <row r="91" spans="1:7" s="8" customFormat="1" ht="11.25" customHeight="1" x14ac:dyDescent="0.2">
      <c r="A91" s="1462"/>
      <c r="B91" s="1463"/>
      <c r="C91" s="899" t="s">
        <v>962</v>
      </c>
      <c r="D91" s="900">
        <v>2785</v>
      </c>
      <c r="E91" s="900"/>
      <c r="F91" s="1467"/>
      <c r="G91" s="1470"/>
    </row>
    <row r="92" spans="1:7" s="8" customFormat="1" ht="11.25" customHeight="1" x14ac:dyDescent="0.2">
      <c r="A92" s="1464"/>
      <c r="B92" s="1465"/>
      <c r="C92" s="904" t="s">
        <v>937</v>
      </c>
      <c r="D92" s="905">
        <v>320.73</v>
      </c>
      <c r="E92" s="905"/>
      <c r="F92" s="1467"/>
      <c r="G92" s="1470"/>
    </row>
    <row r="93" spans="1:7" s="8" customFormat="1" ht="11.25" customHeight="1" x14ac:dyDescent="0.2">
      <c r="A93" s="1460" t="s">
        <v>963</v>
      </c>
      <c r="B93" s="1461"/>
      <c r="C93" s="899" t="s">
        <v>954</v>
      </c>
      <c r="D93" s="900"/>
      <c r="E93" s="900">
        <v>99751.19</v>
      </c>
      <c r="F93" s="1466">
        <v>43830</v>
      </c>
      <c r="G93" s="1469">
        <v>43830</v>
      </c>
    </row>
    <row r="94" spans="1:7" s="8" customFormat="1" ht="11.25" customHeight="1" x14ac:dyDescent="0.2">
      <c r="A94" s="1462"/>
      <c r="B94" s="1463"/>
      <c r="C94" s="899" t="s">
        <v>964</v>
      </c>
      <c r="D94" s="900"/>
      <c r="E94" s="900">
        <v>-760.43</v>
      </c>
      <c r="F94" s="1467"/>
      <c r="G94" s="1470"/>
    </row>
    <row r="95" spans="1:7" s="8" customFormat="1" ht="11.25" customHeight="1" x14ac:dyDescent="0.2">
      <c r="A95" s="1462"/>
      <c r="B95" s="1463"/>
      <c r="C95" s="899" t="s">
        <v>965</v>
      </c>
      <c r="D95" s="900"/>
      <c r="E95" s="900">
        <v>-60</v>
      </c>
      <c r="F95" s="1467"/>
      <c r="G95" s="1470"/>
    </row>
    <row r="96" spans="1:7" s="8" customFormat="1" ht="11.25" customHeight="1" x14ac:dyDescent="0.2">
      <c r="A96" s="1462"/>
      <c r="B96" s="1463"/>
      <c r="C96" s="899" t="s">
        <v>966</v>
      </c>
      <c r="D96" s="900"/>
      <c r="E96" s="900">
        <f>-26224.49-10375</f>
        <v>-36599.490000000005</v>
      </c>
      <c r="F96" s="1467"/>
      <c r="G96" s="1470"/>
    </row>
    <row r="97" spans="1:9" s="8" customFormat="1" ht="11.25" customHeight="1" x14ac:dyDescent="0.2">
      <c r="A97" s="1462"/>
      <c r="B97" s="1463"/>
      <c r="C97" s="899" t="s">
        <v>967</v>
      </c>
      <c r="D97" s="900"/>
      <c r="E97" s="900">
        <v>10416</v>
      </c>
      <c r="F97" s="1467"/>
      <c r="G97" s="1470"/>
    </row>
    <row r="98" spans="1:9" s="8" customFormat="1" ht="11.25" customHeight="1" x14ac:dyDescent="0.2">
      <c r="A98" s="1462"/>
      <c r="B98" s="1463"/>
      <c r="C98" s="899" t="s">
        <v>968</v>
      </c>
      <c r="D98" s="900"/>
      <c r="E98" s="900">
        <v>3780</v>
      </c>
      <c r="F98" s="1467"/>
      <c r="G98" s="1470"/>
    </row>
    <row r="99" spans="1:9" s="8" customFormat="1" ht="11.25" customHeight="1" x14ac:dyDescent="0.2">
      <c r="A99" s="1462"/>
      <c r="B99" s="1463"/>
      <c r="C99" s="899" t="s">
        <v>969</v>
      </c>
      <c r="D99" s="900"/>
      <c r="E99" s="900">
        <v>176.4</v>
      </c>
      <c r="F99" s="1467"/>
      <c r="G99" s="1470"/>
    </row>
    <row r="100" spans="1:9" s="8" customFormat="1" ht="11.25" customHeight="1" x14ac:dyDescent="0.2">
      <c r="A100" s="1462"/>
      <c r="B100" s="1463"/>
      <c r="C100" s="899" t="s">
        <v>970</v>
      </c>
      <c r="D100" s="900"/>
      <c r="E100" s="900">
        <v>840</v>
      </c>
      <c r="F100" s="1467"/>
      <c r="G100" s="1470"/>
    </row>
    <row r="101" spans="1:9" s="8" customFormat="1" ht="11.25" customHeight="1" x14ac:dyDescent="0.2">
      <c r="A101" s="1462"/>
      <c r="B101" s="1463"/>
      <c r="C101" s="899" t="s">
        <v>971</v>
      </c>
      <c r="D101" s="900"/>
      <c r="E101" s="900">
        <v>78.06</v>
      </c>
      <c r="F101" s="1467"/>
      <c r="G101" s="1470"/>
    </row>
    <row r="102" spans="1:9" s="8" customFormat="1" ht="11.25" customHeight="1" x14ac:dyDescent="0.2">
      <c r="A102" s="1464"/>
      <c r="B102" s="1465"/>
      <c r="C102" s="899" t="s">
        <v>931</v>
      </c>
      <c r="D102" s="900"/>
      <c r="E102" s="900">
        <v>20263</v>
      </c>
      <c r="F102" s="1468"/>
      <c r="G102" s="1471"/>
    </row>
    <row r="103" spans="1:9" s="8" customFormat="1" ht="11.25" customHeight="1" x14ac:dyDescent="0.2">
      <c r="A103" s="1389" t="s">
        <v>570</v>
      </c>
      <c r="B103" s="1457"/>
      <c r="C103" s="889"/>
      <c r="D103" s="890">
        <f>SUM(D49:D102)</f>
        <v>1901709.89</v>
      </c>
      <c r="E103" s="890">
        <f>SUM(E49:E102)</f>
        <v>1901709.89</v>
      </c>
      <c r="F103" s="1458"/>
      <c r="G103" s="1459"/>
    </row>
    <row r="104" spans="1:9" s="8" customFormat="1" ht="11.25" customHeight="1" x14ac:dyDescent="0.2">
      <c r="A104" s="910"/>
      <c r="B104" s="910"/>
      <c r="C104" s="911"/>
      <c r="D104" s="912"/>
      <c r="E104" s="912"/>
      <c r="F104" s="913"/>
      <c r="G104" s="913"/>
    </row>
    <row r="105" spans="1:9" s="8" customFormat="1" ht="11.25" customHeight="1" x14ac:dyDescent="0.2">
      <c r="A105" s="147"/>
      <c r="B105" s="148"/>
      <c r="C105" s="149"/>
      <c r="D105" s="149"/>
      <c r="E105" s="150"/>
    </row>
    <row r="106" spans="1:9" s="8" customFormat="1" ht="10.199999999999999" x14ac:dyDescent="0.2">
      <c r="A106" s="1300" t="s">
        <v>154</v>
      </c>
      <c r="B106" s="1300"/>
      <c r="C106" s="1300"/>
      <c r="D106" s="1300"/>
      <c r="E106" s="1300"/>
      <c r="F106" s="1300"/>
      <c r="G106" s="1300"/>
      <c r="H106" s="1300"/>
      <c r="I106" s="1300"/>
    </row>
    <row r="107" spans="1:9" s="8" customFormat="1" ht="10.199999999999999" x14ac:dyDescent="0.2">
      <c r="A107" s="8" t="s">
        <v>95</v>
      </c>
    </row>
    <row r="108" spans="1:9" s="8" customFormat="1" ht="10.199999999999999" x14ac:dyDescent="0.2">
      <c r="A108" s="1297" t="s">
        <v>972</v>
      </c>
      <c r="B108" s="1298"/>
      <c r="C108" s="1298"/>
      <c r="D108" s="1298"/>
      <c r="E108" s="1298"/>
      <c r="F108" s="1298"/>
      <c r="G108" s="1298"/>
      <c r="H108" s="1298"/>
      <c r="I108" s="1299"/>
    </row>
    <row r="109" spans="1:9" s="8" customFormat="1" ht="10.199999999999999" x14ac:dyDescent="0.2"/>
    <row r="110" spans="1:9" s="8" customFormat="1" ht="0.75" customHeight="1" x14ac:dyDescent="0.2">
      <c r="A110" s="1297"/>
      <c r="B110" s="1298"/>
      <c r="C110" s="1298"/>
      <c r="D110" s="1298"/>
      <c r="E110" s="1298"/>
      <c r="F110" s="1298"/>
      <c r="G110" s="1298"/>
      <c r="H110" s="1298"/>
      <c r="I110" s="1299"/>
    </row>
    <row r="111" spans="1:9" s="8" customFormat="1" ht="10.199999999999999" hidden="1" x14ac:dyDescent="0.2"/>
    <row r="112" spans="1:9" s="7" customFormat="1" ht="10.199999999999999" x14ac:dyDescent="0.2">
      <c r="A112" s="1248" t="s">
        <v>156</v>
      </c>
      <c r="B112" s="1248"/>
      <c r="C112" s="1248"/>
      <c r="D112" s="1248"/>
      <c r="E112" s="1248"/>
      <c r="F112" s="1248"/>
      <c r="G112" s="1248"/>
      <c r="H112" s="1248"/>
      <c r="I112" s="1248"/>
    </row>
    <row r="113" spans="1:9" s="8" customFormat="1" ht="10.199999999999999" x14ac:dyDescent="0.2">
      <c r="A113" s="8" t="s">
        <v>95</v>
      </c>
    </row>
    <row r="114" spans="1:9" s="8" customFormat="1" ht="33" customHeight="1" x14ac:dyDescent="0.2">
      <c r="A114" s="1454" t="s">
        <v>973</v>
      </c>
      <c r="B114" s="1455"/>
      <c r="C114" s="1455"/>
      <c r="D114" s="1455"/>
      <c r="E114" s="1455"/>
      <c r="F114" s="1455"/>
      <c r="G114" s="1455"/>
      <c r="H114" s="1455"/>
      <c r="I114" s="1456"/>
    </row>
    <row r="115" spans="1:9" x14ac:dyDescent="0.25">
      <c r="A115" s="1454" t="s">
        <v>974</v>
      </c>
      <c r="B115" s="1455"/>
      <c r="C115" s="1455"/>
      <c r="D115" s="1455"/>
      <c r="E115" s="1455"/>
      <c r="F115" s="1455"/>
      <c r="G115" s="1455"/>
      <c r="H115" s="1455"/>
      <c r="I115" s="1456"/>
    </row>
    <row r="116" spans="1:9" x14ac:dyDescent="0.25">
      <c r="A116" s="914"/>
      <c r="B116" s="914"/>
      <c r="C116" s="914"/>
      <c r="D116" s="914"/>
      <c r="E116" s="914"/>
      <c r="F116" s="914"/>
      <c r="G116" s="914"/>
      <c r="H116" s="914"/>
      <c r="I116" s="914"/>
    </row>
    <row r="117" spans="1:9" x14ac:dyDescent="0.25">
      <c r="A117" s="8" t="s">
        <v>835</v>
      </c>
    </row>
    <row r="118" spans="1:9" x14ac:dyDescent="0.25">
      <c r="A118" s="26"/>
    </row>
    <row r="119" spans="1:9" x14ac:dyDescent="0.25">
      <c r="A119" s="915" t="s">
        <v>975</v>
      </c>
    </row>
    <row r="120" spans="1:9" x14ac:dyDescent="0.25">
      <c r="A120" s="915"/>
    </row>
    <row r="121" spans="1:9" x14ac:dyDescent="0.25">
      <c r="A121" s="915" t="s">
        <v>976</v>
      </c>
    </row>
  </sheetData>
  <mergeCells count="97">
    <mergeCell ref="F25:I25"/>
    <mergeCell ref="A7:B7"/>
    <mergeCell ref="D7:I7"/>
    <mergeCell ref="A3:I3"/>
    <mergeCell ref="A5:B5"/>
    <mergeCell ref="D5:I5"/>
    <mergeCell ref="A6:B6"/>
    <mergeCell ref="D6:I6"/>
    <mergeCell ref="C44:I44"/>
    <mergeCell ref="C45:I45"/>
    <mergeCell ref="A47:I47"/>
    <mergeCell ref="A49:B49"/>
    <mergeCell ref="A50:B51"/>
    <mergeCell ref="F50:F51"/>
    <mergeCell ref="G50:G51"/>
    <mergeCell ref="F27:I27"/>
    <mergeCell ref="A29:I29"/>
    <mergeCell ref="D31:I31"/>
    <mergeCell ref="C43:I43"/>
    <mergeCell ref="D38:I38"/>
    <mergeCell ref="C39:I39"/>
    <mergeCell ref="A41:I41"/>
    <mergeCell ref="A1:I1"/>
    <mergeCell ref="D32:I32"/>
    <mergeCell ref="C33:I33"/>
    <mergeCell ref="A35:I35"/>
    <mergeCell ref="D37:I37"/>
    <mergeCell ref="F26:I26"/>
    <mergeCell ref="A8:B8"/>
    <mergeCell ref="D8:I8"/>
    <mergeCell ref="A9:B9"/>
    <mergeCell ref="D9:I9"/>
    <mergeCell ref="A11:I11"/>
    <mergeCell ref="A15:A17"/>
    <mergeCell ref="A20:I20"/>
    <mergeCell ref="F22:I22"/>
    <mergeCell ref="F23:I23"/>
    <mergeCell ref="F24:I24"/>
    <mergeCell ref="A52:B53"/>
    <mergeCell ref="F52:F53"/>
    <mergeCell ref="G52:G53"/>
    <mergeCell ref="A54:B55"/>
    <mergeCell ref="A58:B59"/>
    <mergeCell ref="F58:F59"/>
    <mergeCell ref="G58:G59"/>
    <mergeCell ref="F54:F55"/>
    <mergeCell ref="G54:G55"/>
    <mergeCell ref="A56:B57"/>
    <mergeCell ref="F56:F57"/>
    <mergeCell ref="G56:G57"/>
    <mergeCell ref="A60:B62"/>
    <mergeCell ref="F60:F62"/>
    <mergeCell ref="G60:G62"/>
    <mergeCell ref="F63:F64"/>
    <mergeCell ref="G63:G64"/>
    <mergeCell ref="A65:B66"/>
    <mergeCell ref="F65:F66"/>
    <mergeCell ref="G65:G66"/>
    <mergeCell ref="A63:B64"/>
    <mergeCell ref="F67:F68"/>
    <mergeCell ref="G67:G68"/>
    <mergeCell ref="A69:B70"/>
    <mergeCell ref="F69:F70"/>
    <mergeCell ref="G69:G70"/>
    <mergeCell ref="A67:B68"/>
    <mergeCell ref="F71:F72"/>
    <mergeCell ref="G71:G72"/>
    <mergeCell ref="A73:B74"/>
    <mergeCell ref="F73:F74"/>
    <mergeCell ref="G73:G74"/>
    <mergeCell ref="A71:B72"/>
    <mergeCell ref="F80:F83"/>
    <mergeCell ref="G80:G83"/>
    <mergeCell ref="A75:B76"/>
    <mergeCell ref="F75:F76"/>
    <mergeCell ref="G75:G76"/>
    <mergeCell ref="A77:B79"/>
    <mergeCell ref="F77:F79"/>
    <mergeCell ref="G77:G79"/>
    <mergeCell ref="A84:B85"/>
    <mergeCell ref="F84:F85"/>
    <mergeCell ref="G84:G85"/>
    <mergeCell ref="A80:B83"/>
    <mergeCell ref="A86:B92"/>
    <mergeCell ref="F86:F92"/>
    <mergeCell ref="G86:G92"/>
    <mergeCell ref="A93:B102"/>
    <mergeCell ref="F93:F102"/>
    <mergeCell ref="G93:G102"/>
    <mergeCell ref="A112:I112"/>
    <mergeCell ref="A114:I114"/>
    <mergeCell ref="A115:I115"/>
    <mergeCell ref="A103:B103"/>
    <mergeCell ref="F103:G103"/>
    <mergeCell ref="A106:I106"/>
    <mergeCell ref="A108:I108"/>
    <mergeCell ref="A110:I110"/>
  </mergeCells>
  <pageMargins left="0.70866141732283472" right="0.70866141732283472" top="0.78740157480314965" bottom="0.78740157480314965" header="0.31496062992125984" footer="0.31496062992125984"/>
  <pageSetup paperSize="9" firstPageNumber="157" fitToHeight="9" orientation="landscape" useFirstPageNumber="1"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X18" sqref="X18"/>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239</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36411300</v>
      </c>
      <c r="F6" s="52">
        <f>SUM(F7:F9)</f>
        <v>39337329.140000001</v>
      </c>
      <c r="G6" s="52">
        <f>SUM(G7:G9)</f>
        <v>39281324.350000001</v>
      </c>
      <c r="H6" s="4">
        <f t="shared" ref="H6:H36" si="0">G6/F6*100</f>
        <v>99.857629403865516</v>
      </c>
      <c r="I6" s="53">
        <f>SUM(I7:I9)</f>
        <v>35479723.260000005</v>
      </c>
      <c r="J6" s="51">
        <f>SUM(J7:J9)</f>
        <v>4413340</v>
      </c>
      <c r="K6" s="52">
        <f t="shared" ref="K6:X6" si="1">SUM(K7:K9)</f>
        <v>5152896.5999999996</v>
      </c>
      <c r="L6" s="52">
        <f t="shared" si="1"/>
        <v>5097541.26</v>
      </c>
      <c r="M6" s="4">
        <f t="shared" ref="M6:M36" si="2">L6/K6*100</f>
        <v>98.925743241189821</v>
      </c>
      <c r="N6" s="53">
        <f t="shared" si="1"/>
        <v>5179044.26</v>
      </c>
      <c r="O6" s="51">
        <f t="shared" si="1"/>
        <v>31997960</v>
      </c>
      <c r="P6" s="52">
        <f t="shared" si="1"/>
        <v>34184432.539999999</v>
      </c>
      <c r="Q6" s="52">
        <f t="shared" si="1"/>
        <v>34183783.090000004</v>
      </c>
      <c r="R6" s="4">
        <f t="shared" ref="R6:R36" si="3">Q6/P6*100</f>
        <v>99.998100158605126</v>
      </c>
      <c r="S6" s="53">
        <f t="shared" si="1"/>
        <v>30300679</v>
      </c>
      <c r="T6" s="51">
        <f t="shared" si="1"/>
        <v>144272</v>
      </c>
      <c r="U6" s="52">
        <f t="shared" si="1"/>
        <v>165910</v>
      </c>
      <c r="V6" s="52">
        <f t="shared" si="1"/>
        <v>162776</v>
      </c>
      <c r="W6" s="4">
        <f t="shared" ref="W6:W33" si="4">V6/U6*100</f>
        <v>98.1110240491833</v>
      </c>
      <c r="X6" s="53">
        <f t="shared" si="1"/>
        <v>146237</v>
      </c>
    </row>
    <row r="7" spans="1:24" s="34" customFormat="1" x14ac:dyDescent="0.15">
      <c r="A7" s="55" t="s">
        <v>2</v>
      </c>
      <c r="B7" s="1233" t="s">
        <v>46</v>
      </c>
      <c r="C7" s="1233"/>
      <c r="D7" s="50" t="s">
        <v>25</v>
      </c>
      <c r="E7" s="56">
        <f t="shared" ref="E7:G10" si="5">SUM(J7,O7)</f>
        <v>767240</v>
      </c>
      <c r="F7" s="57">
        <f t="shared" si="5"/>
        <v>919584.6</v>
      </c>
      <c r="G7" s="57">
        <f t="shared" si="5"/>
        <v>876897.6</v>
      </c>
      <c r="H7" s="58">
        <f t="shared" si="0"/>
        <v>95.358012737490384</v>
      </c>
      <c r="I7" s="59">
        <f>SUM(N7,S7)</f>
        <v>749338</v>
      </c>
      <c r="J7" s="60">
        <v>767240</v>
      </c>
      <c r="K7" s="61">
        <v>919584.6</v>
      </c>
      <c r="L7" s="61">
        <v>876897.6</v>
      </c>
      <c r="M7" s="58">
        <f t="shared" si="2"/>
        <v>95.358012737490384</v>
      </c>
      <c r="N7" s="244">
        <v>749338</v>
      </c>
      <c r="O7" s="245"/>
      <c r="P7" s="61"/>
      <c r="Q7" s="61"/>
      <c r="R7" s="58"/>
      <c r="S7" s="244"/>
      <c r="T7" s="245">
        <v>144272</v>
      </c>
      <c r="U7" s="61">
        <v>165910</v>
      </c>
      <c r="V7" s="61">
        <v>162776</v>
      </c>
      <c r="W7" s="58">
        <f t="shared" si="4"/>
        <v>98.1110240491833</v>
      </c>
      <c r="X7" s="244">
        <v>146237</v>
      </c>
    </row>
    <row r="8" spans="1:24" s="34" customFormat="1" x14ac:dyDescent="0.15">
      <c r="A8" s="63" t="s">
        <v>3</v>
      </c>
      <c r="B8" s="1237" t="s">
        <v>47</v>
      </c>
      <c r="C8" s="1237"/>
      <c r="D8" s="50" t="s">
        <v>25</v>
      </c>
      <c r="E8" s="56">
        <f t="shared" si="5"/>
        <v>1100</v>
      </c>
      <c r="F8" s="57">
        <f t="shared" si="5"/>
        <v>1300</v>
      </c>
      <c r="G8" s="57">
        <f t="shared" si="5"/>
        <v>1272.6600000000001</v>
      </c>
      <c r="H8" s="58">
        <f t="shared" si="0"/>
        <v>97.896923076923088</v>
      </c>
      <c r="I8" s="59">
        <f>SUM(N8,S8)</f>
        <v>1260.02</v>
      </c>
      <c r="J8" s="64">
        <v>1100</v>
      </c>
      <c r="K8" s="57">
        <v>1300</v>
      </c>
      <c r="L8" s="57">
        <v>1272.6600000000001</v>
      </c>
      <c r="M8" s="58">
        <f t="shared" si="2"/>
        <v>97.896923076923088</v>
      </c>
      <c r="N8" s="59">
        <v>1260.02</v>
      </c>
      <c r="O8" s="56"/>
      <c r="P8" s="57"/>
      <c r="Q8" s="57"/>
      <c r="R8" s="58"/>
      <c r="S8" s="59"/>
      <c r="T8" s="56"/>
      <c r="U8" s="57"/>
      <c r="V8" s="57"/>
      <c r="W8" s="58"/>
      <c r="X8" s="59"/>
    </row>
    <row r="9" spans="1:24" s="34" customFormat="1" ht="8.4" x14ac:dyDescent="0.2">
      <c r="A9" s="63" t="s">
        <v>4</v>
      </c>
      <c r="B9" s="66" t="s">
        <v>62</v>
      </c>
      <c r="C9" s="67"/>
      <c r="D9" s="50" t="s">
        <v>25</v>
      </c>
      <c r="E9" s="56">
        <f t="shared" si="5"/>
        <v>35642960</v>
      </c>
      <c r="F9" s="57">
        <f t="shared" si="5"/>
        <v>38416444.539999999</v>
      </c>
      <c r="G9" s="57">
        <f t="shared" si="5"/>
        <v>38403154.090000004</v>
      </c>
      <c r="H9" s="58">
        <f t="shared" si="0"/>
        <v>99.965404268512785</v>
      </c>
      <c r="I9" s="59">
        <f>SUM(N9,S9)</f>
        <v>34729125.240000002</v>
      </c>
      <c r="J9" s="64">
        <v>3645000</v>
      </c>
      <c r="K9" s="57">
        <v>4232012</v>
      </c>
      <c r="L9" s="57">
        <v>4219371</v>
      </c>
      <c r="M9" s="58">
        <f t="shared" si="2"/>
        <v>99.701300468902261</v>
      </c>
      <c r="N9" s="59">
        <v>4428446.24</v>
      </c>
      <c r="O9" s="56">
        <v>31997960</v>
      </c>
      <c r="P9" s="57">
        <v>34184432.539999999</v>
      </c>
      <c r="Q9" s="57">
        <v>34183783.090000004</v>
      </c>
      <c r="R9" s="58">
        <f t="shared" si="3"/>
        <v>99.998100158605126</v>
      </c>
      <c r="S9" s="59">
        <v>30300679</v>
      </c>
      <c r="T9" s="56"/>
      <c r="U9" s="57"/>
      <c r="V9" s="57"/>
      <c r="W9" s="58"/>
      <c r="X9" s="59"/>
    </row>
    <row r="10" spans="1:24" s="34" customFormat="1" x14ac:dyDescent="0.15">
      <c r="A10" s="49" t="s">
        <v>5</v>
      </c>
      <c r="B10" s="1236" t="s">
        <v>7</v>
      </c>
      <c r="C10" s="1236"/>
      <c r="D10" s="50" t="s">
        <v>25</v>
      </c>
      <c r="E10" s="68">
        <f t="shared" si="5"/>
        <v>0</v>
      </c>
      <c r="F10" s="69">
        <f t="shared" si="5"/>
        <v>180000</v>
      </c>
      <c r="G10" s="69">
        <f t="shared" si="5"/>
        <v>180000</v>
      </c>
      <c r="H10" s="4">
        <f t="shared" si="0"/>
        <v>100</v>
      </c>
      <c r="I10" s="70">
        <f>SUM(N10,S10)</f>
        <v>0</v>
      </c>
      <c r="J10" s="71">
        <v>0</v>
      </c>
      <c r="K10" s="69">
        <v>180000</v>
      </c>
      <c r="L10" s="69">
        <v>180000</v>
      </c>
      <c r="M10" s="4">
        <f t="shared" si="2"/>
        <v>100</v>
      </c>
      <c r="N10" s="70">
        <v>0</v>
      </c>
      <c r="O10" s="68"/>
      <c r="P10" s="69"/>
      <c r="Q10" s="69"/>
      <c r="R10" s="4"/>
      <c r="S10" s="70"/>
      <c r="T10" s="68"/>
      <c r="U10" s="69"/>
      <c r="V10" s="69"/>
      <c r="W10" s="4"/>
      <c r="X10" s="70"/>
    </row>
    <row r="11" spans="1:24" s="34" customFormat="1" x14ac:dyDescent="0.15">
      <c r="A11" s="49" t="s">
        <v>6</v>
      </c>
      <c r="B11" s="1236" t="s">
        <v>9</v>
      </c>
      <c r="C11" s="1236"/>
      <c r="D11" s="50" t="s">
        <v>25</v>
      </c>
      <c r="E11" s="51">
        <f>SUM(E12:E31)</f>
        <v>36411300</v>
      </c>
      <c r="F11" s="52">
        <f>SUM(F12:F31)</f>
        <v>39337329.600000001</v>
      </c>
      <c r="G11" s="52">
        <f>SUM(G12:G31)</f>
        <v>39211697.130000003</v>
      </c>
      <c r="H11" s="4">
        <f t="shared" si="0"/>
        <v>99.680627863463314</v>
      </c>
      <c r="I11" s="53">
        <f>SUM(I12:I31)</f>
        <v>35536501.299999997</v>
      </c>
      <c r="J11" s="51">
        <f>SUM(J12:J31)</f>
        <v>4413340</v>
      </c>
      <c r="K11" s="52">
        <f>SUM(K12:K31)</f>
        <v>5152896.5999999996</v>
      </c>
      <c r="L11" s="52">
        <f>SUM(L12:L31)</f>
        <v>5027914.2299999995</v>
      </c>
      <c r="M11" s="4">
        <f t="shared" si="2"/>
        <v>97.574522065899785</v>
      </c>
      <c r="N11" s="53">
        <f>SUM(N12:N31)</f>
        <v>5235822.3</v>
      </c>
      <c r="O11" s="51">
        <f>SUM(O12:O31)</f>
        <v>31997960</v>
      </c>
      <c r="P11" s="52">
        <f>SUM(P12:P31)</f>
        <v>34184433</v>
      </c>
      <c r="Q11" s="52">
        <f>SUM(Q12:Q31)</f>
        <v>34183783.089999996</v>
      </c>
      <c r="R11" s="4">
        <f t="shared" si="3"/>
        <v>99.998098812988928</v>
      </c>
      <c r="S11" s="53">
        <f>SUM(S12:S31)</f>
        <v>30300679</v>
      </c>
      <c r="T11" s="51">
        <f>SUM(T12:T31)</f>
        <v>72277</v>
      </c>
      <c r="U11" s="52">
        <f>SUM(U12:U31)</f>
        <v>101563</v>
      </c>
      <c r="V11" s="52">
        <f>SUM(V12:V31)</f>
        <v>100548.07</v>
      </c>
      <c r="W11" s="4">
        <f t="shared" si="4"/>
        <v>99.000689227376114</v>
      </c>
      <c r="X11" s="53">
        <f>SUM(X12:X31)</f>
        <v>84567</v>
      </c>
    </row>
    <row r="12" spans="1:24" s="34" customFormat="1" x14ac:dyDescent="0.15">
      <c r="A12" s="73" t="s">
        <v>8</v>
      </c>
      <c r="B12" s="1238" t="s">
        <v>28</v>
      </c>
      <c r="C12" s="1238"/>
      <c r="D12" s="50" t="s">
        <v>25</v>
      </c>
      <c r="E12" s="56">
        <f>SUM(J12,O12)</f>
        <v>726053</v>
      </c>
      <c r="F12" s="57">
        <f t="shared" ref="E12:I27" si="6">SUM(K12,P12)</f>
        <v>788084</v>
      </c>
      <c r="G12" s="57">
        <f t="shared" si="6"/>
        <v>784278.95</v>
      </c>
      <c r="H12" s="58">
        <f t="shared" si="0"/>
        <v>99.517177102948409</v>
      </c>
      <c r="I12" s="59">
        <f t="shared" si="6"/>
        <v>886725.5</v>
      </c>
      <c r="J12" s="74">
        <v>506053</v>
      </c>
      <c r="K12" s="75">
        <v>606428</v>
      </c>
      <c r="L12" s="75">
        <v>602622.75</v>
      </c>
      <c r="M12" s="58">
        <f t="shared" si="2"/>
        <v>99.372514131933215</v>
      </c>
      <c r="N12" s="246">
        <v>674031.5</v>
      </c>
      <c r="O12" s="247">
        <v>220000</v>
      </c>
      <c r="P12" s="75">
        <v>181656</v>
      </c>
      <c r="Q12" s="75">
        <v>181656.2</v>
      </c>
      <c r="R12" s="58">
        <f t="shared" si="3"/>
        <v>100.00011009820761</v>
      </c>
      <c r="S12" s="248">
        <v>212694</v>
      </c>
      <c r="T12" s="247">
        <v>644</v>
      </c>
      <c r="U12" s="75">
        <v>711</v>
      </c>
      <c r="V12" s="75">
        <v>674</v>
      </c>
      <c r="W12" s="58">
        <f t="shared" si="4"/>
        <v>94.796061884669484</v>
      </c>
      <c r="X12" s="246">
        <v>540</v>
      </c>
    </row>
    <row r="13" spans="1:24" s="34" customFormat="1" x14ac:dyDescent="0.15">
      <c r="A13" s="55" t="s">
        <v>10</v>
      </c>
      <c r="B13" s="1233" t="s">
        <v>29</v>
      </c>
      <c r="C13" s="1233"/>
      <c r="D13" s="50" t="s">
        <v>25</v>
      </c>
      <c r="E13" s="56">
        <f t="shared" si="6"/>
        <v>1589418</v>
      </c>
      <c r="F13" s="57">
        <f t="shared" si="6"/>
        <v>1455418</v>
      </c>
      <c r="G13" s="57">
        <f t="shared" si="6"/>
        <v>1363719.13</v>
      </c>
      <c r="H13" s="58">
        <f t="shared" si="0"/>
        <v>93.699482210608906</v>
      </c>
      <c r="I13" s="59">
        <f t="shared" si="6"/>
        <v>1253335.92</v>
      </c>
      <c r="J13" s="74">
        <v>1589418</v>
      </c>
      <c r="K13" s="57">
        <v>1455418</v>
      </c>
      <c r="L13" s="57">
        <v>1363719.13</v>
      </c>
      <c r="M13" s="58">
        <f t="shared" si="2"/>
        <v>93.699482210608906</v>
      </c>
      <c r="N13" s="59">
        <v>1253335.92</v>
      </c>
      <c r="O13" s="56"/>
      <c r="P13" s="57"/>
      <c r="Q13" s="57"/>
      <c r="R13" s="58"/>
      <c r="S13" s="59"/>
      <c r="T13" s="56">
        <v>9582</v>
      </c>
      <c r="U13" s="57">
        <v>17487</v>
      </c>
      <c r="V13" s="57">
        <v>17487</v>
      </c>
      <c r="W13" s="58">
        <f t="shared" si="4"/>
        <v>100</v>
      </c>
      <c r="X13" s="59">
        <v>10287</v>
      </c>
    </row>
    <row r="14" spans="1:24" s="34" customFormat="1" x14ac:dyDescent="0.15">
      <c r="A14" s="55" t="s">
        <v>11</v>
      </c>
      <c r="B14" s="76" t="s">
        <v>63</v>
      </c>
      <c r="C14" s="76"/>
      <c r="D14" s="50" t="s">
        <v>25</v>
      </c>
      <c r="E14" s="56">
        <f t="shared" si="6"/>
        <v>10000</v>
      </c>
      <c r="F14" s="57">
        <f t="shared" si="6"/>
        <v>10000</v>
      </c>
      <c r="G14" s="57">
        <f t="shared" si="6"/>
        <v>9900</v>
      </c>
      <c r="H14" s="58">
        <f t="shared" si="0"/>
        <v>99</v>
      </c>
      <c r="I14" s="59">
        <f t="shared" si="6"/>
        <v>8850</v>
      </c>
      <c r="J14" s="74">
        <v>10000</v>
      </c>
      <c r="K14" s="57">
        <v>10000</v>
      </c>
      <c r="L14" s="57">
        <v>9900</v>
      </c>
      <c r="M14" s="58">
        <f t="shared" si="2"/>
        <v>99</v>
      </c>
      <c r="N14" s="59">
        <v>8850</v>
      </c>
      <c r="O14" s="56"/>
      <c r="P14" s="57"/>
      <c r="Q14" s="57"/>
      <c r="R14" s="58"/>
      <c r="S14" s="59"/>
      <c r="T14" s="56"/>
      <c r="U14" s="57"/>
      <c r="V14" s="57"/>
      <c r="W14" s="58"/>
      <c r="X14" s="59"/>
    </row>
    <row r="15" spans="1:24" s="34" customFormat="1" x14ac:dyDescent="0.15">
      <c r="A15" s="55" t="s">
        <v>12</v>
      </c>
      <c r="B15" s="1233" t="s">
        <v>64</v>
      </c>
      <c r="C15" s="1233"/>
      <c r="D15" s="50" t="s">
        <v>25</v>
      </c>
      <c r="E15" s="56">
        <f t="shared" si="6"/>
        <v>600000</v>
      </c>
      <c r="F15" s="57">
        <f t="shared" si="6"/>
        <v>957073</v>
      </c>
      <c r="G15" s="57">
        <f t="shared" si="6"/>
        <v>955935.9</v>
      </c>
      <c r="H15" s="58">
        <f t="shared" si="0"/>
        <v>99.881189836094009</v>
      </c>
      <c r="I15" s="59">
        <f t="shared" si="6"/>
        <v>1480791</v>
      </c>
      <c r="J15" s="74">
        <v>600000</v>
      </c>
      <c r="K15" s="57">
        <v>957073</v>
      </c>
      <c r="L15" s="57">
        <v>955935.9</v>
      </c>
      <c r="M15" s="58">
        <f t="shared" si="2"/>
        <v>99.881189836094009</v>
      </c>
      <c r="N15" s="59">
        <v>1480791</v>
      </c>
      <c r="O15" s="56"/>
      <c r="P15" s="57"/>
      <c r="Q15" s="57"/>
      <c r="R15" s="58"/>
      <c r="S15" s="59"/>
      <c r="T15" s="56">
        <v>11363</v>
      </c>
      <c r="U15" s="57">
        <v>3207</v>
      </c>
      <c r="V15" s="57">
        <v>2593</v>
      </c>
      <c r="W15" s="58">
        <f t="shared" si="4"/>
        <v>80.854381041471783</v>
      </c>
      <c r="X15" s="59">
        <v>3815</v>
      </c>
    </row>
    <row r="16" spans="1:24" s="34" customFormat="1" x14ac:dyDescent="0.15">
      <c r="A16" s="55" t="s">
        <v>13</v>
      </c>
      <c r="B16" s="1233" t="s">
        <v>30</v>
      </c>
      <c r="C16" s="1233"/>
      <c r="D16" s="50" t="s">
        <v>25</v>
      </c>
      <c r="E16" s="56">
        <f t="shared" si="6"/>
        <v>45000</v>
      </c>
      <c r="F16" s="57">
        <f t="shared" si="6"/>
        <v>40146</v>
      </c>
      <c r="G16" s="57">
        <f t="shared" si="6"/>
        <v>39729</v>
      </c>
      <c r="H16" s="58">
        <f t="shared" si="0"/>
        <v>98.96129128680316</v>
      </c>
      <c r="I16" s="59">
        <f t="shared" si="6"/>
        <v>39771</v>
      </c>
      <c r="J16" s="74">
        <v>5000</v>
      </c>
      <c r="K16" s="57">
        <v>6000</v>
      </c>
      <c r="L16" s="57">
        <v>5583</v>
      </c>
      <c r="M16" s="58">
        <f t="shared" si="2"/>
        <v>93.05</v>
      </c>
      <c r="N16" s="59">
        <v>3565</v>
      </c>
      <c r="O16" s="56">
        <v>40000</v>
      </c>
      <c r="P16" s="57">
        <v>34146</v>
      </c>
      <c r="Q16" s="57">
        <v>34146</v>
      </c>
      <c r="R16" s="58">
        <f t="shared" si="3"/>
        <v>100</v>
      </c>
      <c r="S16" s="59">
        <v>36206</v>
      </c>
      <c r="T16" s="56"/>
      <c r="U16" s="57"/>
      <c r="V16" s="57"/>
      <c r="W16" s="58"/>
      <c r="X16" s="59"/>
    </row>
    <row r="17" spans="1:24" s="34" customFormat="1" x14ac:dyDescent="0.15">
      <c r="A17" s="55" t="s">
        <v>14</v>
      </c>
      <c r="B17" s="76" t="s">
        <v>48</v>
      </c>
      <c r="C17" s="76"/>
      <c r="D17" s="50" t="s">
        <v>25</v>
      </c>
      <c r="E17" s="56">
        <f t="shared" si="6"/>
        <v>3000</v>
      </c>
      <c r="F17" s="57">
        <f t="shared" si="6"/>
        <v>2000</v>
      </c>
      <c r="G17" s="57">
        <f t="shared" si="6"/>
        <v>1198.8</v>
      </c>
      <c r="H17" s="58">
        <f t="shared" si="0"/>
        <v>59.939999999999991</v>
      </c>
      <c r="I17" s="59">
        <f t="shared" si="6"/>
        <v>2131</v>
      </c>
      <c r="J17" s="74">
        <v>3000</v>
      </c>
      <c r="K17" s="57">
        <v>2000</v>
      </c>
      <c r="L17" s="57">
        <v>1198.8</v>
      </c>
      <c r="M17" s="58">
        <f t="shared" si="2"/>
        <v>59.939999999999991</v>
      </c>
      <c r="N17" s="59">
        <v>2131</v>
      </c>
      <c r="O17" s="56"/>
      <c r="P17" s="57"/>
      <c r="Q17" s="57"/>
      <c r="R17" s="58"/>
      <c r="S17" s="59"/>
      <c r="T17" s="56">
        <v>1050</v>
      </c>
      <c r="U17" s="57">
        <v>1050</v>
      </c>
      <c r="V17" s="57">
        <v>777</v>
      </c>
      <c r="W17" s="58">
        <f t="shared" si="4"/>
        <v>74</v>
      </c>
      <c r="X17" s="59">
        <v>791</v>
      </c>
    </row>
    <row r="18" spans="1:24" s="34" customFormat="1" x14ac:dyDescent="0.15">
      <c r="A18" s="55" t="s">
        <v>15</v>
      </c>
      <c r="B18" s="1233" t="s">
        <v>31</v>
      </c>
      <c r="C18" s="1233"/>
      <c r="D18" s="50" t="s">
        <v>25</v>
      </c>
      <c r="E18" s="56">
        <f t="shared" si="6"/>
        <v>726773</v>
      </c>
      <c r="F18" s="57">
        <f t="shared" si="6"/>
        <v>812199</v>
      </c>
      <c r="G18" s="57">
        <f t="shared" si="6"/>
        <v>800988.35</v>
      </c>
      <c r="H18" s="58">
        <f t="shared" si="0"/>
        <v>98.619716350303307</v>
      </c>
      <c r="I18" s="59">
        <f t="shared" si="6"/>
        <v>881756.71</v>
      </c>
      <c r="J18" s="74">
        <v>641000</v>
      </c>
      <c r="K18" s="57">
        <v>707542</v>
      </c>
      <c r="L18" s="57">
        <v>696331</v>
      </c>
      <c r="M18" s="58">
        <f t="shared" si="2"/>
        <v>98.415500422589759</v>
      </c>
      <c r="N18" s="59">
        <v>530078.71</v>
      </c>
      <c r="O18" s="56">
        <v>85773</v>
      </c>
      <c r="P18" s="57">
        <v>104657</v>
      </c>
      <c r="Q18" s="57">
        <v>104657.35</v>
      </c>
      <c r="R18" s="58">
        <f t="shared" si="3"/>
        <v>100.00033442579092</v>
      </c>
      <c r="S18" s="59">
        <v>351678</v>
      </c>
      <c r="T18" s="56">
        <v>400</v>
      </c>
      <c r="U18" s="57">
        <v>68882</v>
      </c>
      <c r="V18" s="57">
        <v>68825</v>
      </c>
      <c r="W18" s="58">
        <f t="shared" si="4"/>
        <v>99.917249789495074</v>
      </c>
      <c r="X18" s="59">
        <v>61894</v>
      </c>
    </row>
    <row r="19" spans="1:24" s="37" customFormat="1" x14ac:dyDescent="0.15">
      <c r="A19" s="55" t="s">
        <v>16</v>
      </c>
      <c r="B19" s="1233" t="s">
        <v>32</v>
      </c>
      <c r="C19" s="1233"/>
      <c r="D19" s="50" t="s">
        <v>25</v>
      </c>
      <c r="E19" s="56">
        <f t="shared" si="6"/>
        <v>23419100</v>
      </c>
      <c r="F19" s="57">
        <f t="shared" si="6"/>
        <v>24953975</v>
      </c>
      <c r="G19" s="57">
        <f t="shared" si="6"/>
        <v>24943292</v>
      </c>
      <c r="H19" s="58">
        <f t="shared" si="0"/>
        <v>99.957189185290119</v>
      </c>
      <c r="I19" s="59">
        <f t="shared" si="6"/>
        <v>21996020</v>
      </c>
      <c r="J19" s="77">
        <v>250000</v>
      </c>
      <c r="K19" s="57">
        <v>301200</v>
      </c>
      <c r="L19" s="57">
        <v>290517</v>
      </c>
      <c r="M19" s="58">
        <f t="shared" si="2"/>
        <v>96.453187250996024</v>
      </c>
      <c r="N19" s="59">
        <v>270079</v>
      </c>
      <c r="O19" s="56">
        <v>23169100</v>
      </c>
      <c r="P19" s="57">
        <v>24652775</v>
      </c>
      <c r="Q19" s="57">
        <v>24652775</v>
      </c>
      <c r="R19" s="58">
        <f t="shared" si="3"/>
        <v>100</v>
      </c>
      <c r="S19" s="59">
        <v>21725941</v>
      </c>
      <c r="T19" s="249">
        <v>30976</v>
      </c>
      <c r="U19" s="78">
        <v>1376</v>
      </c>
      <c r="V19" s="78">
        <v>1352.32</v>
      </c>
      <c r="W19" s="58">
        <f t="shared" si="4"/>
        <v>98.279069767441854</v>
      </c>
      <c r="X19" s="250">
        <v>818</v>
      </c>
    </row>
    <row r="20" spans="1:24" s="34" customFormat="1" x14ac:dyDescent="0.15">
      <c r="A20" s="55" t="s">
        <v>17</v>
      </c>
      <c r="B20" s="1233" t="s">
        <v>49</v>
      </c>
      <c r="C20" s="1233"/>
      <c r="D20" s="50" t="s">
        <v>25</v>
      </c>
      <c r="E20" s="56">
        <f t="shared" si="6"/>
        <v>8025409</v>
      </c>
      <c r="F20" s="57">
        <f t="shared" si="6"/>
        <v>8473096.5999999996</v>
      </c>
      <c r="G20" s="57">
        <f t="shared" si="6"/>
        <v>8468782.3600000013</v>
      </c>
      <c r="H20" s="58">
        <f t="shared" si="0"/>
        <v>99.949083077844307</v>
      </c>
      <c r="I20" s="59">
        <f t="shared" si="6"/>
        <v>7426557.5099999998</v>
      </c>
      <c r="J20" s="74">
        <v>55424</v>
      </c>
      <c r="K20" s="57">
        <v>74308.600000000006</v>
      </c>
      <c r="L20" s="57">
        <v>70644.800000000003</v>
      </c>
      <c r="M20" s="58">
        <f t="shared" si="2"/>
        <v>95.069480517732813</v>
      </c>
      <c r="N20" s="59">
        <v>64250.51</v>
      </c>
      <c r="O20" s="56">
        <v>7969985</v>
      </c>
      <c r="P20" s="57">
        <v>8398788</v>
      </c>
      <c r="Q20" s="57">
        <v>8398137.5600000005</v>
      </c>
      <c r="R20" s="58">
        <f t="shared" si="3"/>
        <v>99.992255549253059</v>
      </c>
      <c r="S20" s="59">
        <v>7362307</v>
      </c>
      <c r="T20" s="56">
        <v>10666</v>
      </c>
      <c r="U20" s="57">
        <v>468</v>
      </c>
      <c r="V20" s="57">
        <v>467.65</v>
      </c>
      <c r="W20" s="58">
        <f t="shared" si="4"/>
        <v>99.925213675213669</v>
      </c>
      <c r="X20" s="59">
        <v>282</v>
      </c>
    </row>
    <row r="21" spans="1:24" s="34" customFormat="1" x14ac:dyDescent="0.15">
      <c r="A21" s="55" t="s">
        <v>18</v>
      </c>
      <c r="B21" s="1233" t="s">
        <v>50</v>
      </c>
      <c r="C21" s="1233"/>
      <c r="D21" s="50" t="s">
        <v>25</v>
      </c>
      <c r="E21" s="56">
        <f t="shared" si="6"/>
        <v>466678</v>
      </c>
      <c r="F21" s="57">
        <f t="shared" si="6"/>
        <v>530011</v>
      </c>
      <c r="G21" s="57">
        <f t="shared" si="6"/>
        <v>529727.43999999994</v>
      </c>
      <c r="H21" s="58">
        <f t="shared" si="0"/>
        <v>99.946499223601009</v>
      </c>
      <c r="I21" s="59">
        <f t="shared" si="6"/>
        <v>453625.66</v>
      </c>
      <c r="J21" s="74">
        <v>3576</v>
      </c>
      <c r="K21" s="57">
        <v>6676</v>
      </c>
      <c r="L21" s="57">
        <v>6392.78</v>
      </c>
      <c r="M21" s="58">
        <f t="shared" si="2"/>
        <v>95.757639304973026</v>
      </c>
      <c r="N21" s="59">
        <v>3699.66</v>
      </c>
      <c r="O21" s="56">
        <v>463102</v>
      </c>
      <c r="P21" s="57">
        <v>523335</v>
      </c>
      <c r="Q21" s="57">
        <v>523334.66</v>
      </c>
      <c r="R21" s="58">
        <f t="shared" si="3"/>
        <v>99.999935032054026</v>
      </c>
      <c r="S21" s="59">
        <v>449926</v>
      </c>
      <c r="T21" s="56">
        <v>620</v>
      </c>
      <c r="U21" s="57">
        <v>37</v>
      </c>
      <c r="V21" s="57">
        <v>27.1</v>
      </c>
      <c r="W21" s="58">
        <f t="shared" si="4"/>
        <v>73.243243243243256</v>
      </c>
      <c r="X21" s="59">
        <v>16</v>
      </c>
    </row>
    <row r="22" spans="1:24" s="34" customFormat="1" x14ac:dyDescent="0.15">
      <c r="A22" s="55" t="s">
        <v>19</v>
      </c>
      <c r="B22" s="1233" t="s">
        <v>65</v>
      </c>
      <c r="C22" s="1233"/>
      <c r="D22" s="50" t="s">
        <v>25</v>
      </c>
      <c r="E22" s="56">
        <f t="shared" si="6"/>
        <v>0</v>
      </c>
      <c r="F22" s="57">
        <f t="shared" si="6"/>
        <v>0</v>
      </c>
      <c r="G22" s="57">
        <f t="shared" si="6"/>
        <v>0</v>
      </c>
      <c r="H22" s="58"/>
      <c r="I22" s="59">
        <f t="shared" si="6"/>
        <v>0</v>
      </c>
      <c r="J22" s="74"/>
      <c r="K22" s="57"/>
      <c r="L22" s="57"/>
      <c r="M22" s="58"/>
      <c r="N22" s="59"/>
      <c r="O22" s="56"/>
      <c r="P22" s="57"/>
      <c r="Q22" s="57"/>
      <c r="R22" s="58"/>
      <c r="S22" s="59"/>
      <c r="T22" s="56"/>
      <c r="U22" s="57"/>
      <c r="V22" s="57"/>
      <c r="W22" s="58"/>
      <c r="X22" s="59"/>
    </row>
    <row r="23" spans="1:24" s="34" customFormat="1" x14ac:dyDescent="0.15">
      <c r="A23" s="55" t="s">
        <v>20</v>
      </c>
      <c r="B23" s="76" t="s">
        <v>66</v>
      </c>
      <c r="C23" s="76"/>
      <c r="D23" s="50" t="s">
        <v>25</v>
      </c>
      <c r="E23" s="56">
        <f t="shared" si="6"/>
        <v>0</v>
      </c>
      <c r="F23" s="57">
        <f t="shared" si="6"/>
        <v>0</v>
      </c>
      <c r="G23" s="57">
        <f t="shared" si="6"/>
        <v>0</v>
      </c>
      <c r="H23" s="58"/>
      <c r="I23" s="59">
        <f t="shared" si="6"/>
        <v>0</v>
      </c>
      <c r="J23" s="74"/>
      <c r="K23" s="57"/>
      <c r="L23" s="57"/>
      <c r="M23" s="58"/>
      <c r="N23" s="59"/>
      <c r="O23" s="56"/>
      <c r="P23" s="57"/>
      <c r="Q23" s="57"/>
      <c r="R23" s="58"/>
      <c r="S23" s="59"/>
      <c r="T23" s="56"/>
      <c r="U23" s="57"/>
      <c r="V23" s="57"/>
      <c r="W23" s="58"/>
      <c r="X23" s="59"/>
    </row>
    <row r="24" spans="1:24" s="34" customFormat="1" x14ac:dyDescent="0.15">
      <c r="A24" s="55" t="s">
        <v>21</v>
      </c>
      <c r="B24" s="76" t="s">
        <v>73</v>
      </c>
      <c r="C24" s="76"/>
      <c r="D24" s="50" t="s">
        <v>25</v>
      </c>
      <c r="E24" s="56">
        <f t="shared" si="6"/>
        <v>0</v>
      </c>
      <c r="F24" s="57">
        <f t="shared" si="6"/>
        <v>0</v>
      </c>
      <c r="G24" s="57">
        <f t="shared" si="6"/>
        <v>0</v>
      </c>
      <c r="H24" s="58"/>
      <c r="I24" s="59">
        <f t="shared" si="6"/>
        <v>0</v>
      </c>
      <c r="J24" s="74"/>
      <c r="K24" s="57"/>
      <c r="L24" s="57"/>
      <c r="M24" s="58"/>
      <c r="N24" s="59"/>
      <c r="O24" s="56"/>
      <c r="P24" s="57"/>
      <c r="Q24" s="57"/>
      <c r="R24" s="58"/>
      <c r="S24" s="59"/>
      <c r="T24" s="56"/>
      <c r="U24" s="57"/>
      <c r="V24" s="57"/>
      <c r="W24" s="58"/>
      <c r="X24" s="59"/>
    </row>
    <row r="25" spans="1:24" s="34" customFormat="1" x14ac:dyDescent="0.15">
      <c r="A25" s="73" t="s">
        <v>22</v>
      </c>
      <c r="B25" s="80" t="s">
        <v>68</v>
      </c>
      <c r="C25" s="80"/>
      <c r="D25" s="50" t="s">
        <v>25</v>
      </c>
      <c r="E25" s="56">
        <f t="shared" si="6"/>
        <v>0</v>
      </c>
      <c r="F25" s="57">
        <f t="shared" si="6"/>
        <v>0</v>
      </c>
      <c r="G25" s="57">
        <f t="shared" si="6"/>
        <v>0</v>
      </c>
      <c r="H25" s="58"/>
      <c r="I25" s="59">
        <f t="shared" si="6"/>
        <v>0</v>
      </c>
      <c r="J25" s="74"/>
      <c r="K25" s="75"/>
      <c r="L25" s="75"/>
      <c r="M25" s="58"/>
      <c r="N25" s="246"/>
      <c r="O25" s="247"/>
      <c r="P25" s="75"/>
      <c r="Q25" s="75"/>
      <c r="R25" s="58"/>
      <c r="S25" s="248"/>
      <c r="T25" s="247"/>
      <c r="U25" s="75"/>
      <c r="V25" s="75"/>
      <c r="W25" s="58"/>
      <c r="X25" s="248"/>
    </row>
    <row r="26" spans="1:24" s="38" customFormat="1" x14ac:dyDescent="0.15">
      <c r="A26" s="55" t="s">
        <v>23</v>
      </c>
      <c r="B26" s="1233" t="s">
        <v>69</v>
      </c>
      <c r="C26" s="1233"/>
      <c r="D26" s="50" t="s">
        <v>25</v>
      </c>
      <c r="E26" s="56">
        <f t="shared" si="6"/>
        <v>589647</v>
      </c>
      <c r="F26" s="57">
        <f t="shared" si="6"/>
        <v>649784</v>
      </c>
      <c r="G26" s="57">
        <f t="shared" si="6"/>
        <v>649161</v>
      </c>
      <c r="H26" s="81">
        <f t="shared" si="0"/>
        <v>99.904121985151988</v>
      </c>
      <c r="I26" s="59">
        <f t="shared" si="6"/>
        <v>580196</v>
      </c>
      <c r="J26" s="74">
        <v>589647</v>
      </c>
      <c r="K26" s="82">
        <v>649784</v>
      </c>
      <c r="L26" s="82">
        <v>649161</v>
      </c>
      <c r="M26" s="58">
        <f t="shared" si="2"/>
        <v>99.904121985151988</v>
      </c>
      <c r="N26" s="59">
        <v>580196</v>
      </c>
      <c r="O26" s="251"/>
      <c r="P26" s="82"/>
      <c r="Q26" s="82"/>
      <c r="R26" s="58"/>
      <c r="S26" s="246"/>
      <c r="T26" s="252">
        <v>6976</v>
      </c>
      <c r="U26" s="83">
        <v>8345</v>
      </c>
      <c r="V26" s="83">
        <v>8345</v>
      </c>
      <c r="W26" s="58">
        <f t="shared" si="4"/>
        <v>100</v>
      </c>
      <c r="X26" s="253">
        <v>6124</v>
      </c>
    </row>
    <row r="27" spans="1:24" s="39" customFormat="1" x14ac:dyDescent="0.15">
      <c r="A27" s="55" t="s">
        <v>45</v>
      </c>
      <c r="B27" s="76" t="s">
        <v>70</v>
      </c>
      <c r="C27" s="76"/>
      <c r="D27" s="50" t="s">
        <v>25</v>
      </c>
      <c r="E27" s="56">
        <f t="shared" si="6"/>
        <v>0</v>
      </c>
      <c r="F27" s="57">
        <f t="shared" si="6"/>
        <v>0</v>
      </c>
      <c r="G27" s="57">
        <f t="shared" si="6"/>
        <v>0</v>
      </c>
      <c r="H27" s="81"/>
      <c r="I27" s="59">
        <f t="shared" si="6"/>
        <v>0</v>
      </c>
      <c r="J27" s="74"/>
      <c r="K27" s="82"/>
      <c r="L27" s="82"/>
      <c r="M27" s="58"/>
      <c r="N27" s="246"/>
      <c r="O27" s="251"/>
      <c r="P27" s="82"/>
      <c r="Q27" s="82"/>
      <c r="R27" s="58"/>
      <c r="S27" s="246"/>
      <c r="T27" s="252"/>
      <c r="U27" s="83"/>
      <c r="V27" s="83"/>
      <c r="W27" s="58"/>
      <c r="X27" s="253"/>
    </row>
    <row r="28" spans="1:24" s="39" customFormat="1" x14ac:dyDescent="0.15">
      <c r="A28" s="55" t="s">
        <v>51</v>
      </c>
      <c r="B28" s="76" t="s">
        <v>74</v>
      </c>
      <c r="C28" s="76"/>
      <c r="D28" s="50" t="s">
        <v>25</v>
      </c>
      <c r="E28" s="56">
        <v>210000</v>
      </c>
      <c r="F28" s="57">
        <v>623721</v>
      </c>
      <c r="G28" s="57">
        <v>623380</v>
      </c>
      <c r="H28" s="81">
        <f t="shared" si="0"/>
        <v>99.945328119463667</v>
      </c>
      <c r="I28" s="59">
        <v>425426</v>
      </c>
      <c r="J28" s="74">
        <v>160000</v>
      </c>
      <c r="K28" s="82">
        <v>334645</v>
      </c>
      <c r="L28" s="82">
        <v>334303.87</v>
      </c>
      <c r="M28" s="58">
        <f t="shared" si="2"/>
        <v>99.898062125536015</v>
      </c>
      <c r="N28" s="246">
        <v>263499</v>
      </c>
      <c r="O28" s="251">
        <v>50000</v>
      </c>
      <c r="P28" s="82">
        <v>289076</v>
      </c>
      <c r="Q28" s="82">
        <v>289076.32</v>
      </c>
      <c r="R28" s="58">
        <f t="shared" si="3"/>
        <v>100.00011069753283</v>
      </c>
      <c r="S28" s="246">
        <v>161927</v>
      </c>
      <c r="T28" s="252"/>
      <c r="U28" s="83"/>
      <c r="V28" s="83"/>
      <c r="W28" s="58"/>
      <c r="X28" s="253"/>
    </row>
    <row r="29" spans="1:24" s="38" customFormat="1" x14ac:dyDescent="0.15">
      <c r="A29" s="55" t="s">
        <v>52</v>
      </c>
      <c r="B29" s="1233" t="s">
        <v>67</v>
      </c>
      <c r="C29" s="1233"/>
      <c r="D29" s="50" t="s">
        <v>25</v>
      </c>
      <c r="E29" s="56">
        <f t="shared" ref="E29:G31" si="7">SUM(J29,O29)</f>
        <v>222</v>
      </c>
      <c r="F29" s="57">
        <f t="shared" si="7"/>
        <v>41822</v>
      </c>
      <c r="G29" s="57">
        <f t="shared" si="7"/>
        <v>41604.199999999997</v>
      </c>
      <c r="H29" s="81">
        <f t="shared" si="0"/>
        <v>99.47922146238821</v>
      </c>
      <c r="I29" s="59">
        <f>SUM(N29,S29)</f>
        <v>101315</v>
      </c>
      <c r="J29" s="74">
        <v>222</v>
      </c>
      <c r="K29" s="82">
        <v>41822</v>
      </c>
      <c r="L29" s="82">
        <v>41604.199999999997</v>
      </c>
      <c r="M29" s="58">
        <f t="shared" si="2"/>
        <v>99.47922146238821</v>
      </c>
      <c r="N29" s="246">
        <v>101315</v>
      </c>
      <c r="O29" s="251"/>
      <c r="P29" s="82"/>
      <c r="Q29" s="82"/>
      <c r="R29" s="58"/>
      <c r="S29" s="246"/>
      <c r="T29" s="252"/>
      <c r="U29" s="83"/>
      <c r="V29" s="83"/>
      <c r="W29" s="58"/>
      <c r="X29" s="253"/>
    </row>
    <row r="30" spans="1:24" s="34" customFormat="1" x14ac:dyDescent="0.15">
      <c r="A30" s="55" t="s">
        <v>54</v>
      </c>
      <c r="B30" s="76" t="s">
        <v>53</v>
      </c>
      <c r="C30" s="76"/>
      <c r="D30" s="50" t="s">
        <v>25</v>
      </c>
      <c r="E30" s="56">
        <f t="shared" si="7"/>
        <v>0</v>
      </c>
      <c r="F30" s="57">
        <f t="shared" si="7"/>
        <v>0</v>
      </c>
      <c r="G30" s="57">
        <f t="shared" si="7"/>
        <v>0</v>
      </c>
      <c r="H30" s="81"/>
      <c r="I30" s="59">
        <f>SUM(N30,S30)</f>
        <v>0</v>
      </c>
      <c r="J30" s="74"/>
      <c r="K30" s="82"/>
      <c r="L30" s="82"/>
      <c r="M30" s="58"/>
      <c r="N30" s="246"/>
      <c r="O30" s="251"/>
      <c r="P30" s="82"/>
      <c r="Q30" s="82"/>
      <c r="R30" s="58"/>
      <c r="S30" s="246"/>
      <c r="T30" s="252"/>
      <c r="U30" s="83"/>
      <c r="V30" s="83"/>
      <c r="W30" s="58"/>
      <c r="X30" s="253"/>
    </row>
    <row r="31" spans="1:24" s="5" customFormat="1" ht="8.4" x14ac:dyDescent="0.2">
      <c r="A31" s="55" t="s">
        <v>55</v>
      </c>
      <c r="B31" s="66" t="s">
        <v>71</v>
      </c>
      <c r="C31" s="66"/>
      <c r="D31" s="50" t="s">
        <v>25</v>
      </c>
      <c r="E31" s="56">
        <f t="shared" si="7"/>
        <v>0</v>
      </c>
      <c r="F31" s="57">
        <f t="shared" si="7"/>
        <v>0</v>
      </c>
      <c r="G31" s="57">
        <f t="shared" si="7"/>
        <v>0</v>
      </c>
      <c r="H31" s="81"/>
      <c r="I31" s="59">
        <f>SUM(N31,S31)</f>
        <v>0</v>
      </c>
      <c r="J31" s="74"/>
      <c r="K31" s="84"/>
      <c r="L31" s="84"/>
      <c r="M31" s="58"/>
      <c r="N31" s="254"/>
      <c r="O31" s="255"/>
      <c r="P31" s="84"/>
      <c r="Q31" s="84"/>
      <c r="R31" s="58"/>
      <c r="S31" s="254"/>
      <c r="T31" s="256"/>
      <c r="U31" s="31"/>
      <c r="V31" s="31"/>
      <c r="W31" s="58"/>
      <c r="X31" s="257"/>
    </row>
    <row r="32" spans="1:24" s="5" customFormat="1" x14ac:dyDescent="0.15">
      <c r="A32" s="73" t="s">
        <v>56</v>
      </c>
      <c r="B32" s="80" t="s">
        <v>72</v>
      </c>
      <c r="C32" s="80"/>
      <c r="D32" s="50" t="s">
        <v>25</v>
      </c>
      <c r="E32" s="56">
        <f>SUM(J32,O32)</f>
        <v>0</v>
      </c>
      <c r="F32" s="57">
        <f>SUM(K32,P32)</f>
        <v>0</v>
      </c>
      <c r="G32" s="57">
        <f>SUM(L32,Q32)</f>
        <v>0</v>
      </c>
      <c r="H32" s="81"/>
      <c r="I32" s="59">
        <f>SUM(N32,S32)</f>
        <v>0</v>
      </c>
      <c r="J32" s="86"/>
      <c r="K32" s="31"/>
      <c r="L32" s="31"/>
      <c r="M32" s="58"/>
      <c r="N32" s="257"/>
      <c r="O32" s="256"/>
      <c r="P32" s="31"/>
      <c r="Q32" s="31"/>
      <c r="R32" s="58"/>
      <c r="S32" s="257"/>
      <c r="T32" s="256"/>
      <c r="U32" s="31"/>
      <c r="V32" s="31"/>
      <c r="W32" s="58"/>
      <c r="X32" s="257"/>
    </row>
    <row r="33" spans="1:24" s="5" customFormat="1" x14ac:dyDescent="0.15">
      <c r="A33" s="49" t="s">
        <v>57</v>
      </c>
      <c r="B33" s="88" t="s">
        <v>58</v>
      </c>
      <c r="C33" s="88"/>
      <c r="D33" s="50" t="s">
        <v>25</v>
      </c>
      <c r="E33" s="51">
        <f>E6-E11</f>
        <v>0</v>
      </c>
      <c r="F33" s="52">
        <f t="shared" ref="F33:G33" si="8">F6-F11</f>
        <v>-0.46000000089406967</v>
      </c>
      <c r="G33" s="52">
        <f t="shared" si="8"/>
        <v>69627.219999998808</v>
      </c>
      <c r="H33" s="89">
        <v>0</v>
      </c>
      <c r="I33" s="53">
        <f t="shared" ref="I33:L33" si="9">I6-I11</f>
        <v>-56778.039999991655</v>
      </c>
      <c r="J33" s="51">
        <f t="shared" si="9"/>
        <v>0</v>
      </c>
      <c r="K33" s="52">
        <f t="shared" si="9"/>
        <v>0</v>
      </c>
      <c r="L33" s="52">
        <f t="shared" si="9"/>
        <v>69627.030000000261</v>
      </c>
      <c r="M33" s="4">
        <v>0</v>
      </c>
      <c r="N33" s="53">
        <f t="shared" ref="N33:Q33" si="10">N6-N11</f>
        <v>-56778.040000000037</v>
      </c>
      <c r="O33" s="51">
        <f t="shared" si="10"/>
        <v>0</v>
      </c>
      <c r="P33" s="52">
        <f t="shared" si="10"/>
        <v>-0.46000000089406967</v>
      </c>
      <c r="Q33" s="52">
        <f t="shared" si="10"/>
        <v>0</v>
      </c>
      <c r="R33" s="4">
        <f t="shared" si="3"/>
        <v>0</v>
      </c>
      <c r="S33" s="53">
        <f t="shared" ref="S33:V33" si="11">S6-S11</f>
        <v>0</v>
      </c>
      <c r="T33" s="51">
        <f t="shared" si="11"/>
        <v>71995</v>
      </c>
      <c r="U33" s="52">
        <f t="shared" si="11"/>
        <v>64347</v>
      </c>
      <c r="V33" s="52">
        <f t="shared" si="11"/>
        <v>62227.929999999993</v>
      </c>
      <c r="W33" s="58">
        <f t="shared" si="4"/>
        <v>96.706808398215912</v>
      </c>
      <c r="X33" s="53">
        <f>X6-X11</f>
        <v>61670</v>
      </c>
    </row>
    <row r="34" spans="1:24" s="6" customFormat="1" x14ac:dyDescent="0.15">
      <c r="A34" s="90" t="s">
        <v>59</v>
      </c>
      <c r="B34" s="1239" t="s">
        <v>24</v>
      </c>
      <c r="C34" s="1239"/>
      <c r="D34" s="91" t="s">
        <v>25</v>
      </c>
      <c r="E34" s="92">
        <v>31442</v>
      </c>
      <c r="F34" s="93">
        <v>33288.58</v>
      </c>
      <c r="G34" s="93">
        <v>33274.33</v>
      </c>
      <c r="H34" s="81">
        <f t="shared" si="0"/>
        <v>99.957192526686327</v>
      </c>
      <c r="I34" s="94">
        <v>31757</v>
      </c>
      <c r="J34" s="258">
        <v>13381</v>
      </c>
      <c r="K34" s="96">
        <v>17378</v>
      </c>
      <c r="L34" s="96">
        <v>16558</v>
      </c>
      <c r="M34" s="58">
        <f t="shared" si="2"/>
        <v>95.281390263551614</v>
      </c>
      <c r="N34" s="259">
        <v>14067</v>
      </c>
      <c r="O34" s="258">
        <v>31538</v>
      </c>
      <c r="P34" s="96">
        <v>33421.79</v>
      </c>
      <c r="Q34" s="96">
        <v>33421.79</v>
      </c>
      <c r="R34" s="58">
        <f t="shared" si="3"/>
        <v>100</v>
      </c>
      <c r="S34" s="259">
        <v>32261</v>
      </c>
      <c r="T34" s="258">
        <v>0</v>
      </c>
      <c r="U34" s="96">
        <v>0</v>
      </c>
      <c r="V34" s="96">
        <v>0</v>
      </c>
      <c r="W34" s="58"/>
      <c r="X34" s="259">
        <v>0</v>
      </c>
    </row>
    <row r="35" spans="1:24" s="6" customFormat="1" x14ac:dyDescent="0.15">
      <c r="A35" s="99" t="s">
        <v>60</v>
      </c>
      <c r="B35" s="1240" t="s">
        <v>33</v>
      </c>
      <c r="C35" s="1240"/>
      <c r="D35" s="100" t="s">
        <v>26</v>
      </c>
      <c r="E35" s="92">
        <v>62.07</v>
      </c>
      <c r="F35" s="93">
        <v>62.468800000000002</v>
      </c>
      <c r="G35" s="93">
        <v>62.468800000000002</v>
      </c>
      <c r="H35" s="81">
        <f t="shared" si="0"/>
        <v>100</v>
      </c>
      <c r="I35" s="94">
        <v>58</v>
      </c>
      <c r="J35" s="258">
        <v>0.85</v>
      </c>
      <c r="K35" s="96">
        <v>1</v>
      </c>
      <c r="L35" s="96">
        <v>1</v>
      </c>
      <c r="M35" s="58">
        <f t="shared" si="2"/>
        <v>100</v>
      </c>
      <c r="N35" s="259">
        <v>2</v>
      </c>
      <c r="O35" s="258">
        <v>61.22</v>
      </c>
      <c r="P35" s="96">
        <v>61.468800000000002</v>
      </c>
      <c r="Q35" s="96">
        <v>61.468800000000002</v>
      </c>
      <c r="R35" s="58">
        <f t="shared" si="3"/>
        <v>100</v>
      </c>
      <c r="S35" s="259">
        <v>56</v>
      </c>
      <c r="T35" s="258">
        <v>0</v>
      </c>
      <c r="U35" s="96">
        <v>0</v>
      </c>
      <c r="V35" s="96">
        <v>0</v>
      </c>
      <c r="W35" s="58"/>
      <c r="X35" s="259">
        <v>0</v>
      </c>
    </row>
    <row r="36" spans="1:24" s="6" customFormat="1" ht="8.4" thickBot="1" x14ac:dyDescent="0.2">
      <c r="A36" s="103" t="s">
        <v>61</v>
      </c>
      <c r="B36" s="1241" t="s">
        <v>27</v>
      </c>
      <c r="C36" s="1241"/>
      <c r="D36" s="104" t="s">
        <v>26</v>
      </c>
      <c r="E36" s="105">
        <v>68</v>
      </c>
      <c r="F36" s="106">
        <v>74</v>
      </c>
      <c r="G36" s="106">
        <v>74</v>
      </c>
      <c r="H36" s="107">
        <f t="shared" si="0"/>
        <v>100</v>
      </c>
      <c r="I36" s="108">
        <v>68</v>
      </c>
      <c r="J36" s="264">
        <v>1</v>
      </c>
      <c r="K36" s="110">
        <v>1</v>
      </c>
      <c r="L36" s="110">
        <v>1</v>
      </c>
      <c r="M36" s="111">
        <f t="shared" si="2"/>
        <v>100</v>
      </c>
      <c r="N36" s="265">
        <v>2</v>
      </c>
      <c r="O36" s="264">
        <v>67</v>
      </c>
      <c r="P36" s="110">
        <v>73</v>
      </c>
      <c r="Q36" s="110">
        <v>73</v>
      </c>
      <c r="R36" s="111">
        <f t="shared" si="3"/>
        <v>100</v>
      </c>
      <c r="S36" s="265">
        <v>66</v>
      </c>
      <c r="T36" s="264">
        <v>0</v>
      </c>
      <c r="U36" s="110">
        <v>0</v>
      </c>
      <c r="V36" s="110">
        <v>0</v>
      </c>
      <c r="W36" s="111"/>
      <c r="X36" s="265">
        <v>0</v>
      </c>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61" orientation="landscape" useFirstPageNumber="1"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7"/>
  <sheetViews>
    <sheetView topLeftCell="A178" zoomScaleNormal="100" workbookViewId="0">
      <selection activeCell="I197" sqref="A1:I197"/>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43" customFormat="1" ht="17.399999999999999" x14ac:dyDescent="0.3">
      <c r="A1" s="43" t="s">
        <v>240</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45" t="s">
        <v>25</v>
      </c>
      <c r="D5" s="1256" t="s">
        <v>103</v>
      </c>
      <c r="E5" s="1256"/>
      <c r="F5" s="1256"/>
      <c r="G5" s="1256"/>
      <c r="H5" s="1256"/>
      <c r="I5" s="1256"/>
    </row>
    <row r="6" spans="1:9" s="8" customFormat="1" ht="15" customHeight="1" x14ac:dyDescent="0.2">
      <c r="A6" s="1267" t="s">
        <v>104</v>
      </c>
      <c r="B6" s="1267"/>
      <c r="C6" s="113">
        <f>SUM(C7:C9)</f>
        <v>131854.96</v>
      </c>
      <c r="D6" s="1262"/>
      <c r="E6" s="1263"/>
      <c r="F6" s="1263"/>
      <c r="G6" s="1263"/>
      <c r="H6" s="1263"/>
      <c r="I6" s="1263"/>
    </row>
    <row r="7" spans="1:9" s="8" customFormat="1" ht="45" customHeight="1" x14ac:dyDescent="0.2">
      <c r="A7" s="1257" t="s">
        <v>77</v>
      </c>
      <c r="B7" s="1258"/>
      <c r="C7" s="114">
        <v>69627.03</v>
      </c>
      <c r="D7" s="1261" t="s">
        <v>241</v>
      </c>
      <c r="E7" s="1261"/>
      <c r="F7" s="1261"/>
      <c r="G7" s="1261"/>
      <c r="H7" s="1261"/>
      <c r="I7" s="1261"/>
    </row>
    <row r="8" spans="1:9" s="7" customFormat="1" ht="33" customHeight="1" x14ac:dyDescent="0.2">
      <c r="A8" s="1259" t="s">
        <v>78</v>
      </c>
      <c r="B8" s="1260"/>
      <c r="C8" s="115">
        <v>62227.93</v>
      </c>
      <c r="D8" s="1261" t="s">
        <v>242</v>
      </c>
      <c r="E8" s="1261"/>
      <c r="F8" s="1261"/>
      <c r="G8" s="1261"/>
      <c r="H8" s="1261"/>
      <c r="I8" s="1261"/>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45" t="s">
        <v>76</v>
      </c>
      <c r="B13" s="45" t="s">
        <v>80</v>
      </c>
      <c r="C13" s="45"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131854.96</v>
      </c>
      <c r="D16" s="126"/>
      <c r="E16" s="127"/>
      <c r="F16" s="127"/>
      <c r="G16" s="127"/>
      <c r="H16" s="127"/>
      <c r="I16" s="127"/>
    </row>
    <row r="17" spans="1:9" s="8" customFormat="1" ht="15" customHeight="1" x14ac:dyDescent="0.2">
      <c r="A17" s="1251"/>
      <c r="B17" s="15" t="s">
        <v>84</v>
      </c>
      <c r="C17" s="128">
        <v>0</v>
      </c>
      <c r="D17" s="129"/>
      <c r="E17" s="130"/>
      <c r="F17" s="130"/>
      <c r="G17" s="130"/>
      <c r="H17" s="130"/>
      <c r="I17" s="130"/>
    </row>
    <row r="18" spans="1:9" s="8" customFormat="1" ht="15" customHeight="1" x14ac:dyDescent="0.2">
      <c r="A18" s="46" t="s">
        <v>104</v>
      </c>
      <c r="B18" s="16"/>
      <c r="C18" s="131">
        <f>SUM(C14:C17)</f>
        <v>131854.96</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45" t="s">
        <v>80</v>
      </c>
      <c r="B22" s="45" t="s">
        <v>109</v>
      </c>
      <c r="C22" s="137" t="s">
        <v>110</v>
      </c>
      <c r="D22" s="45" t="s">
        <v>111</v>
      </c>
      <c r="E22" s="45" t="s">
        <v>112</v>
      </c>
      <c r="F22" s="1256" t="s">
        <v>113</v>
      </c>
      <c r="G22" s="1256"/>
      <c r="H22" s="1256"/>
      <c r="I22" s="1256"/>
    </row>
    <row r="23" spans="1:9" s="8" customFormat="1" ht="50.25" customHeight="1" x14ac:dyDescent="0.2">
      <c r="A23" s="17" t="s">
        <v>85</v>
      </c>
      <c r="B23" s="139">
        <v>417461.7</v>
      </c>
      <c r="C23" s="139">
        <v>2001238.93</v>
      </c>
      <c r="D23" s="139">
        <v>403815.11</v>
      </c>
      <c r="E23" s="139">
        <f>B23+C23-D23</f>
        <v>2014885.52</v>
      </c>
      <c r="F23" s="1253" t="s">
        <v>243</v>
      </c>
      <c r="G23" s="1254"/>
      <c r="H23" s="1254"/>
      <c r="I23" s="1255"/>
    </row>
    <row r="24" spans="1:9" s="8" customFormat="1" ht="41.1" customHeight="1" x14ac:dyDescent="0.2">
      <c r="A24" s="14" t="s">
        <v>86</v>
      </c>
      <c r="B24" s="140">
        <v>18737.53</v>
      </c>
      <c r="C24" s="140">
        <v>887506</v>
      </c>
      <c r="D24" s="140">
        <v>842066</v>
      </c>
      <c r="E24" s="140">
        <f t="shared" ref="E24:E26" si="0">B24+C24-D24</f>
        <v>64177.530000000028</v>
      </c>
      <c r="F24" s="1242" t="s">
        <v>244</v>
      </c>
      <c r="G24" s="1243"/>
      <c r="H24" s="1243"/>
      <c r="I24" s="1244"/>
    </row>
    <row r="25" spans="1:9" s="8" customFormat="1" ht="41.1" customHeight="1" x14ac:dyDescent="0.2">
      <c r="A25" s="14" t="s">
        <v>84</v>
      </c>
      <c r="B25" s="140">
        <v>75435.149999999994</v>
      </c>
      <c r="C25" s="140">
        <v>0</v>
      </c>
      <c r="D25" s="140">
        <v>6200</v>
      </c>
      <c r="E25" s="140">
        <f t="shared" si="0"/>
        <v>69235.149999999994</v>
      </c>
      <c r="F25" s="1242" t="s">
        <v>245</v>
      </c>
      <c r="G25" s="1243"/>
      <c r="H25" s="1243"/>
      <c r="I25" s="1244"/>
    </row>
    <row r="26" spans="1:9" s="8" customFormat="1" ht="63" customHeight="1" x14ac:dyDescent="0.2">
      <c r="A26" s="15" t="s">
        <v>87</v>
      </c>
      <c r="B26" s="141">
        <v>650005.67000000004</v>
      </c>
      <c r="C26" s="141">
        <v>493392.54</v>
      </c>
      <c r="D26" s="141">
        <v>359034</v>
      </c>
      <c r="E26" s="140">
        <f t="shared" si="0"/>
        <v>784364.21</v>
      </c>
      <c r="F26" s="1245" t="s">
        <v>246</v>
      </c>
      <c r="G26" s="1246"/>
      <c r="H26" s="1246"/>
      <c r="I26" s="1247"/>
    </row>
    <row r="27" spans="1:9" s="7" customFormat="1" ht="10.199999999999999" x14ac:dyDescent="0.2">
      <c r="A27" s="10" t="s">
        <v>34</v>
      </c>
      <c r="B27" s="113">
        <f>SUM(B23:B26)</f>
        <v>1161640.05</v>
      </c>
      <c r="C27" s="113">
        <f t="shared" ref="C27:E27" si="1">SUM(C23:C26)</f>
        <v>3382137.4699999997</v>
      </c>
      <c r="D27" s="113">
        <f t="shared" si="1"/>
        <v>1611115.1099999999</v>
      </c>
      <c r="E27" s="113">
        <f t="shared" si="1"/>
        <v>2932662.41</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45" t="s">
        <v>88</v>
      </c>
      <c r="B31" s="45" t="s">
        <v>25</v>
      </c>
      <c r="C31" s="137" t="s">
        <v>89</v>
      </c>
      <c r="D31" s="1256" t="s">
        <v>90</v>
      </c>
      <c r="E31" s="1256"/>
      <c r="F31" s="1256"/>
      <c r="G31" s="1256"/>
      <c r="H31" s="1256"/>
      <c r="I31" s="1256"/>
    </row>
    <row r="32" spans="1:9" s="8" customFormat="1" ht="15" customHeight="1" x14ac:dyDescent="0.2">
      <c r="A32" s="309" t="s">
        <v>247</v>
      </c>
      <c r="B32" s="139"/>
      <c r="C32" s="20"/>
      <c r="D32" s="1270"/>
      <c r="E32" s="1271"/>
      <c r="F32" s="1271"/>
      <c r="G32" s="1271"/>
      <c r="H32" s="1271"/>
      <c r="I32" s="1272"/>
    </row>
    <row r="33" spans="1:9" s="8" customFormat="1" ht="15" customHeight="1" x14ac:dyDescent="0.2">
      <c r="A33" s="18"/>
      <c r="B33" s="141"/>
      <c r="C33" s="32"/>
      <c r="D33" s="1273"/>
      <c r="E33" s="1274"/>
      <c r="F33" s="1274"/>
      <c r="G33" s="1274"/>
      <c r="H33" s="1274"/>
      <c r="I33" s="1275"/>
    </row>
    <row r="34" spans="1:9" s="8" customFormat="1" ht="15" customHeight="1" x14ac:dyDescent="0.2">
      <c r="A34" s="18"/>
      <c r="B34" s="141"/>
      <c r="C34" s="33"/>
      <c r="D34" s="1273"/>
      <c r="E34" s="1274"/>
      <c r="F34" s="1274"/>
      <c r="G34" s="1274"/>
      <c r="H34" s="1274"/>
      <c r="I34" s="1275"/>
    </row>
    <row r="35" spans="1:9" s="7" customFormat="1" ht="10.199999999999999" x14ac:dyDescent="0.2">
      <c r="A35" s="10" t="s">
        <v>34</v>
      </c>
      <c r="B35" s="113">
        <f>SUM(B32:B34)</f>
        <v>0</v>
      </c>
      <c r="C35" s="1276"/>
      <c r="D35" s="1277"/>
      <c r="E35" s="1277"/>
      <c r="F35" s="1277"/>
      <c r="G35" s="1277"/>
      <c r="H35" s="1277"/>
      <c r="I35" s="1278"/>
    </row>
    <row r="36" spans="1:9" s="8" customFormat="1" ht="10.199999999999999" x14ac:dyDescent="0.2">
      <c r="C36" s="116"/>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row>
    <row r="39" spans="1:9" s="8" customFormat="1" ht="10.199999999999999" x14ac:dyDescent="0.2">
      <c r="A39" s="45" t="s">
        <v>88</v>
      </c>
      <c r="B39" s="45" t="s">
        <v>25</v>
      </c>
      <c r="C39" s="137" t="s">
        <v>89</v>
      </c>
      <c r="D39" s="1279" t="s">
        <v>90</v>
      </c>
      <c r="E39" s="1279"/>
      <c r="F39" s="1279"/>
      <c r="G39" s="1279"/>
      <c r="H39" s="1279"/>
      <c r="I39" s="1280"/>
    </row>
    <row r="40" spans="1:9" s="8" customFormat="1" ht="15" customHeight="1" x14ac:dyDescent="0.2">
      <c r="A40" s="309" t="s">
        <v>248</v>
      </c>
      <c r="B40" s="139"/>
      <c r="C40" s="20"/>
      <c r="D40" s="1242"/>
      <c r="E40" s="1281"/>
      <c r="F40" s="1281"/>
      <c r="G40" s="1281"/>
      <c r="H40" s="1281"/>
      <c r="I40" s="1282"/>
    </row>
    <row r="41" spans="1:9" s="8" customFormat="1" ht="15" customHeight="1" x14ac:dyDescent="0.2">
      <c r="A41" s="21"/>
      <c r="B41" s="140"/>
      <c r="C41" s="22"/>
      <c r="D41" s="1242"/>
      <c r="E41" s="1281"/>
      <c r="F41" s="1281"/>
      <c r="G41" s="1281"/>
      <c r="H41" s="1281"/>
      <c r="I41" s="1282"/>
    </row>
    <row r="42" spans="1:9" s="8" customFormat="1" ht="15" customHeight="1" x14ac:dyDescent="0.2">
      <c r="A42" s="21"/>
      <c r="B42" s="140"/>
      <c r="C42" s="22"/>
      <c r="D42" s="1242"/>
      <c r="E42" s="1281"/>
      <c r="F42" s="1281"/>
      <c r="G42" s="1281"/>
      <c r="H42" s="1281"/>
      <c r="I42" s="1282"/>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C44" s="116"/>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row>
    <row r="47" spans="1:9" s="8" customFormat="1" ht="10.199999999999999" x14ac:dyDescent="0.2">
      <c r="A47" s="47" t="s">
        <v>25</v>
      </c>
      <c r="B47" s="143" t="s">
        <v>122</v>
      </c>
      <c r="C47" s="1285" t="s">
        <v>91</v>
      </c>
      <c r="D47" s="1285"/>
      <c r="E47" s="1285"/>
      <c r="F47" s="1285"/>
      <c r="G47" s="1285"/>
      <c r="H47" s="1285"/>
      <c r="I47" s="1286"/>
    </row>
    <row r="48" spans="1:9" s="8" customFormat="1" ht="10.199999999999999" x14ac:dyDescent="0.2">
      <c r="A48" s="140">
        <v>23232</v>
      </c>
      <c r="B48" s="140">
        <v>19767</v>
      </c>
      <c r="C48" s="1287" t="s">
        <v>249</v>
      </c>
      <c r="D48" s="1287"/>
      <c r="E48" s="1287"/>
      <c r="F48" s="1287"/>
      <c r="G48" s="1287"/>
      <c r="H48" s="1287"/>
      <c r="I48" s="1287"/>
    </row>
    <row r="49" spans="1:9" s="8" customFormat="1" ht="10.199999999999999" x14ac:dyDescent="0.2">
      <c r="A49" s="140">
        <v>15000</v>
      </c>
      <c r="B49" s="140">
        <v>0</v>
      </c>
      <c r="C49" s="1287" t="s">
        <v>250</v>
      </c>
      <c r="D49" s="1287"/>
      <c r="E49" s="1287"/>
      <c r="F49" s="1287"/>
      <c r="G49" s="1287"/>
      <c r="H49" s="1287"/>
      <c r="I49" s="1287"/>
    </row>
    <row r="50" spans="1:9" s="8" customFormat="1" ht="10.199999999999999" x14ac:dyDescent="0.2">
      <c r="A50" s="141"/>
      <c r="B50" s="141"/>
      <c r="C50" s="1288"/>
      <c r="D50" s="1288"/>
      <c r="E50" s="1288"/>
      <c r="F50" s="1288"/>
      <c r="G50" s="1288"/>
      <c r="H50" s="1288"/>
      <c r="I50" s="1288"/>
    </row>
    <row r="51" spans="1:9" s="7" customFormat="1" ht="10.199999999999999" x14ac:dyDescent="0.2">
      <c r="A51" s="113">
        <f>A48+A49+A50</f>
        <v>38232</v>
      </c>
      <c r="B51" s="113">
        <f>B48+B49+B50</f>
        <v>19767</v>
      </c>
      <c r="C51" s="1289" t="s">
        <v>34</v>
      </c>
      <c r="D51" s="1289"/>
      <c r="E51" s="1289"/>
      <c r="F51" s="1289"/>
      <c r="G51" s="1289"/>
      <c r="H51" s="1289"/>
      <c r="I51" s="1289"/>
    </row>
    <row r="52" spans="1:9" s="8" customFormat="1" ht="10.199999999999999" x14ac:dyDescent="0.2">
      <c r="C52" s="116"/>
    </row>
    <row r="53" spans="1:9" s="8" customFormat="1" ht="10.199999999999999" x14ac:dyDescent="0.2">
      <c r="A53" s="1248" t="s">
        <v>123</v>
      </c>
      <c r="B53" s="1248"/>
      <c r="C53" s="1248"/>
      <c r="D53" s="1248"/>
      <c r="E53" s="1248"/>
      <c r="F53" s="1248"/>
      <c r="G53" s="1248"/>
      <c r="H53" s="1248"/>
      <c r="I53" s="1248"/>
    </row>
    <row r="54" spans="1:9" s="8" customFormat="1" ht="10.199999999999999" x14ac:dyDescent="0.2">
      <c r="C54" s="116"/>
    </row>
    <row r="55" spans="1:9" s="311" customFormat="1" ht="45" customHeight="1" x14ac:dyDescent="0.25">
      <c r="A55" s="1511" t="s">
        <v>92</v>
      </c>
      <c r="B55" s="1512"/>
      <c r="C55" s="310"/>
      <c r="D55" s="310" t="s">
        <v>251</v>
      </c>
      <c r="E55" s="310" t="s">
        <v>252</v>
      </c>
      <c r="F55" s="310" t="s">
        <v>93</v>
      </c>
      <c r="G55" s="310" t="s">
        <v>94</v>
      </c>
    </row>
    <row r="56" spans="1:9" s="311" customFormat="1" ht="23.4" customHeight="1" x14ac:dyDescent="0.25">
      <c r="A56" s="1505" t="s">
        <v>253</v>
      </c>
      <c r="B56" s="1509"/>
      <c r="C56" s="312" t="s">
        <v>254</v>
      </c>
      <c r="D56" s="313"/>
      <c r="E56" s="314">
        <v>45000</v>
      </c>
      <c r="F56" s="314" t="s">
        <v>255</v>
      </c>
      <c r="G56" s="315">
        <v>43560</v>
      </c>
    </row>
    <row r="57" spans="1:9" s="311" customFormat="1" ht="23.4" customHeight="1" x14ac:dyDescent="0.25">
      <c r="A57" s="1505" t="s">
        <v>256</v>
      </c>
      <c r="B57" s="1509"/>
      <c r="C57" s="312" t="s">
        <v>257</v>
      </c>
      <c r="D57" s="313"/>
      <c r="E57" s="314">
        <v>11250</v>
      </c>
      <c r="F57" s="314" t="s">
        <v>255</v>
      </c>
      <c r="G57" s="315">
        <v>43560</v>
      </c>
    </row>
    <row r="58" spans="1:9" s="311" customFormat="1" ht="23.4" customHeight="1" x14ac:dyDescent="0.25">
      <c r="A58" s="1505" t="s">
        <v>258</v>
      </c>
      <c r="B58" s="1509"/>
      <c r="C58" s="312" t="s">
        <v>259</v>
      </c>
      <c r="D58" s="313"/>
      <c r="E58" s="314">
        <v>4050</v>
      </c>
      <c r="F58" s="314" t="s">
        <v>255</v>
      </c>
      <c r="G58" s="315">
        <v>43560</v>
      </c>
    </row>
    <row r="59" spans="1:9" s="311" customFormat="1" ht="21.9" customHeight="1" x14ac:dyDescent="0.25">
      <c r="A59" s="1507" t="s">
        <v>260</v>
      </c>
      <c r="B59" s="1510"/>
      <c r="C59" s="316" t="s">
        <v>261</v>
      </c>
      <c r="D59" s="317"/>
      <c r="E59" s="318">
        <v>120</v>
      </c>
      <c r="F59" s="318" t="s">
        <v>262</v>
      </c>
      <c r="G59" s="319">
        <v>43560</v>
      </c>
    </row>
    <row r="60" spans="1:9" s="311" customFormat="1" ht="23.4" customHeight="1" x14ac:dyDescent="0.25">
      <c r="A60" s="1505" t="s">
        <v>263</v>
      </c>
      <c r="B60" s="1509"/>
      <c r="C60" s="312" t="s">
        <v>264</v>
      </c>
      <c r="D60" s="313"/>
      <c r="E60" s="314">
        <v>69</v>
      </c>
      <c r="F60" s="314" t="s">
        <v>255</v>
      </c>
      <c r="G60" s="315">
        <v>43560</v>
      </c>
    </row>
    <row r="61" spans="1:9" s="311" customFormat="1" ht="23.4" customHeight="1" x14ac:dyDescent="0.25">
      <c r="A61" s="1505" t="s">
        <v>265</v>
      </c>
      <c r="B61" s="1509"/>
      <c r="C61" s="312" t="s">
        <v>266</v>
      </c>
      <c r="D61" s="313"/>
      <c r="E61" s="314">
        <v>300</v>
      </c>
      <c r="F61" s="314" t="s">
        <v>255</v>
      </c>
      <c r="G61" s="315">
        <v>43560</v>
      </c>
    </row>
    <row r="62" spans="1:9" s="311" customFormat="1" ht="23.4" customHeight="1" x14ac:dyDescent="0.25">
      <c r="A62" s="1505" t="s">
        <v>265</v>
      </c>
      <c r="B62" s="1509"/>
      <c r="C62" s="312" t="s">
        <v>267</v>
      </c>
      <c r="D62" s="313"/>
      <c r="E62" s="314">
        <v>600</v>
      </c>
      <c r="F62" s="314" t="s">
        <v>255</v>
      </c>
      <c r="G62" s="315">
        <v>43560</v>
      </c>
    </row>
    <row r="63" spans="1:9" s="311" customFormat="1" ht="23.4" customHeight="1" x14ac:dyDescent="0.25">
      <c r="A63" s="1505" t="s">
        <v>268</v>
      </c>
      <c r="B63" s="1509"/>
      <c r="C63" s="312" t="s">
        <v>269</v>
      </c>
      <c r="D63" s="314">
        <v>61389</v>
      </c>
      <c r="E63" s="314"/>
      <c r="F63" s="314" t="s">
        <v>270</v>
      </c>
      <c r="G63" s="315">
        <v>43560</v>
      </c>
    </row>
    <row r="64" spans="1:9" s="311" customFormat="1" ht="23.4" customHeight="1" x14ac:dyDescent="0.25">
      <c r="A64" s="1505" t="s">
        <v>271</v>
      </c>
      <c r="B64" s="1509"/>
      <c r="C64" s="312" t="s">
        <v>272</v>
      </c>
      <c r="D64" s="313"/>
      <c r="E64" s="314">
        <v>1000</v>
      </c>
      <c r="F64" s="315">
        <v>43646</v>
      </c>
      <c r="G64" s="315">
        <v>43646</v>
      </c>
    </row>
    <row r="65" spans="1:7" s="311" customFormat="1" ht="23.4" customHeight="1" x14ac:dyDescent="0.25">
      <c r="A65" s="1505" t="s">
        <v>273</v>
      </c>
      <c r="B65" s="1509"/>
      <c r="C65" s="312" t="s">
        <v>274</v>
      </c>
      <c r="D65" s="313"/>
      <c r="E65" s="314">
        <v>700</v>
      </c>
      <c r="F65" s="315">
        <v>43646</v>
      </c>
      <c r="G65" s="315">
        <v>43646</v>
      </c>
    </row>
    <row r="66" spans="1:7" s="311" customFormat="1" ht="21.9" customHeight="1" x14ac:dyDescent="0.25">
      <c r="A66" s="1507" t="s">
        <v>275</v>
      </c>
      <c r="B66" s="1510"/>
      <c r="C66" s="316" t="s">
        <v>276</v>
      </c>
      <c r="D66" s="317"/>
      <c r="E66" s="320">
        <v>21000</v>
      </c>
      <c r="F66" s="319">
        <v>43646</v>
      </c>
      <c r="G66" s="319">
        <v>43646</v>
      </c>
    </row>
    <row r="67" spans="1:7" s="311" customFormat="1" ht="21.9" customHeight="1" x14ac:dyDescent="0.25">
      <c r="A67" s="1507" t="s">
        <v>277</v>
      </c>
      <c r="B67" s="1510"/>
      <c r="C67" s="316" t="s">
        <v>278</v>
      </c>
      <c r="D67" s="317"/>
      <c r="E67" s="320">
        <v>400</v>
      </c>
      <c r="F67" s="319">
        <v>43646</v>
      </c>
      <c r="G67" s="319">
        <v>43646</v>
      </c>
    </row>
    <row r="68" spans="1:7" s="311" customFormat="1" ht="21.9" customHeight="1" x14ac:dyDescent="0.25">
      <c r="A68" s="1507" t="s">
        <v>279</v>
      </c>
      <c r="B68" s="1510"/>
      <c r="C68" s="316" t="s">
        <v>280</v>
      </c>
      <c r="D68" s="317"/>
      <c r="E68" s="320">
        <v>7000</v>
      </c>
      <c r="F68" s="319">
        <v>43646</v>
      </c>
      <c r="G68" s="319">
        <v>43646</v>
      </c>
    </row>
    <row r="69" spans="1:7" s="311" customFormat="1" ht="21.9" customHeight="1" x14ac:dyDescent="0.25">
      <c r="A69" s="1507" t="s">
        <v>281</v>
      </c>
      <c r="B69" s="1510"/>
      <c r="C69" s="316" t="s">
        <v>282</v>
      </c>
      <c r="D69" s="317"/>
      <c r="E69" s="320">
        <v>56000</v>
      </c>
      <c r="F69" s="319">
        <v>43646</v>
      </c>
      <c r="G69" s="319">
        <v>43646</v>
      </c>
    </row>
    <row r="70" spans="1:7" s="311" customFormat="1" ht="21.9" customHeight="1" x14ac:dyDescent="0.25">
      <c r="A70" s="1507" t="s">
        <v>283</v>
      </c>
      <c r="B70" s="1510"/>
      <c r="C70" s="316" t="s">
        <v>284</v>
      </c>
      <c r="D70" s="317"/>
      <c r="E70" s="320">
        <v>4000</v>
      </c>
      <c r="F70" s="319">
        <v>43646</v>
      </c>
      <c r="G70" s="319">
        <v>43646</v>
      </c>
    </row>
    <row r="71" spans="1:7" s="311" customFormat="1" ht="21.9" customHeight="1" x14ac:dyDescent="0.25">
      <c r="A71" s="1507" t="s">
        <v>285</v>
      </c>
      <c r="B71" s="1510"/>
      <c r="C71" s="316" t="s">
        <v>286</v>
      </c>
      <c r="D71" s="317"/>
      <c r="E71" s="320">
        <v>17223</v>
      </c>
      <c r="F71" s="319">
        <v>43646</v>
      </c>
      <c r="G71" s="319">
        <v>43646</v>
      </c>
    </row>
    <row r="72" spans="1:7" s="311" customFormat="1" ht="21.9" customHeight="1" x14ac:dyDescent="0.25">
      <c r="A72" s="1507" t="s">
        <v>287</v>
      </c>
      <c r="B72" s="1510"/>
      <c r="C72" s="316" t="s">
        <v>288</v>
      </c>
      <c r="D72" s="317"/>
      <c r="E72" s="320">
        <v>40600</v>
      </c>
      <c r="F72" s="319">
        <v>43646</v>
      </c>
      <c r="G72" s="319">
        <v>43646</v>
      </c>
    </row>
    <row r="73" spans="1:7" s="311" customFormat="1" ht="21.9" customHeight="1" x14ac:dyDescent="0.25">
      <c r="A73" s="1507" t="s">
        <v>289</v>
      </c>
      <c r="B73" s="1510"/>
      <c r="C73" s="316" t="s">
        <v>290</v>
      </c>
      <c r="D73" s="317"/>
      <c r="E73" s="320">
        <v>-7000</v>
      </c>
      <c r="F73" s="319">
        <v>43646</v>
      </c>
      <c r="G73" s="319">
        <v>43646</v>
      </c>
    </row>
    <row r="74" spans="1:7" s="311" customFormat="1" ht="21.9" customHeight="1" x14ac:dyDescent="0.25">
      <c r="A74" s="1507" t="s">
        <v>291</v>
      </c>
      <c r="B74" s="1510"/>
      <c r="C74" s="316" t="s">
        <v>292</v>
      </c>
      <c r="D74" s="317"/>
      <c r="E74" s="320">
        <v>-21480</v>
      </c>
      <c r="F74" s="319">
        <v>43646</v>
      </c>
      <c r="G74" s="319">
        <v>43646</v>
      </c>
    </row>
    <row r="75" spans="1:7" s="311" customFormat="1" ht="21.9" customHeight="1" x14ac:dyDescent="0.25">
      <c r="A75" s="1507" t="s">
        <v>293</v>
      </c>
      <c r="B75" s="1510"/>
      <c r="C75" s="316" t="s">
        <v>294</v>
      </c>
      <c r="D75" s="317"/>
      <c r="E75" s="320">
        <v>-7000</v>
      </c>
      <c r="F75" s="319">
        <v>43646</v>
      </c>
      <c r="G75" s="319">
        <v>43646</v>
      </c>
    </row>
    <row r="76" spans="1:7" s="311" customFormat="1" ht="21.9" customHeight="1" x14ac:dyDescent="0.25">
      <c r="A76" s="1507" t="s">
        <v>295</v>
      </c>
      <c r="B76" s="1510"/>
      <c r="C76" s="316" t="s">
        <v>296</v>
      </c>
      <c r="D76" s="317"/>
      <c r="E76" s="320">
        <v>-20000</v>
      </c>
      <c r="F76" s="319">
        <v>43646</v>
      </c>
      <c r="G76" s="319">
        <v>43646</v>
      </c>
    </row>
    <row r="77" spans="1:7" s="311" customFormat="1" ht="23.4" customHeight="1" x14ac:dyDescent="0.25">
      <c r="A77" s="1505" t="s">
        <v>297</v>
      </c>
      <c r="B77" s="1509"/>
      <c r="C77" s="312" t="s">
        <v>298</v>
      </c>
      <c r="D77" s="313"/>
      <c r="E77" s="314">
        <v>-25000</v>
      </c>
      <c r="F77" s="315">
        <v>43646</v>
      </c>
      <c r="G77" s="315">
        <v>43646</v>
      </c>
    </row>
    <row r="78" spans="1:7" s="311" customFormat="1" ht="21.9" customHeight="1" x14ac:dyDescent="0.25">
      <c r="A78" s="1507" t="s">
        <v>299</v>
      </c>
      <c r="B78" s="1510"/>
      <c r="C78" s="316" t="s">
        <v>300</v>
      </c>
      <c r="D78" s="317"/>
      <c r="E78" s="318">
        <v>-35000</v>
      </c>
      <c r="F78" s="319">
        <v>43646</v>
      </c>
      <c r="G78" s="319">
        <v>43646</v>
      </c>
    </row>
    <row r="79" spans="1:7" s="311" customFormat="1" ht="23.4" customHeight="1" x14ac:dyDescent="0.25">
      <c r="A79" s="1505" t="s">
        <v>301</v>
      </c>
      <c r="B79" s="1509"/>
      <c r="C79" s="312" t="s">
        <v>302</v>
      </c>
      <c r="D79" s="314">
        <v>17223</v>
      </c>
      <c r="E79" s="314"/>
      <c r="F79" s="315">
        <v>43646</v>
      </c>
      <c r="G79" s="315">
        <v>43646</v>
      </c>
    </row>
    <row r="80" spans="1:7" s="311" customFormat="1" ht="23.4" customHeight="1" x14ac:dyDescent="0.25">
      <c r="A80" s="1505" t="s">
        <v>303</v>
      </c>
      <c r="B80" s="1509"/>
      <c r="C80" s="312" t="s">
        <v>304</v>
      </c>
      <c r="D80" s="314">
        <v>14990</v>
      </c>
      <c r="E80" s="314"/>
      <c r="F80" s="315">
        <v>43646</v>
      </c>
      <c r="G80" s="315">
        <v>43646</v>
      </c>
    </row>
    <row r="81" spans="1:7" s="311" customFormat="1" ht="23.4" customHeight="1" x14ac:dyDescent="0.25">
      <c r="A81" s="1505" t="s">
        <v>305</v>
      </c>
      <c r="B81" s="1509"/>
      <c r="C81" s="312" t="s">
        <v>306</v>
      </c>
      <c r="D81" s="314">
        <v>230</v>
      </c>
      <c r="E81" s="314"/>
      <c r="F81" s="315">
        <v>43646</v>
      </c>
      <c r="G81" s="315">
        <v>43646</v>
      </c>
    </row>
    <row r="82" spans="1:7" s="311" customFormat="1" ht="23.4" customHeight="1" x14ac:dyDescent="0.25">
      <c r="A82" s="1505" t="s">
        <v>307</v>
      </c>
      <c r="B82" s="1509"/>
      <c r="C82" s="312" t="s">
        <v>308</v>
      </c>
      <c r="D82" s="314">
        <v>199200</v>
      </c>
      <c r="E82" s="314"/>
      <c r="F82" s="315" t="s">
        <v>309</v>
      </c>
      <c r="G82" s="315">
        <v>43735</v>
      </c>
    </row>
    <row r="83" spans="1:7" s="311" customFormat="1" ht="21.9" customHeight="1" x14ac:dyDescent="0.25">
      <c r="A83" s="1507" t="s">
        <v>310</v>
      </c>
      <c r="B83" s="1510"/>
      <c r="C83" s="316" t="s">
        <v>311</v>
      </c>
      <c r="D83" s="317"/>
      <c r="E83" s="320">
        <v>199200</v>
      </c>
      <c r="F83" s="319" t="s">
        <v>309</v>
      </c>
      <c r="G83" s="319">
        <v>43735</v>
      </c>
    </row>
    <row r="84" spans="1:7" s="311" customFormat="1" ht="23.4" customHeight="1" x14ac:dyDescent="0.25">
      <c r="A84" s="1505" t="s">
        <v>312</v>
      </c>
      <c r="B84" s="1509"/>
      <c r="C84" s="312" t="s">
        <v>313</v>
      </c>
      <c r="D84" s="314">
        <v>39000</v>
      </c>
      <c r="E84" s="314"/>
      <c r="F84" s="315" t="s">
        <v>314</v>
      </c>
      <c r="G84" s="315">
        <v>43735</v>
      </c>
    </row>
    <row r="85" spans="1:7" s="311" customFormat="1" ht="21.9" customHeight="1" x14ac:dyDescent="0.25">
      <c r="A85" s="1507" t="s">
        <v>315</v>
      </c>
      <c r="B85" s="1510"/>
      <c r="C85" s="316" t="s">
        <v>316</v>
      </c>
      <c r="D85" s="317"/>
      <c r="E85" s="320">
        <v>39000</v>
      </c>
      <c r="F85" s="319" t="s">
        <v>314</v>
      </c>
      <c r="G85" s="319">
        <v>43735</v>
      </c>
    </row>
    <row r="86" spans="1:7" s="311" customFormat="1" ht="23.4" customHeight="1" x14ac:dyDescent="0.25">
      <c r="A86" s="1505" t="s">
        <v>317</v>
      </c>
      <c r="B86" s="1509"/>
      <c r="C86" s="312" t="s">
        <v>308</v>
      </c>
      <c r="D86" s="314">
        <v>80000</v>
      </c>
      <c r="E86" s="314"/>
      <c r="F86" s="315" t="s">
        <v>318</v>
      </c>
      <c r="G86" s="315">
        <v>43747</v>
      </c>
    </row>
    <row r="87" spans="1:7" s="311" customFormat="1" ht="21.9" customHeight="1" x14ac:dyDescent="0.25">
      <c r="A87" s="1507" t="s">
        <v>319</v>
      </c>
      <c r="B87" s="1510"/>
      <c r="C87" s="316" t="s">
        <v>320</v>
      </c>
      <c r="D87" s="317"/>
      <c r="E87" s="320">
        <v>3855</v>
      </c>
      <c r="F87" s="319" t="s">
        <v>318</v>
      </c>
      <c r="G87" s="319">
        <v>43747</v>
      </c>
    </row>
    <row r="88" spans="1:7" s="311" customFormat="1" ht="21.9" customHeight="1" x14ac:dyDescent="0.25">
      <c r="A88" s="1507" t="s">
        <v>319</v>
      </c>
      <c r="B88" s="1510"/>
      <c r="C88" s="316" t="s">
        <v>300</v>
      </c>
      <c r="D88" s="317"/>
      <c r="E88" s="320">
        <v>76145</v>
      </c>
      <c r="F88" s="319" t="s">
        <v>318</v>
      </c>
      <c r="G88" s="319">
        <v>43747</v>
      </c>
    </row>
    <row r="89" spans="1:7" s="311" customFormat="1" ht="23.4" customHeight="1" x14ac:dyDescent="0.25">
      <c r="A89" s="1505" t="s">
        <v>321</v>
      </c>
      <c r="B89" s="1509"/>
      <c r="C89" s="312" t="s">
        <v>308</v>
      </c>
      <c r="D89" s="314">
        <v>58437</v>
      </c>
      <c r="E89" s="314"/>
      <c r="F89" s="315">
        <v>43760</v>
      </c>
      <c r="G89" s="315">
        <v>43760</v>
      </c>
    </row>
    <row r="90" spans="1:7" s="311" customFormat="1" ht="21.9" customHeight="1" x14ac:dyDescent="0.25">
      <c r="A90" s="1507" t="s">
        <v>322</v>
      </c>
      <c r="B90" s="1510"/>
      <c r="C90" s="316" t="s">
        <v>323</v>
      </c>
      <c r="D90" s="317"/>
      <c r="E90" s="320">
        <v>58437</v>
      </c>
      <c r="F90" s="319">
        <v>43760</v>
      </c>
      <c r="G90" s="319">
        <v>43760</v>
      </c>
    </row>
    <row r="91" spans="1:7" s="311" customFormat="1" ht="21.9" customHeight="1" x14ac:dyDescent="0.25">
      <c r="A91" s="1507" t="s">
        <v>322</v>
      </c>
      <c r="B91" s="1510"/>
      <c r="C91" s="316" t="s">
        <v>324</v>
      </c>
      <c r="D91" s="317"/>
      <c r="E91" s="320">
        <v>1700</v>
      </c>
      <c r="F91" s="319">
        <v>43760</v>
      </c>
      <c r="G91" s="319">
        <v>43760</v>
      </c>
    </row>
    <row r="92" spans="1:7" s="311" customFormat="1" ht="23.4" customHeight="1" x14ac:dyDescent="0.25">
      <c r="A92" s="1505" t="s">
        <v>325</v>
      </c>
      <c r="B92" s="1509"/>
      <c r="C92" s="312" t="s">
        <v>326</v>
      </c>
      <c r="D92" s="313"/>
      <c r="E92" s="314">
        <v>-1700</v>
      </c>
      <c r="F92" s="315">
        <v>43760</v>
      </c>
      <c r="G92" s="315">
        <v>43760</v>
      </c>
    </row>
    <row r="93" spans="1:7" s="311" customFormat="1" ht="23.4" customHeight="1" x14ac:dyDescent="0.25">
      <c r="A93" s="1505" t="s">
        <v>327</v>
      </c>
      <c r="B93" s="1509"/>
      <c r="C93" s="312" t="s">
        <v>328</v>
      </c>
      <c r="D93" s="321">
        <v>47373</v>
      </c>
      <c r="E93" s="314"/>
      <c r="F93" s="315">
        <v>43760</v>
      </c>
      <c r="G93" s="315">
        <v>43760</v>
      </c>
    </row>
    <row r="94" spans="1:7" s="311" customFormat="1" ht="21.9" customHeight="1" x14ac:dyDescent="0.25">
      <c r="A94" s="1507" t="s">
        <v>329</v>
      </c>
      <c r="B94" s="1510"/>
      <c r="C94" s="316" t="s">
        <v>330</v>
      </c>
      <c r="D94" s="317"/>
      <c r="E94" s="320">
        <v>47373</v>
      </c>
      <c r="F94" s="319">
        <v>43760</v>
      </c>
      <c r="G94" s="319">
        <v>43760</v>
      </c>
    </row>
    <row r="95" spans="1:7" s="311" customFormat="1" ht="23.4" customHeight="1" x14ac:dyDescent="0.25">
      <c r="A95" s="1505" t="s">
        <v>331</v>
      </c>
      <c r="B95" s="1509"/>
      <c r="C95" s="312" t="s">
        <v>332</v>
      </c>
      <c r="D95" s="314">
        <v>6200</v>
      </c>
      <c r="E95" s="314"/>
      <c r="F95" s="315">
        <v>43760</v>
      </c>
      <c r="G95" s="315">
        <v>43760</v>
      </c>
    </row>
    <row r="96" spans="1:7" s="311" customFormat="1" ht="21.9" customHeight="1" x14ac:dyDescent="0.25">
      <c r="A96" s="1507" t="s">
        <v>333</v>
      </c>
      <c r="B96" s="1510"/>
      <c r="C96" s="316" t="s">
        <v>254</v>
      </c>
      <c r="D96" s="317"/>
      <c r="E96" s="320">
        <v>6200</v>
      </c>
      <c r="F96" s="319">
        <v>43760</v>
      </c>
      <c r="G96" s="319">
        <v>43760</v>
      </c>
    </row>
    <row r="97" spans="1:7" s="311" customFormat="1" ht="23.4" customHeight="1" x14ac:dyDescent="0.25">
      <c r="A97" s="1505" t="s">
        <v>334</v>
      </c>
      <c r="B97" s="1509"/>
      <c r="C97" s="312" t="s">
        <v>308</v>
      </c>
      <c r="D97" s="314">
        <v>200000</v>
      </c>
      <c r="E97" s="314"/>
      <c r="F97" s="315" t="s">
        <v>335</v>
      </c>
      <c r="G97" s="315" t="s">
        <v>335</v>
      </c>
    </row>
    <row r="98" spans="1:7" s="311" customFormat="1" ht="21.9" customHeight="1" x14ac:dyDescent="0.25">
      <c r="A98" s="1507" t="s">
        <v>336</v>
      </c>
      <c r="B98" s="1510"/>
      <c r="C98" s="316" t="s">
        <v>311</v>
      </c>
      <c r="D98" s="317"/>
      <c r="E98" s="320">
        <v>200000</v>
      </c>
      <c r="F98" s="319" t="s">
        <v>335</v>
      </c>
      <c r="G98" s="319" t="s">
        <v>335</v>
      </c>
    </row>
    <row r="99" spans="1:7" s="311" customFormat="1" ht="23.4" customHeight="1" x14ac:dyDescent="0.25">
      <c r="A99" s="1505" t="s">
        <v>337</v>
      </c>
      <c r="B99" s="1509"/>
      <c r="C99" s="312" t="s">
        <v>308</v>
      </c>
      <c r="D99" s="314">
        <v>10375</v>
      </c>
      <c r="E99" s="314"/>
      <c r="F99" s="315" t="s">
        <v>338</v>
      </c>
      <c r="G99" s="315" t="s">
        <v>338</v>
      </c>
    </row>
    <row r="100" spans="1:7" s="311" customFormat="1" ht="21.9" customHeight="1" x14ac:dyDescent="0.25">
      <c r="A100" s="1507" t="s">
        <v>339</v>
      </c>
      <c r="B100" s="1510"/>
      <c r="C100" s="316" t="s">
        <v>340</v>
      </c>
      <c r="D100" s="317"/>
      <c r="E100" s="320">
        <v>10375</v>
      </c>
      <c r="F100" s="319" t="s">
        <v>338</v>
      </c>
      <c r="G100" s="319" t="s">
        <v>338</v>
      </c>
    </row>
    <row r="101" spans="1:7" s="311" customFormat="1" ht="23.4" customHeight="1" x14ac:dyDescent="0.25">
      <c r="A101" s="1505" t="s">
        <v>341</v>
      </c>
      <c r="B101" s="1509"/>
      <c r="C101" s="312" t="s">
        <v>257</v>
      </c>
      <c r="D101" s="313"/>
      <c r="E101" s="314">
        <v>600</v>
      </c>
      <c r="F101" s="314" t="s">
        <v>342</v>
      </c>
      <c r="G101" s="315" t="s">
        <v>342</v>
      </c>
    </row>
    <row r="102" spans="1:7" s="311" customFormat="1" ht="23.4" customHeight="1" x14ac:dyDescent="0.25">
      <c r="A102" s="1505" t="s">
        <v>343</v>
      </c>
      <c r="B102" s="1509"/>
      <c r="C102" s="312" t="s">
        <v>259</v>
      </c>
      <c r="D102" s="313"/>
      <c r="E102" s="314">
        <v>300</v>
      </c>
      <c r="F102" s="314" t="s">
        <v>342</v>
      </c>
      <c r="G102" s="315" t="s">
        <v>342</v>
      </c>
    </row>
    <row r="103" spans="1:7" s="311" customFormat="1" ht="23.4" customHeight="1" x14ac:dyDescent="0.25">
      <c r="A103" s="1505" t="s">
        <v>344</v>
      </c>
      <c r="B103" s="1509"/>
      <c r="C103" s="312" t="s">
        <v>261</v>
      </c>
      <c r="D103" s="313"/>
      <c r="E103" s="314">
        <v>96.74</v>
      </c>
      <c r="F103" s="314" t="s">
        <v>342</v>
      </c>
      <c r="G103" s="315" t="s">
        <v>342</v>
      </c>
    </row>
    <row r="104" spans="1:7" s="311" customFormat="1" ht="23.4" customHeight="1" x14ac:dyDescent="0.25">
      <c r="A104" s="1505" t="s">
        <v>344</v>
      </c>
      <c r="B104" s="1509"/>
      <c r="C104" s="312" t="s">
        <v>264</v>
      </c>
      <c r="D104" s="313"/>
      <c r="E104" s="314">
        <v>303.26</v>
      </c>
      <c r="F104" s="314" t="s">
        <v>342</v>
      </c>
      <c r="G104" s="315" t="s">
        <v>342</v>
      </c>
    </row>
    <row r="105" spans="1:7" s="311" customFormat="1" ht="23.4" customHeight="1" x14ac:dyDescent="0.25">
      <c r="A105" s="1505" t="s">
        <v>345</v>
      </c>
      <c r="B105" s="1509"/>
      <c r="C105" s="312" t="s">
        <v>266</v>
      </c>
      <c r="D105" s="313"/>
      <c r="E105" s="314">
        <v>2200</v>
      </c>
      <c r="F105" s="314" t="s">
        <v>342</v>
      </c>
      <c r="G105" s="315" t="s">
        <v>342</v>
      </c>
    </row>
    <row r="106" spans="1:7" s="311" customFormat="1" ht="23.4" customHeight="1" x14ac:dyDescent="0.25">
      <c r="A106" s="1505" t="s">
        <v>346</v>
      </c>
      <c r="B106" s="1509"/>
      <c r="C106" s="312" t="s">
        <v>347</v>
      </c>
      <c r="D106" s="313"/>
      <c r="E106" s="314">
        <v>-3500</v>
      </c>
      <c r="F106" s="315" t="s">
        <v>342</v>
      </c>
      <c r="G106" s="315" t="s">
        <v>342</v>
      </c>
    </row>
    <row r="107" spans="1:7" s="311" customFormat="1" ht="23.4" customHeight="1" x14ac:dyDescent="0.25">
      <c r="A107" s="1505" t="s">
        <v>348</v>
      </c>
      <c r="B107" s="1509"/>
      <c r="C107" s="312" t="s">
        <v>349</v>
      </c>
      <c r="D107" s="313"/>
      <c r="E107" s="314">
        <v>-96000</v>
      </c>
      <c r="F107" s="315">
        <v>43829</v>
      </c>
      <c r="G107" s="315">
        <v>43829</v>
      </c>
    </row>
    <row r="108" spans="1:7" s="311" customFormat="1" ht="23.4" customHeight="1" x14ac:dyDescent="0.25">
      <c r="A108" s="1505" t="s">
        <v>350</v>
      </c>
      <c r="B108" s="1509"/>
      <c r="C108" s="312" t="s">
        <v>351</v>
      </c>
      <c r="D108" s="313"/>
      <c r="E108" s="314">
        <v>-74000</v>
      </c>
      <c r="F108" s="315">
        <v>43829</v>
      </c>
      <c r="G108" s="315">
        <v>43829</v>
      </c>
    </row>
    <row r="109" spans="1:7" s="311" customFormat="1" ht="23.4" customHeight="1" x14ac:dyDescent="0.25">
      <c r="A109" s="1505" t="s">
        <v>352</v>
      </c>
      <c r="B109" s="1509"/>
      <c r="C109" s="312" t="s">
        <v>353</v>
      </c>
      <c r="D109" s="313"/>
      <c r="E109" s="314">
        <v>36000</v>
      </c>
      <c r="F109" s="315">
        <v>43829</v>
      </c>
      <c r="G109" s="315">
        <v>43829</v>
      </c>
    </row>
    <row r="110" spans="1:7" s="311" customFormat="1" ht="21.9" customHeight="1" x14ac:dyDescent="0.25">
      <c r="A110" s="1507" t="s">
        <v>354</v>
      </c>
      <c r="B110" s="1510"/>
      <c r="C110" s="316" t="s">
        <v>330</v>
      </c>
      <c r="D110" s="317"/>
      <c r="E110" s="320">
        <v>134000</v>
      </c>
      <c r="F110" s="319">
        <v>43829</v>
      </c>
      <c r="G110" s="319">
        <v>43829</v>
      </c>
    </row>
    <row r="111" spans="1:7" s="311" customFormat="1" ht="23.4" customHeight="1" x14ac:dyDescent="0.25">
      <c r="A111" s="1505" t="s">
        <v>301</v>
      </c>
      <c r="B111" s="1509"/>
      <c r="C111" s="312" t="s">
        <v>302</v>
      </c>
      <c r="D111" s="314">
        <v>2544</v>
      </c>
      <c r="E111" s="314"/>
      <c r="F111" s="315">
        <v>43829</v>
      </c>
      <c r="G111" s="315">
        <v>43829</v>
      </c>
    </row>
    <row r="112" spans="1:7" s="311" customFormat="1" ht="21.9" customHeight="1" x14ac:dyDescent="0.25">
      <c r="A112" s="1507" t="s">
        <v>355</v>
      </c>
      <c r="B112" s="1510"/>
      <c r="C112" s="316" t="s">
        <v>286</v>
      </c>
      <c r="D112" s="317"/>
      <c r="E112" s="320">
        <v>2544</v>
      </c>
      <c r="F112" s="319">
        <v>43829</v>
      </c>
      <c r="G112" s="319">
        <v>43829</v>
      </c>
    </row>
    <row r="113" spans="1:7" s="311" customFormat="1" ht="23.4" customHeight="1" x14ac:dyDescent="0.25">
      <c r="A113" s="1505" t="s">
        <v>356</v>
      </c>
      <c r="B113" s="1509"/>
      <c r="C113" s="312" t="s">
        <v>357</v>
      </c>
      <c r="D113" s="314">
        <v>2095.6</v>
      </c>
      <c r="E113" s="314"/>
      <c r="F113" s="315">
        <v>43829</v>
      </c>
      <c r="G113" s="315">
        <v>43829</v>
      </c>
    </row>
    <row r="114" spans="1:7" s="311" customFormat="1" ht="23.4" customHeight="1" x14ac:dyDescent="0.25">
      <c r="A114" s="1505" t="s">
        <v>358</v>
      </c>
      <c r="B114" s="1509"/>
      <c r="C114" s="312" t="s">
        <v>359</v>
      </c>
      <c r="D114" s="313"/>
      <c r="E114" s="314">
        <v>1537.6</v>
      </c>
      <c r="F114" s="315">
        <v>43829</v>
      </c>
      <c r="G114" s="315">
        <v>43829</v>
      </c>
    </row>
    <row r="115" spans="1:7" s="311" customFormat="1" ht="23.4" customHeight="1" x14ac:dyDescent="0.25">
      <c r="A115" s="1505" t="s">
        <v>360</v>
      </c>
      <c r="B115" s="1509"/>
      <c r="C115" s="312" t="s">
        <v>361</v>
      </c>
      <c r="D115" s="313"/>
      <c r="E115" s="314">
        <v>558</v>
      </c>
      <c r="F115" s="315">
        <v>43829</v>
      </c>
      <c r="G115" s="315">
        <v>43829</v>
      </c>
    </row>
    <row r="116" spans="1:7" s="311" customFormat="1" ht="23.4" customHeight="1" x14ac:dyDescent="0.25">
      <c r="A116" s="1505" t="s">
        <v>362</v>
      </c>
      <c r="B116" s="1509"/>
      <c r="C116" s="312" t="s">
        <v>363</v>
      </c>
      <c r="D116" s="313"/>
      <c r="E116" s="314">
        <v>15000</v>
      </c>
      <c r="F116" s="315">
        <v>43829</v>
      </c>
      <c r="G116" s="315">
        <v>43829</v>
      </c>
    </row>
    <row r="117" spans="1:7" s="311" customFormat="1" ht="23.4" customHeight="1" x14ac:dyDescent="0.25">
      <c r="A117" s="1505" t="s">
        <v>364</v>
      </c>
      <c r="B117" s="1509"/>
      <c r="C117" s="312" t="s">
        <v>347</v>
      </c>
      <c r="D117" s="313"/>
      <c r="E117" s="314">
        <v>-12000</v>
      </c>
      <c r="F117" s="315">
        <v>43829</v>
      </c>
      <c r="G117" s="315">
        <v>43829</v>
      </c>
    </row>
    <row r="118" spans="1:7" s="311" customFormat="1" ht="23.4" customHeight="1" x14ac:dyDescent="0.25">
      <c r="A118" s="1505" t="s">
        <v>365</v>
      </c>
      <c r="B118" s="1509"/>
      <c r="C118" s="312" t="s">
        <v>272</v>
      </c>
      <c r="D118" s="313"/>
      <c r="E118" s="314">
        <v>7500</v>
      </c>
      <c r="F118" s="315">
        <v>43829</v>
      </c>
      <c r="G118" s="315">
        <v>43829</v>
      </c>
    </row>
    <row r="119" spans="1:7" s="311" customFormat="1" ht="23.4" customHeight="1" x14ac:dyDescent="0.25">
      <c r="A119" s="1505" t="s">
        <v>366</v>
      </c>
      <c r="B119" s="1509"/>
      <c r="C119" s="312" t="s">
        <v>367</v>
      </c>
      <c r="D119" s="313"/>
      <c r="E119" s="314">
        <v>18000</v>
      </c>
      <c r="F119" s="315">
        <v>43829</v>
      </c>
      <c r="G119" s="315">
        <v>43829</v>
      </c>
    </row>
    <row r="120" spans="1:7" s="311" customFormat="1" ht="23.4" customHeight="1" x14ac:dyDescent="0.25">
      <c r="A120" s="1505" t="s">
        <v>368</v>
      </c>
      <c r="B120" s="1509"/>
      <c r="C120" s="312" t="s">
        <v>369</v>
      </c>
      <c r="D120" s="313"/>
      <c r="E120" s="314">
        <v>63500</v>
      </c>
      <c r="F120" s="315">
        <v>43829</v>
      </c>
      <c r="G120" s="315">
        <v>43829</v>
      </c>
    </row>
    <row r="121" spans="1:7" s="311" customFormat="1" ht="23.4" customHeight="1" x14ac:dyDescent="0.25">
      <c r="A121" s="1505" t="s">
        <v>370</v>
      </c>
      <c r="B121" s="1509"/>
      <c r="C121" s="312" t="s">
        <v>371</v>
      </c>
      <c r="D121" s="313"/>
      <c r="E121" s="314">
        <v>500</v>
      </c>
      <c r="F121" s="315">
        <v>43829</v>
      </c>
      <c r="G121" s="315">
        <v>43829</v>
      </c>
    </row>
    <row r="122" spans="1:7" s="311" customFormat="1" ht="23.4" customHeight="1" x14ac:dyDescent="0.25">
      <c r="A122" s="1505" t="s">
        <v>372</v>
      </c>
      <c r="B122" s="1509"/>
      <c r="C122" s="312" t="s">
        <v>373</v>
      </c>
      <c r="D122" s="313"/>
      <c r="E122" s="314">
        <v>9500</v>
      </c>
      <c r="F122" s="315">
        <v>43829</v>
      </c>
      <c r="G122" s="315">
        <v>43829</v>
      </c>
    </row>
    <row r="123" spans="1:7" s="311" customFormat="1" ht="23.4" customHeight="1" x14ac:dyDescent="0.25">
      <c r="A123" s="1505" t="s">
        <v>374</v>
      </c>
      <c r="B123" s="1509"/>
      <c r="C123" s="312" t="s">
        <v>375</v>
      </c>
      <c r="D123" s="313"/>
      <c r="E123" s="314">
        <v>31000</v>
      </c>
      <c r="F123" s="315">
        <v>43829</v>
      </c>
      <c r="G123" s="315">
        <v>43829</v>
      </c>
    </row>
    <row r="124" spans="1:7" s="311" customFormat="1" ht="23.4" customHeight="1" x14ac:dyDescent="0.25">
      <c r="A124" s="1505" t="s">
        <v>376</v>
      </c>
      <c r="B124" s="1509"/>
      <c r="C124" s="312" t="s">
        <v>290</v>
      </c>
      <c r="D124" s="313"/>
      <c r="E124" s="314">
        <v>7000</v>
      </c>
      <c r="F124" s="315">
        <v>43829</v>
      </c>
      <c r="G124" s="315">
        <v>43829</v>
      </c>
    </row>
    <row r="125" spans="1:7" s="311" customFormat="1" ht="23.4" customHeight="1" x14ac:dyDescent="0.25">
      <c r="A125" s="1505" t="s">
        <v>377</v>
      </c>
      <c r="B125" s="1509"/>
      <c r="C125" s="312" t="s">
        <v>326</v>
      </c>
      <c r="D125" s="313"/>
      <c r="E125" s="314">
        <v>-1500</v>
      </c>
      <c r="F125" s="315">
        <v>43829</v>
      </c>
      <c r="G125" s="315">
        <v>43829</v>
      </c>
    </row>
    <row r="126" spans="1:7" s="311" customFormat="1" ht="23.4" customHeight="1" x14ac:dyDescent="0.25">
      <c r="A126" s="1505" t="s">
        <v>378</v>
      </c>
      <c r="B126" s="1509"/>
      <c r="C126" s="312" t="s">
        <v>379</v>
      </c>
      <c r="D126" s="313"/>
      <c r="E126" s="314">
        <v>-4500</v>
      </c>
      <c r="F126" s="315">
        <v>43829</v>
      </c>
      <c r="G126" s="315">
        <v>43829</v>
      </c>
    </row>
    <row r="127" spans="1:7" s="311" customFormat="1" ht="23.4" customHeight="1" x14ac:dyDescent="0.25">
      <c r="A127" s="1505" t="s">
        <v>380</v>
      </c>
      <c r="B127" s="1509"/>
      <c r="C127" s="312" t="s">
        <v>292</v>
      </c>
      <c r="D127" s="313"/>
      <c r="E127" s="314">
        <v>-31000</v>
      </c>
      <c r="F127" s="315">
        <v>43829</v>
      </c>
      <c r="G127" s="315">
        <v>43829</v>
      </c>
    </row>
    <row r="128" spans="1:7" s="311" customFormat="1" ht="23.4" customHeight="1" x14ac:dyDescent="0.25">
      <c r="A128" s="1505" t="s">
        <v>381</v>
      </c>
      <c r="B128" s="1509"/>
      <c r="C128" s="312" t="s">
        <v>382</v>
      </c>
      <c r="D128" s="313"/>
      <c r="E128" s="314">
        <v>500</v>
      </c>
      <c r="F128" s="315">
        <v>43829</v>
      </c>
      <c r="G128" s="315">
        <v>43829</v>
      </c>
    </row>
    <row r="129" spans="1:7" s="311" customFormat="1" ht="23.4" customHeight="1" x14ac:dyDescent="0.25">
      <c r="A129" s="1505" t="s">
        <v>383</v>
      </c>
      <c r="B129" s="1509"/>
      <c r="C129" s="312" t="s">
        <v>384</v>
      </c>
      <c r="D129" s="313"/>
      <c r="E129" s="314">
        <v>-1000</v>
      </c>
      <c r="F129" s="315">
        <v>43829</v>
      </c>
      <c r="G129" s="315">
        <v>43829</v>
      </c>
    </row>
    <row r="130" spans="1:7" s="311" customFormat="1" ht="23.4" customHeight="1" x14ac:dyDescent="0.25">
      <c r="A130" s="1505" t="s">
        <v>385</v>
      </c>
      <c r="B130" s="1509"/>
      <c r="C130" s="312" t="s">
        <v>386</v>
      </c>
      <c r="D130" s="313"/>
      <c r="E130" s="314">
        <v>-1000</v>
      </c>
      <c r="F130" s="315">
        <v>43829</v>
      </c>
      <c r="G130" s="315">
        <v>43829</v>
      </c>
    </row>
    <row r="131" spans="1:7" s="311" customFormat="1" ht="23.4" customHeight="1" x14ac:dyDescent="0.25">
      <c r="A131" s="1505" t="s">
        <v>387</v>
      </c>
      <c r="B131" s="1509"/>
      <c r="C131" s="312" t="s">
        <v>320</v>
      </c>
      <c r="D131" s="313"/>
      <c r="E131" s="314">
        <v>-12000</v>
      </c>
      <c r="F131" s="315">
        <v>43829</v>
      </c>
      <c r="G131" s="315">
        <v>43829</v>
      </c>
    </row>
    <row r="132" spans="1:7" s="311" customFormat="1" ht="23.4" customHeight="1" x14ac:dyDescent="0.25">
      <c r="A132" s="1505" t="s">
        <v>388</v>
      </c>
      <c r="B132" s="1509"/>
      <c r="C132" s="312" t="s">
        <v>330</v>
      </c>
      <c r="D132" s="313"/>
      <c r="E132" s="314">
        <v>50500</v>
      </c>
      <c r="F132" s="315">
        <v>43829</v>
      </c>
      <c r="G132" s="315">
        <v>43829</v>
      </c>
    </row>
    <row r="133" spans="1:7" s="311" customFormat="1" ht="23.4" customHeight="1" x14ac:dyDescent="0.25">
      <c r="A133" s="1505" t="s">
        <v>389</v>
      </c>
      <c r="B133" s="1509"/>
      <c r="C133" s="312" t="s">
        <v>311</v>
      </c>
      <c r="D133" s="313"/>
      <c r="E133" s="314">
        <v>-247000</v>
      </c>
      <c r="F133" s="315">
        <v>43829</v>
      </c>
      <c r="G133" s="315">
        <v>43829</v>
      </c>
    </row>
    <row r="134" spans="1:7" s="311" customFormat="1" ht="23.4" customHeight="1" x14ac:dyDescent="0.25">
      <c r="A134" s="1505" t="s">
        <v>390</v>
      </c>
      <c r="B134" s="1509"/>
      <c r="C134" s="312" t="s">
        <v>391</v>
      </c>
      <c r="D134" s="313"/>
      <c r="E134" s="314">
        <v>-14000</v>
      </c>
      <c r="F134" s="315">
        <v>43829</v>
      </c>
      <c r="G134" s="315">
        <v>43829</v>
      </c>
    </row>
    <row r="135" spans="1:7" s="311" customFormat="1" ht="23.4" customHeight="1" x14ac:dyDescent="0.25">
      <c r="A135" s="1505" t="s">
        <v>392</v>
      </c>
      <c r="B135" s="1509"/>
      <c r="C135" s="312" t="s">
        <v>393</v>
      </c>
      <c r="D135" s="313"/>
      <c r="E135" s="314">
        <v>-13000</v>
      </c>
      <c r="F135" s="315">
        <v>43829</v>
      </c>
      <c r="G135" s="315">
        <v>43829</v>
      </c>
    </row>
    <row r="136" spans="1:7" s="311" customFormat="1" ht="23.4" customHeight="1" x14ac:dyDescent="0.25">
      <c r="A136" s="1505" t="s">
        <v>394</v>
      </c>
      <c r="B136" s="1509"/>
      <c r="C136" s="312" t="s">
        <v>395</v>
      </c>
      <c r="D136" s="313"/>
      <c r="E136" s="314">
        <v>1000</v>
      </c>
      <c r="F136" s="315">
        <v>43829</v>
      </c>
      <c r="G136" s="315">
        <v>43829</v>
      </c>
    </row>
    <row r="137" spans="1:7" s="311" customFormat="1" ht="23.4" customHeight="1" x14ac:dyDescent="0.25">
      <c r="A137" s="1505" t="s">
        <v>396</v>
      </c>
      <c r="B137" s="1509"/>
      <c r="C137" s="312" t="s">
        <v>397</v>
      </c>
      <c r="D137" s="313"/>
      <c r="E137" s="314">
        <v>-1000</v>
      </c>
      <c r="F137" s="315">
        <v>43829</v>
      </c>
      <c r="G137" s="315">
        <v>43829</v>
      </c>
    </row>
    <row r="138" spans="1:7" s="311" customFormat="1" ht="23.4" customHeight="1" x14ac:dyDescent="0.25">
      <c r="A138" s="1505" t="s">
        <v>398</v>
      </c>
      <c r="B138" s="1509"/>
      <c r="C138" s="312" t="s">
        <v>399</v>
      </c>
      <c r="D138" s="313"/>
      <c r="E138" s="314">
        <v>500</v>
      </c>
      <c r="F138" s="315">
        <v>43829</v>
      </c>
      <c r="G138" s="315">
        <v>43829</v>
      </c>
    </row>
    <row r="139" spans="1:7" s="311" customFormat="1" ht="23.4" customHeight="1" x14ac:dyDescent="0.25">
      <c r="A139" s="1505" t="s">
        <v>400</v>
      </c>
      <c r="B139" s="1509"/>
      <c r="C139" s="312" t="s">
        <v>276</v>
      </c>
      <c r="D139" s="313"/>
      <c r="E139" s="314">
        <v>6500</v>
      </c>
      <c r="F139" s="315">
        <v>43829</v>
      </c>
      <c r="G139" s="315">
        <v>43829</v>
      </c>
    </row>
    <row r="140" spans="1:7" s="311" customFormat="1" ht="23.4" customHeight="1" x14ac:dyDescent="0.25">
      <c r="A140" s="1505" t="s">
        <v>401</v>
      </c>
      <c r="B140" s="1509"/>
      <c r="C140" s="312" t="s">
        <v>340</v>
      </c>
      <c r="D140" s="313"/>
      <c r="E140" s="314">
        <v>-3000</v>
      </c>
      <c r="F140" s="315">
        <v>43829</v>
      </c>
      <c r="G140" s="315">
        <v>43829</v>
      </c>
    </row>
    <row r="141" spans="1:7" s="311" customFormat="1" ht="23.4" customHeight="1" x14ac:dyDescent="0.25">
      <c r="A141" s="1505" t="s">
        <v>402</v>
      </c>
      <c r="B141" s="1509"/>
      <c r="C141" s="312" t="s">
        <v>403</v>
      </c>
      <c r="D141" s="313"/>
      <c r="E141" s="314">
        <v>-4000</v>
      </c>
      <c r="F141" s="315">
        <v>43829</v>
      </c>
      <c r="G141" s="315">
        <v>43829</v>
      </c>
    </row>
    <row r="142" spans="1:7" s="311" customFormat="1" ht="23.4" customHeight="1" x14ac:dyDescent="0.25">
      <c r="A142" s="1505" t="s">
        <v>404</v>
      </c>
      <c r="B142" s="1509"/>
      <c r="C142" s="312" t="s">
        <v>405</v>
      </c>
      <c r="D142" s="313"/>
      <c r="E142" s="314">
        <v>-3000</v>
      </c>
      <c r="F142" s="315">
        <v>43829</v>
      </c>
      <c r="G142" s="315">
        <v>43829</v>
      </c>
    </row>
    <row r="143" spans="1:7" s="311" customFormat="1" ht="23.4" customHeight="1" x14ac:dyDescent="0.25">
      <c r="A143" s="1505" t="s">
        <v>406</v>
      </c>
      <c r="B143" s="1509"/>
      <c r="C143" s="312" t="s">
        <v>407</v>
      </c>
      <c r="D143" s="313"/>
      <c r="E143" s="314">
        <v>-3000</v>
      </c>
      <c r="F143" s="315">
        <v>43829</v>
      </c>
      <c r="G143" s="315">
        <v>43829</v>
      </c>
    </row>
    <row r="144" spans="1:7" s="311" customFormat="1" ht="23.4" customHeight="1" x14ac:dyDescent="0.25">
      <c r="A144" s="1505" t="s">
        <v>408</v>
      </c>
      <c r="B144" s="1509"/>
      <c r="C144" s="312" t="s">
        <v>294</v>
      </c>
      <c r="D144" s="313"/>
      <c r="E144" s="314">
        <v>3000</v>
      </c>
      <c r="F144" s="315">
        <v>43829</v>
      </c>
      <c r="G144" s="315">
        <v>43829</v>
      </c>
    </row>
    <row r="145" spans="1:7" s="311" customFormat="1" ht="23.4" customHeight="1" x14ac:dyDescent="0.25">
      <c r="A145" s="1505" t="s">
        <v>409</v>
      </c>
      <c r="B145" s="1509"/>
      <c r="C145" s="312" t="s">
        <v>280</v>
      </c>
      <c r="D145" s="313"/>
      <c r="E145" s="314">
        <v>-2000</v>
      </c>
      <c r="F145" s="315">
        <v>43829</v>
      </c>
      <c r="G145" s="315">
        <v>43829</v>
      </c>
    </row>
    <row r="146" spans="1:7" s="311" customFormat="1" ht="23.4" customHeight="1" x14ac:dyDescent="0.25">
      <c r="A146" s="1505" t="s">
        <v>410</v>
      </c>
      <c r="B146" s="1509"/>
      <c r="C146" s="312" t="s">
        <v>411</v>
      </c>
      <c r="D146" s="313"/>
      <c r="E146" s="314">
        <v>-35000</v>
      </c>
      <c r="F146" s="315">
        <v>43829</v>
      </c>
      <c r="G146" s="315">
        <v>43829</v>
      </c>
    </row>
    <row r="147" spans="1:7" s="311" customFormat="1" ht="23.4" customHeight="1" x14ac:dyDescent="0.25">
      <c r="A147" s="1505" t="s">
        <v>412</v>
      </c>
      <c r="B147" s="1509"/>
      <c r="C147" s="312" t="s">
        <v>413</v>
      </c>
      <c r="D147" s="313"/>
      <c r="E147" s="314">
        <v>-6000</v>
      </c>
      <c r="F147" s="315">
        <v>43829</v>
      </c>
      <c r="G147" s="315">
        <v>43829</v>
      </c>
    </row>
    <row r="148" spans="1:7" s="311" customFormat="1" ht="23.4" customHeight="1" x14ac:dyDescent="0.25">
      <c r="A148" s="1505" t="s">
        <v>414</v>
      </c>
      <c r="B148" s="1509"/>
      <c r="C148" s="312" t="s">
        <v>415</v>
      </c>
      <c r="D148" s="313"/>
      <c r="E148" s="314">
        <v>30500</v>
      </c>
      <c r="F148" s="315">
        <v>43829</v>
      </c>
      <c r="G148" s="315">
        <v>43829</v>
      </c>
    </row>
    <row r="149" spans="1:7" s="311" customFormat="1" ht="23.4" customHeight="1" x14ac:dyDescent="0.25">
      <c r="A149" s="1505" t="s">
        <v>416</v>
      </c>
      <c r="B149" s="1509"/>
      <c r="C149" s="312" t="s">
        <v>298</v>
      </c>
      <c r="D149" s="313"/>
      <c r="E149" s="314">
        <v>-30000</v>
      </c>
      <c r="F149" s="315">
        <v>43829</v>
      </c>
      <c r="G149" s="315">
        <v>43829</v>
      </c>
    </row>
    <row r="150" spans="1:7" s="311" customFormat="1" ht="23.4" customHeight="1" x14ac:dyDescent="0.25">
      <c r="A150" s="1505" t="s">
        <v>417</v>
      </c>
      <c r="B150" s="1509"/>
      <c r="C150" s="312" t="s">
        <v>418</v>
      </c>
      <c r="D150" s="313"/>
      <c r="E150" s="314">
        <v>15000</v>
      </c>
      <c r="F150" s="315">
        <v>43829</v>
      </c>
      <c r="G150" s="315">
        <v>43829</v>
      </c>
    </row>
    <row r="151" spans="1:7" s="311" customFormat="1" ht="23.4" customHeight="1" x14ac:dyDescent="0.25">
      <c r="A151" s="1505" t="s">
        <v>419</v>
      </c>
      <c r="B151" s="1509"/>
      <c r="C151" s="312" t="s">
        <v>420</v>
      </c>
      <c r="D151" s="313"/>
      <c r="E151" s="314">
        <v>4000</v>
      </c>
      <c r="F151" s="315">
        <v>43829</v>
      </c>
      <c r="G151" s="315">
        <v>43829</v>
      </c>
    </row>
    <row r="152" spans="1:7" s="311" customFormat="1" ht="23.4" customHeight="1" x14ac:dyDescent="0.25">
      <c r="A152" s="1505" t="s">
        <v>421</v>
      </c>
      <c r="B152" s="1509"/>
      <c r="C152" s="312" t="s">
        <v>282</v>
      </c>
      <c r="D152" s="313"/>
      <c r="E152" s="314">
        <v>11500</v>
      </c>
      <c r="F152" s="315">
        <v>43829</v>
      </c>
      <c r="G152" s="315">
        <v>43829</v>
      </c>
    </row>
    <row r="153" spans="1:7" s="311" customFormat="1" ht="23.4" customHeight="1" x14ac:dyDescent="0.25">
      <c r="A153" s="1505" t="s">
        <v>422</v>
      </c>
      <c r="B153" s="1509"/>
      <c r="C153" s="312" t="s">
        <v>423</v>
      </c>
      <c r="D153" s="313"/>
      <c r="E153" s="314">
        <v>20000</v>
      </c>
      <c r="F153" s="315">
        <v>43829</v>
      </c>
      <c r="G153" s="315">
        <v>43829</v>
      </c>
    </row>
    <row r="154" spans="1:7" s="311" customFormat="1" ht="23.4" customHeight="1" x14ac:dyDescent="0.25">
      <c r="A154" s="1505" t="s">
        <v>424</v>
      </c>
      <c r="B154" s="1509"/>
      <c r="C154" s="312" t="s">
        <v>425</v>
      </c>
      <c r="D154" s="313"/>
      <c r="E154" s="314">
        <v>-5000</v>
      </c>
      <c r="F154" s="315">
        <v>43829</v>
      </c>
      <c r="G154" s="315">
        <v>43829</v>
      </c>
    </row>
    <row r="155" spans="1:7" s="311" customFormat="1" ht="23.4" customHeight="1" x14ac:dyDescent="0.25">
      <c r="A155" s="1505" t="s">
        <v>426</v>
      </c>
      <c r="B155" s="1509"/>
      <c r="C155" s="312" t="s">
        <v>427</v>
      </c>
      <c r="D155" s="313"/>
      <c r="E155" s="314">
        <v>1000</v>
      </c>
      <c r="F155" s="315">
        <v>43829</v>
      </c>
      <c r="G155" s="315">
        <v>43829</v>
      </c>
    </row>
    <row r="156" spans="1:7" s="311" customFormat="1" ht="23.4" customHeight="1" x14ac:dyDescent="0.25">
      <c r="A156" s="1505" t="s">
        <v>428</v>
      </c>
      <c r="B156" s="1509"/>
      <c r="C156" s="312" t="s">
        <v>300</v>
      </c>
      <c r="D156" s="313"/>
      <c r="E156" s="314">
        <v>133500</v>
      </c>
      <c r="F156" s="315">
        <v>43829</v>
      </c>
      <c r="G156" s="315">
        <v>43829</v>
      </c>
    </row>
    <row r="157" spans="1:7" s="311" customFormat="1" ht="23.4" customHeight="1" x14ac:dyDescent="0.25">
      <c r="A157" s="1505" t="s">
        <v>429</v>
      </c>
      <c r="B157" s="1509"/>
      <c r="C157" s="312" t="s">
        <v>430</v>
      </c>
      <c r="D157" s="314">
        <v>300</v>
      </c>
      <c r="E157" s="314"/>
      <c r="F157" s="315">
        <v>43829</v>
      </c>
      <c r="G157" s="315">
        <v>43829</v>
      </c>
    </row>
    <row r="158" spans="1:7" s="311" customFormat="1" ht="23.4" customHeight="1" x14ac:dyDescent="0.25">
      <c r="A158" s="1505" t="s">
        <v>431</v>
      </c>
      <c r="B158" s="1509"/>
      <c r="C158" s="312" t="s">
        <v>432</v>
      </c>
      <c r="D158" s="314">
        <v>200</v>
      </c>
      <c r="E158" s="314"/>
      <c r="F158" s="315">
        <v>43829</v>
      </c>
      <c r="G158" s="315">
        <v>43829</v>
      </c>
    </row>
    <row r="159" spans="1:7" s="311" customFormat="1" ht="12" x14ac:dyDescent="0.25">
      <c r="A159" s="1505" t="s">
        <v>433</v>
      </c>
      <c r="B159" s="1506"/>
      <c r="C159" s="312" t="s">
        <v>434</v>
      </c>
      <c r="D159" s="313"/>
      <c r="E159" s="314">
        <v>400</v>
      </c>
      <c r="F159" s="315">
        <v>43646</v>
      </c>
      <c r="G159" s="315">
        <v>43646</v>
      </c>
    </row>
    <row r="160" spans="1:7" s="311" customFormat="1" ht="12" x14ac:dyDescent="0.25">
      <c r="A160" s="1507" t="s">
        <v>435</v>
      </c>
      <c r="B160" s="1508"/>
      <c r="C160" s="316" t="s">
        <v>436</v>
      </c>
      <c r="D160" s="317"/>
      <c r="E160" s="318">
        <v>5800</v>
      </c>
      <c r="F160" s="315">
        <v>43646</v>
      </c>
      <c r="G160" s="319">
        <v>43646</v>
      </c>
    </row>
    <row r="161" spans="1:7" s="311" customFormat="1" ht="12" x14ac:dyDescent="0.25">
      <c r="A161" s="1505" t="s">
        <v>437</v>
      </c>
      <c r="B161" s="1506"/>
      <c r="C161" s="312" t="s">
        <v>438</v>
      </c>
      <c r="D161" s="313"/>
      <c r="E161" s="314">
        <v>-3516</v>
      </c>
      <c r="F161" s="315">
        <v>43646</v>
      </c>
      <c r="G161" s="315">
        <v>43646</v>
      </c>
    </row>
    <row r="162" spans="1:7" s="311" customFormat="1" ht="12" x14ac:dyDescent="0.25">
      <c r="A162" s="1507" t="s">
        <v>439</v>
      </c>
      <c r="B162" s="1508"/>
      <c r="C162" s="316" t="s">
        <v>440</v>
      </c>
      <c r="D162" s="317"/>
      <c r="E162" s="318">
        <v>55338</v>
      </c>
      <c r="F162" s="315">
        <v>43646</v>
      </c>
      <c r="G162" s="319">
        <v>43646</v>
      </c>
    </row>
    <row r="163" spans="1:7" s="311" customFormat="1" ht="12" x14ac:dyDescent="0.25">
      <c r="A163" s="1505" t="s">
        <v>441</v>
      </c>
      <c r="B163" s="1506"/>
      <c r="C163" s="312" t="s">
        <v>442</v>
      </c>
      <c r="D163" s="313"/>
      <c r="E163" s="314">
        <v>-29600</v>
      </c>
      <c r="F163" s="315">
        <v>43646</v>
      </c>
      <c r="G163" s="315">
        <v>43646</v>
      </c>
    </row>
    <row r="164" spans="1:7" s="311" customFormat="1" ht="12" x14ac:dyDescent="0.25">
      <c r="A164" s="1507" t="s">
        <v>443</v>
      </c>
      <c r="B164" s="1508"/>
      <c r="C164" s="316" t="s">
        <v>444</v>
      </c>
      <c r="D164" s="317"/>
      <c r="E164" s="318">
        <v>-7400</v>
      </c>
      <c r="F164" s="315">
        <v>43646</v>
      </c>
      <c r="G164" s="319">
        <v>43646</v>
      </c>
    </row>
    <row r="165" spans="1:7" s="311" customFormat="1" ht="12" x14ac:dyDescent="0.25">
      <c r="A165" s="1505" t="s">
        <v>445</v>
      </c>
      <c r="B165" s="1506"/>
      <c r="C165" s="312" t="s">
        <v>446</v>
      </c>
      <c r="D165" s="313"/>
      <c r="E165" s="314">
        <v>-2664</v>
      </c>
      <c r="F165" s="315">
        <v>43646</v>
      </c>
      <c r="G165" s="315">
        <v>43646</v>
      </c>
    </row>
    <row r="166" spans="1:7" s="311" customFormat="1" ht="12" x14ac:dyDescent="0.25">
      <c r="A166" s="1507" t="s">
        <v>447</v>
      </c>
      <c r="B166" s="1508"/>
      <c r="C166" s="316" t="s">
        <v>448</v>
      </c>
      <c r="D166" s="317"/>
      <c r="E166" s="318">
        <v>-128</v>
      </c>
      <c r="F166" s="315">
        <v>43646</v>
      </c>
      <c r="G166" s="319">
        <v>43646</v>
      </c>
    </row>
    <row r="167" spans="1:7" s="311" customFormat="1" ht="12" x14ac:dyDescent="0.25">
      <c r="A167" s="1505" t="s">
        <v>449</v>
      </c>
      <c r="B167" s="1506"/>
      <c r="C167" s="312" t="s">
        <v>450</v>
      </c>
      <c r="D167" s="313"/>
      <c r="E167" s="314">
        <v>-592</v>
      </c>
      <c r="F167" s="315">
        <v>43646</v>
      </c>
      <c r="G167" s="315">
        <v>43646</v>
      </c>
    </row>
    <row r="168" spans="1:7" s="311" customFormat="1" ht="12" x14ac:dyDescent="0.25">
      <c r="A168" s="1507" t="s">
        <v>451</v>
      </c>
      <c r="B168" s="1508"/>
      <c r="C168" s="316" t="s">
        <v>452</v>
      </c>
      <c r="D168" s="318">
        <v>11000</v>
      </c>
      <c r="E168" s="318"/>
      <c r="F168" s="315">
        <v>43646</v>
      </c>
      <c r="G168" s="319">
        <v>43646</v>
      </c>
    </row>
    <row r="169" spans="1:7" s="311" customFormat="1" ht="12" x14ac:dyDescent="0.25">
      <c r="A169" s="1505" t="s">
        <v>453</v>
      </c>
      <c r="B169" s="1506"/>
      <c r="C169" s="312" t="s">
        <v>454</v>
      </c>
      <c r="D169" s="314">
        <v>6257</v>
      </c>
      <c r="E169" s="314"/>
      <c r="F169" s="315">
        <v>43646</v>
      </c>
      <c r="G169" s="315">
        <v>43646</v>
      </c>
    </row>
    <row r="170" spans="1:7" s="311" customFormat="1" ht="12" x14ac:dyDescent="0.25">
      <c r="A170" s="1507" t="s">
        <v>455</v>
      </c>
      <c r="B170" s="1508"/>
      <c r="C170" s="316" t="s">
        <v>456</v>
      </c>
      <c r="D170" s="318">
        <v>381</v>
      </c>
      <c r="E170" s="318"/>
      <c r="F170" s="315">
        <v>43646</v>
      </c>
      <c r="G170" s="319">
        <v>43646</v>
      </c>
    </row>
    <row r="171" spans="1:7" s="311" customFormat="1" ht="12" x14ac:dyDescent="0.25">
      <c r="A171" s="1505" t="s">
        <v>457</v>
      </c>
      <c r="B171" s="1506"/>
      <c r="C171" s="312" t="s">
        <v>458</v>
      </c>
      <c r="D171" s="313"/>
      <c r="E171" s="314">
        <v>27</v>
      </c>
      <c r="F171" s="315">
        <v>43826</v>
      </c>
      <c r="G171" s="315">
        <v>43826</v>
      </c>
    </row>
    <row r="172" spans="1:7" s="311" customFormat="1" ht="12" x14ac:dyDescent="0.25">
      <c r="A172" s="1507" t="s">
        <v>459</v>
      </c>
      <c r="B172" s="1508"/>
      <c r="C172" s="316" t="s">
        <v>460</v>
      </c>
      <c r="D172" s="317"/>
      <c r="E172" s="318">
        <v>40</v>
      </c>
      <c r="F172" s="315">
        <v>43826</v>
      </c>
      <c r="G172" s="319">
        <v>43826</v>
      </c>
    </row>
    <row r="173" spans="1:7" s="311" customFormat="1" ht="12" x14ac:dyDescent="0.25">
      <c r="A173" s="1505" t="s">
        <v>461</v>
      </c>
      <c r="B173" s="1506"/>
      <c r="C173" s="312" t="s">
        <v>434</v>
      </c>
      <c r="D173" s="313"/>
      <c r="E173" s="314">
        <v>673</v>
      </c>
      <c r="F173" s="315">
        <v>43826</v>
      </c>
      <c r="G173" s="315">
        <v>43826</v>
      </c>
    </row>
    <row r="174" spans="1:7" s="311" customFormat="1" ht="12" x14ac:dyDescent="0.25">
      <c r="A174" s="1507" t="s">
        <v>462</v>
      </c>
      <c r="B174" s="1508"/>
      <c r="C174" s="316" t="s">
        <v>463</v>
      </c>
      <c r="D174" s="317"/>
      <c r="E174" s="318">
        <v>174</v>
      </c>
      <c r="F174" s="315">
        <v>43826</v>
      </c>
      <c r="G174" s="319">
        <v>43826</v>
      </c>
    </row>
    <row r="175" spans="1:7" s="311" customFormat="1" ht="12" x14ac:dyDescent="0.25">
      <c r="A175" s="1505" t="s">
        <v>464</v>
      </c>
      <c r="B175" s="1506"/>
      <c r="C175" s="312" t="s">
        <v>436</v>
      </c>
      <c r="D175" s="313"/>
      <c r="E175" s="314">
        <v>858</v>
      </c>
      <c r="F175" s="315">
        <v>43826</v>
      </c>
      <c r="G175" s="315">
        <v>43826</v>
      </c>
    </row>
    <row r="176" spans="1:7" s="311" customFormat="1" ht="12" x14ac:dyDescent="0.25">
      <c r="A176" s="1507" t="s">
        <v>465</v>
      </c>
      <c r="B176" s="1508"/>
      <c r="C176" s="316" t="s">
        <v>438</v>
      </c>
      <c r="D176" s="317"/>
      <c r="E176" s="318">
        <v>1069</v>
      </c>
      <c r="F176" s="315">
        <v>43826</v>
      </c>
      <c r="G176" s="319">
        <v>43826</v>
      </c>
    </row>
    <row r="177" spans="1:9" s="311" customFormat="1" ht="12" x14ac:dyDescent="0.25">
      <c r="A177" s="1505" t="s">
        <v>466</v>
      </c>
      <c r="B177" s="1506"/>
      <c r="C177" s="312" t="s">
        <v>467</v>
      </c>
      <c r="D177" s="313"/>
      <c r="E177" s="314">
        <v>-5709</v>
      </c>
      <c r="F177" s="315">
        <v>43826</v>
      </c>
      <c r="G177" s="315">
        <v>43826</v>
      </c>
    </row>
    <row r="178" spans="1:9" s="311" customFormat="1" ht="12" x14ac:dyDescent="0.25">
      <c r="A178" s="1507" t="s">
        <v>468</v>
      </c>
      <c r="B178" s="1508"/>
      <c r="C178" s="316" t="s">
        <v>440</v>
      </c>
      <c r="D178" s="317"/>
      <c r="E178" s="318">
        <v>13144</v>
      </c>
      <c r="F178" s="315">
        <v>43826</v>
      </c>
      <c r="G178" s="319">
        <v>43826</v>
      </c>
    </row>
    <row r="179" spans="1:9" s="311" customFormat="1" ht="12" x14ac:dyDescent="0.25">
      <c r="A179" s="1505" t="s">
        <v>469</v>
      </c>
      <c r="B179" s="1506"/>
      <c r="C179" s="312" t="s">
        <v>448</v>
      </c>
      <c r="D179" s="313"/>
      <c r="E179" s="314">
        <v>3</v>
      </c>
      <c r="F179" s="315">
        <v>43826</v>
      </c>
      <c r="G179" s="315">
        <v>43826</v>
      </c>
    </row>
    <row r="180" spans="1:9" s="311" customFormat="1" ht="12" x14ac:dyDescent="0.25">
      <c r="A180" s="1507" t="s">
        <v>470</v>
      </c>
      <c r="B180" s="1508"/>
      <c r="C180" s="316" t="s">
        <v>471</v>
      </c>
      <c r="D180" s="318"/>
      <c r="E180" s="318">
        <v>1369</v>
      </c>
      <c r="F180" s="315">
        <v>43826</v>
      </c>
      <c r="G180" s="319">
        <v>43826</v>
      </c>
    </row>
    <row r="181" spans="1:9" s="311" customFormat="1" ht="12" x14ac:dyDescent="0.25">
      <c r="A181" s="1505" t="s">
        <v>472</v>
      </c>
      <c r="B181" s="1506"/>
      <c r="C181" s="312" t="s">
        <v>473</v>
      </c>
      <c r="D181" s="314">
        <v>1000</v>
      </c>
      <c r="E181" s="314"/>
      <c r="F181" s="315">
        <v>43826</v>
      </c>
      <c r="G181" s="315">
        <v>43826</v>
      </c>
    </row>
    <row r="182" spans="1:9" s="311" customFormat="1" ht="12" x14ac:dyDescent="0.25">
      <c r="A182" s="1507" t="s">
        <v>474</v>
      </c>
      <c r="B182" s="1508"/>
      <c r="C182" s="316" t="s">
        <v>475</v>
      </c>
      <c r="D182" s="318">
        <v>1000</v>
      </c>
      <c r="E182" s="318"/>
      <c r="F182" s="315">
        <v>43826</v>
      </c>
      <c r="G182" s="319">
        <v>43826</v>
      </c>
    </row>
    <row r="183" spans="1:9" s="311" customFormat="1" ht="12" x14ac:dyDescent="0.25">
      <c r="A183" s="1507" t="s">
        <v>476</v>
      </c>
      <c r="B183" s="1508"/>
      <c r="C183" s="316" t="s">
        <v>477</v>
      </c>
      <c r="D183" s="318">
        <v>2000</v>
      </c>
      <c r="E183" s="318"/>
      <c r="F183" s="315">
        <v>43826</v>
      </c>
      <c r="G183" s="319">
        <v>43826</v>
      </c>
    </row>
    <row r="184" spans="1:9" s="8" customFormat="1" ht="11.25" customHeight="1" x14ac:dyDescent="0.2">
      <c r="A184" s="147"/>
      <c r="B184" s="148"/>
      <c r="C184" s="149"/>
      <c r="D184" s="149"/>
      <c r="E184" s="150"/>
    </row>
    <row r="185" spans="1:9" s="8" customFormat="1" ht="10.199999999999999" x14ac:dyDescent="0.2">
      <c r="A185" s="1300" t="s">
        <v>154</v>
      </c>
      <c r="B185" s="1300"/>
      <c r="C185" s="1300"/>
      <c r="D185" s="1300"/>
      <c r="E185" s="1300"/>
      <c r="F185" s="1300"/>
      <c r="G185" s="1300"/>
      <c r="H185" s="1300"/>
      <c r="I185" s="1300"/>
    </row>
    <row r="186" spans="1:9" s="8" customFormat="1" ht="10.199999999999999" x14ac:dyDescent="0.2">
      <c r="A186" s="8" t="s">
        <v>95</v>
      </c>
    </row>
    <row r="187" spans="1:9" s="8" customFormat="1" ht="10.199999999999999" x14ac:dyDescent="0.2">
      <c r="A187" s="1297" t="s">
        <v>478</v>
      </c>
      <c r="B187" s="1298"/>
      <c r="C187" s="1298"/>
      <c r="D187" s="1298"/>
      <c r="E187" s="1298"/>
      <c r="F187" s="1298"/>
      <c r="G187" s="1298"/>
      <c r="H187" s="1298"/>
      <c r="I187" s="1299"/>
    </row>
    <row r="188" spans="1:9" s="8" customFormat="1" ht="10.199999999999999" x14ac:dyDescent="0.2"/>
    <row r="189" spans="1:9" s="8" customFormat="1" ht="0.75" customHeight="1" x14ac:dyDescent="0.2">
      <c r="A189" s="1297"/>
      <c r="B189" s="1298"/>
      <c r="C189" s="1298"/>
      <c r="D189" s="1298"/>
      <c r="E189" s="1298"/>
      <c r="F189" s="1298"/>
      <c r="G189" s="1298"/>
      <c r="H189" s="1298"/>
      <c r="I189" s="1299"/>
    </row>
    <row r="190" spans="1:9" s="8" customFormat="1" ht="10.199999999999999" hidden="1" x14ac:dyDescent="0.2"/>
    <row r="191" spans="1:9" s="7" customFormat="1" ht="10.199999999999999" x14ac:dyDescent="0.2">
      <c r="A191" s="1248" t="s">
        <v>156</v>
      </c>
      <c r="B191" s="1248"/>
      <c r="C191" s="1248"/>
      <c r="D191" s="1248"/>
      <c r="E191" s="1248"/>
      <c r="F191" s="1248"/>
      <c r="G191" s="1248"/>
      <c r="H191" s="1248"/>
      <c r="I191" s="1248"/>
    </row>
    <row r="192" spans="1:9" s="8" customFormat="1" ht="10.199999999999999" x14ac:dyDescent="0.2">
      <c r="A192" s="8" t="s">
        <v>95</v>
      </c>
    </row>
    <row r="193" spans="1:9" s="8" customFormat="1" ht="18.75" customHeight="1" x14ac:dyDescent="0.2">
      <c r="A193" s="1297"/>
      <c r="B193" s="1298"/>
      <c r="C193" s="1298"/>
      <c r="D193" s="1298"/>
      <c r="E193" s="1298"/>
      <c r="F193" s="1298"/>
      <c r="G193" s="1298"/>
      <c r="H193" s="1298"/>
      <c r="I193" s="1299"/>
    </row>
    <row r="195" spans="1:9" x14ac:dyDescent="0.25">
      <c r="A195" s="8" t="s">
        <v>479</v>
      </c>
    </row>
    <row r="196" spans="1:9" x14ac:dyDescent="0.25">
      <c r="A196" s="322" t="s">
        <v>480</v>
      </c>
    </row>
    <row r="197" spans="1:9" x14ac:dyDescent="0.25">
      <c r="A197" s="26"/>
    </row>
  </sheetData>
  <mergeCells count="171">
    <mergeCell ref="A8:B8"/>
    <mergeCell ref="D8:I8"/>
    <mergeCell ref="A9:B9"/>
    <mergeCell ref="D9:I9"/>
    <mergeCell ref="A11:I11"/>
    <mergeCell ref="A15:A17"/>
    <mergeCell ref="A3:I3"/>
    <mergeCell ref="A5:B5"/>
    <mergeCell ref="D5:I5"/>
    <mergeCell ref="A6:B6"/>
    <mergeCell ref="D6:I6"/>
    <mergeCell ref="A7:B7"/>
    <mergeCell ref="D7:I7"/>
    <mergeCell ref="F27:I27"/>
    <mergeCell ref="A29:I29"/>
    <mergeCell ref="D31:I31"/>
    <mergeCell ref="D32:I34"/>
    <mergeCell ref="C35:I35"/>
    <mergeCell ref="A37:I37"/>
    <mergeCell ref="A20:I20"/>
    <mergeCell ref="F22:I22"/>
    <mergeCell ref="F23:I23"/>
    <mergeCell ref="F24:I24"/>
    <mergeCell ref="F25:I25"/>
    <mergeCell ref="F26:I26"/>
    <mergeCell ref="C47:I47"/>
    <mergeCell ref="C48:I48"/>
    <mergeCell ref="C49:I49"/>
    <mergeCell ref="C50:I50"/>
    <mergeCell ref="C51:I51"/>
    <mergeCell ref="A53:I53"/>
    <mergeCell ref="D39:I39"/>
    <mergeCell ref="D40:I40"/>
    <mergeCell ref="D41:I41"/>
    <mergeCell ref="D42:I42"/>
    <mergeCell ref="C43:I43"/>
    <mergeCell ref="A45:I45"/>
    <mergeCell ref="A61:B61"/>
    <mergeCell ref="A62:B62"/>
    <mergeCell ref="A63:B63"/>
    <mergeCell ref="A64:B64"/>
    <mergeCell ref="A65:B65"/>
    <mergeCell ref="A66:B66"/>
    <mergeCell ref="A55:B55"/>
    <mergeCell ref="A56:B56"/>
    <mergeCell ref="A57:B57"/>
    <mergeCell ref="A58:B58"/>
    <mergeCell ref="A59:B59"/>
    <mergeCell ref="A60:B60"/>
    <mergeCell ref="A73:B73"/>
    <mergeCell ref="A74:B74"/>
    <mergeCell ref="A75:B75"/>
    <mergeCell ref="A76:B76"/>
    <mergeCell ref="A77:B77"/>
    <mergeCell ref="A78:B78"/>
    <mergeCell ref="A67:B67"/>
    <mergeCell ref="A68:B68"/>
    <mergeCell ref="A69:B69"/>
    <mergeCell ref="A70:B70"/>
    <mergeCell ref="A71:B71"/>
    <mergeCell ref="A72:B72"/>
    <mergeCell ref="A85:B85"/>
    <mergeCell ref="A86:B86"/>
    <mergeCell ref="A87:B87"/>
    <mergeCell ref="A88:B88"/>
    <mergeCell ref="A89:B89"/>
    <mergeCell ref="A90:B90"/>
    <mergeCell ref="A79:B79"/>
    <mergeCell ref="A80:B80"/>
    <mergeCell ref="A81:B81"/>
    <mergeCell ref="A82:B82"/>
    <mergeCell ref="A83:B83"/>
    <mergeCell ref="A84:B84"/>
    <mergeCell ref="A97:B97"/>
    <mergeCell ref="A98:B98"/>
    <mergeCell ref="A99:B99"/>
    <mergeCell ref="A100:B100"/>
    <mergeCell ref="A101:B101"/>
    <mergeCell ref="A102:B102"/>
    <mergeCell ref="A91:B91"/>
    <mergeCell ref="A92:B92"/>
    <mergeCell ref="A93:B93"/>
    <mergeCell ref="A94:B94"/>
    <mergeCell ref="A95:B95"/>
    <mergeCell ref="A96:B96"/>
    <mergeCell ref="A109:B109"/>
    <mergeCell ref="A110:B110"/>
    <mergeCell ref="A111:B111"/>
    <mergeCell ref="A112:B112"/>
    <mergeCell ref="A113:B113"/>
    <mergeCell ref="A114:B114"/>
    <mergeCell ref="A103:B103"/>
    <mergeCell ref="A104:B104"/>
    <mergeCell ref="A105:B105"/>
    <mergeCell ref="A106:B106"/>
    <mergeCell ref="A107:B107"/>
    <mergeCell ref="A108:B108"/>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33:B133"/>
    <mergeCell ref="A134:B134"/>
    <mergeCell ref="A135:B135"/>
    <mergeCell ref="A136:B136"/>
    <mergeCell ref="A137:B137"/>
    <mergeCell ref="A138:B138"/>
    <mergeCell ref="A127:B127"/>
    <mergeCell ref="A128:B128"/>
    <mergeCell ref="A129:B129"/>
    <mergeCell ref="A130:B130"/>
    <mergeCell ref="A131:B131"/>
    <mergeCell ref="A132:B132"/>
    <mergeCell ref="A145:B145"/>
    <mergeCell ref="A146:B146"/>
    <mergeCell ref="A147:B147"/>
    <mergeCell ref="A148:B148"/>
    <mergeCell ref="A149:B149"/>
    <mergeCell ref="A150:B150"/>
    <mergeCell ref="A139:B139"/>
    <mergeCell ref="A140:B140"/>
    <mergeCell ref="A141:B141"/>
    <mergeCell ref="A142:B142"/>
    <mergeCell ref="A143:B143"/>
    <mergeCell ref="A144:B144"/>
    <mergeCell ref="A157:B157"/>
    <mergeCell ref="A158:B158"/>
    <mergeCell ref="A159:B159"/>
    <mergeCell ref="A160:B160"/>
    <mergeCell ref="A161:B161"/>
    <mergeCell ref="A162:B162"/>
    <mergeCell ref="A151:B151"/>
    <mergeCell ref="A152:B152"/>
    <mergeCell ref="A153:B153"/>
    <mergeCell ref="A154:B154"/>
    <mergeCell ref="A155:B155"/>
    <mergeCell ref="A156:B156"/>
    <mergeCell ref="A169:B169"/>
    <mergeCell ref="A170:B170"/>
    <mergeCell ref="A171:B171"/>
    <mergeCell ref="A172:B172"/>
    <mergeCell ref="A173:B173"/>
    <mergeCell ref="A174:B174"/>
    <mergeCell ref="A163:B163"/>
    <mergeCell ref="A164:B164"/>
    <mergeCell ref="A165:B165"/>
    <mergeCell ref="A166:B166"/>
    <mergeCell ref="A167:B167"/>
    <mergeCell ref="A168:B168"/>
    <mergeCell ref="A191:I191"/>
    <mergeCell ref="A193:I193"/>
    <mergeCell ref="A181:B181"/>
    <mergeCell ref="A182:B182"/>
    <mergeCell ref="A183:B183"/>
    <mergeCell ref="A185:I185"/>
    <mergeCell ref="A187:I187"/>
    <mergeCell ref="A189:I189"/>
    <mergeCell ref="A175:B175"/>
    <mergeCell ref="A176:B176"/>
    <mergeCell ref="A177:B177"/>
    <mergeCell ref="A178:B178"/>
    <mergeCell ref="A179:B179"/>
    <mergeCell ref="A180:B180"/>
  </mergeCells>
  <pageMargins left="0.70866141732283472" right="0.70866141732283472" top="0.78740157480314965" bottom="0.78740157480314965" header="0.31496062992125984" footer="0.31496062992125984"/>
  <pageSetup paperSize="9" scale="86" firstPageNumber="162" fitToHeight="7" orientation="landscape" useFirstPageNumber="1"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Y34" sqref="Y34"/>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481</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61087530</v>
      </c>
      <c r="F6" s="52">
        <f>SUM(F7:F9)</f>
        <v>69209440</v>
      </c>
      <c r="G6" s="52">
        <f>SUM(G7:G9)</f>
        <v>69178391</v>
      </c>
      <c r="H6" s="4">
        <f t="shared" ref="H6:H36" si="0">G6/F6*100</f>
        <v>99.955137622844518</v>
      </c>
      <c r="I6" s="53">
        <f>SUM(I7:I9)</f>
        <v>61324292</v>
      </c>
      <c r="J6" s="52">
        <f>SUM(J7:J9)</f>
        <v>14034110</v>
      </c>
      <c r="K6" s="52">
        <f t="shared" ref="K6:V6" si="1">SUM(K7:K9)</f>
        <v>16972038</v>
      </c>
      <c r="L6" s="52">
        <f t="shared" si="1"/>
        <v>16940989</v>
      </c>
      <c r="M6" s="4">
        <f t="shared" ref="M6:M36" si="2">L6/K6*100</f>
        <v>99.817057916085275</v>
      </c>
      <c r="N6" s="52">
        <f t="shared" ref="N6" si="3">SUM(N7:N9)</f>
        <v>17163843</v>
      </c>
      <c r="O6" s="52">
        <f t="shared" si="1"/>
        <v>47053420</v>
      </c>
      <c r="P6" s="52">
        <f t="shared" si="1"/>
        <v>52237402</v>
      </c>
      <c r="Q6" s="52">
        <f t="shared" si="1"/>
        <v>52237402</v>
      </c>
      <c r="R6" s="4">
        <f t="shared" ref="R6:R36" si="4">Q6/P6*100</f>
        <v>100</v>
      </c>
      <c r="S6" s="52">
        <f t="shared" ref="S6" si="5">SUM(S7:S9)</f>
        <v>44160449</v>
      </c>
      <c r="T6" s="52">
        <f t="shared" si="1"/>
        <v>249000</v>
      </c>
      <c r="U6" s="52">
        <f t="shared" si="1"/>
        <v>249000</v>
      </c>
      <c r="V6" s="52">
        <f t="shared" si="1"/>
        <v>358766</v>
      </c>
      <c r="W6" s="4">
        <f t="shared" ref="W6:W36" si="6">V6/U6*100</f>
        <v>144.08273092369478</v>
      </c>
      <c r="X6" s="52">
        <f t="shared" ref="X6" si="7">SUM(X7:X9)</f>
        <v>306133</v>
      </c>
    </row>
    <row r="7" spans="1:24" s="34" customFormat="1" x14ac:dyDescent="0.15">
      <c r="A7" s="55" t="s">
        <v>2</v>
      </c>
      <c r="B7" s="1233" t="s">
        <v>46</v>
      </c>
      <c r="C7" s="1233"/>
      <c r="D7" s="50" t="s">
        <v>25</v>
      </c>
      <c r="E7" s="56">
        <f t="shared" ref="E7:G10" si="8">SUM(J7,O7)</f>
        <v>5988000</v>
      </c>
      <c r="F7" s="57">
        <f t="shared" si="8"/>
        <v>6927774</v>
      </c>
      <c r="G7" s="57">
        <f t="shared" si="8"/>
        <v>6925292</v>
      </c>
      <c r="H7" s="58">
        <f t="shared" si="0"/>
        <v>99.964173196181051</v>
      </c>
      <c r="I7" s="59">
        <f>SUM(N7,S7)</f>
        <v>6622452</v>
      </c>
      <c r="J7" s="164">
        <v>5988000</v>
      </c>
      <c r="K7" s="61">
        <v>6927774</v>
      </c>
      <c r="L7" s="61">
        <v>6925292</v>
      </c>
      <c r="M7" s="58">
        <f t="shared" si="2"/>
        <v>99.964173196181051</v>
      </c>
      <c r="N7" s="61">
        <v>6622452</v>
      </c>
      <c r="O7" s="61"/>
      <c r="P7" s="61"/>
      <c r="Q7" s="61"/>
      <c r="R7" s="58" t="e">
        <f t="shared" si="4"/>
        <v>#DIV/0!</v>
      </c>
      <c r="S7" s="61"/>
      <c r="T7" s="416">
        <v>249000</v>
      </c>
      <c r="U7" s="61">
        <v>249000</v>
      </c>
      <c r="V7" s="61">
        <v>358766</v>
      </c>
      <c r="W7" s="58">
        <f t="shared" si="6"/>
        <v>144.08273092369478</v>
      </c>
      <c r="X7" s="61">
        <v>306133</v>
      </c>
    </row>
    <row r="8" spans="1:24" s="34" customFormat="1" x14ac:dyDescent="0.15">
      <c r="A8" s="63" t="s">
        <v>3</v>
      </c>
      <c r="B8" s="1237" t="s">
        <v>47</v>
      </c>
      <c r="C8" s="1237"/>
      <c r="D8" s="50" t="s">
        <v>25</v>
      </c>
      <c r="E8" s="56">
        <f t="shared" si="8"/>
        <v>900</v>
      </c>
      <c r="F8" s="57">
        <f t="shared" si="8"/>
        <v>900</v>
      </c>
      <c r="G8" s="57">
        <f t="shared" si="8"/>
        <v>2301</v>
      </c>
      <c r="H8" s="58">
        <f t="shared" si="0"/>
        <v>255.66666666666666</v>
      </c>
      <c r="I8" s="59">
        <f>SUM(N8,S8)</f>
        <v>2101</v>
      </c>
      <c r="J8" s="166">
        <v>900</v>
      </c>
      <c r="K8" s="57">
        <v>900</v>
      </c>
      <c r="L8" s="57">
        <v>2301</v>
      </c>
      <c r="M8" s="58">
        <f t="shared" si="2"/>
        <v>255.66666666666666</v>
      </c>
      <c r="N8" s="57">
        <v>2101</v>
      </c>
      <c r="O8" s="57"/>
      <c r="P8" s="57"/>
      <c r="Q8" s="57"/>
      <c r="R8" s="58" t="e">
        <f t="shared" si="4"/>
        <v>#DIV/0!</v>
      </c>
      <c r="S8" s="57"/>
      <c r="T8" s="57"/>
      <c r="U8" s="57"/>
      <c r="V8" s="57"/>
      <c r="W8" s="58" t="e">
        <f t="shared" si="6"/>
        <v>#DIV/0!</v>
      </c>
      <c r="X8" s="57"/>
    </row>
    <row r="9" spans="1:24" s="34" customFormat="1" ht="8.4" x14ac:dyDescent="0.2">
      <c r="A9" s="63" t="s">
        <v>4</v>
      </c>
      <c r="B9" s="66" t="s">
        <v>62</v>
      </c>
      <c r="C9" s="67"/>
      <c r="D9" s="50" t="s">
        <v>25</v>
      </c>
      <c r="E9" s="56">
        <f t="shared" si="8"/>
        <v>55098630</v>
      </c>
      <c r="F9" s="57">
        <f t="shared" si="8"/>
        <v>62280766</v>
      </c>
      <c r="G9" s="57">
        <f t="shared" si="8"/>
        <v>62250798</v>
      </c>
      <c r="H9" s="58">
        <f t="shared" si="0"/>
        <v>99.951882415832841</v>
      </c>
      <c r="I9" s="59">
        <f>SUM(N9,S9)</f>
        <v>54699739</v>
      </c>
      <c r="J9" s="166">
        <v>8045210</v>
      </c>
      <c r="K9" s="57">
        <v>10043364</v>
      </c>
      <c r="L9" s="57">
        <v>10013396</v>
      </c>
      <c r="M9" s="58">
        <f t="shared" si="2"/>
        <v>99.701613921391271</v>
      </c>
      <c r="N9" s="57">
        <v>10539290</v>
      </c>
      <c r="O9" s="57">
        <v>47053420</v>
      </c>
      <c r="P9" s="57">
        <v>52237402</v>
      </c>
      <c r="Q9" s="57">
        <v>52237402</v>
      </c>
      <c r="R9" s="58">
        <f t="shared" si="4"/>
        <v>100</v>
      </c>
      <c r="S9" s="57">
        <v>44160449</v>
      </c>
      <c r="T9" s="57"/>
      <c r="U9" s="57"/>
      <c r="V9" s="57"/>
      <c r="W9" s="58" t="e">
        <f t="shared" si="6"/>
        <v>#DIV/0!</v>
      </c>
      <c r="X9" s="57"/>
    </row>
    <row r="10" spans="1:24" s="34" customFormat="1" x14ac:dyDescent="0.15">
      <c r="A10" s="49" t="s">
        <v>5</v>
      </c>
      <c r="B10" s="1236" t="s">
        <v>7</v>
      </c>
      <c r="C10" s="1236"/>
      <c r="D10" s="50" t="s">
        <v>25</v>
      </c>
      <c r="E10" s="68">
        <f t="shared" si="8"/>
        <v>0</v>
      </c>
      <c r="F10" s="69">
        <f t="shared" si="8"/>
        <v>0</v>
      </c>
      <c r="G10" s="69">
        <f t="shared" si="8"/>
        <v>0</v>
      </c>
      <c r="H10" s="4" t="e">
        <f t="shared" si="0"/>
        <v>#DIV/0!</v>
      </c>
      <c r="I10" s="70">
        <f>SUM(N10,S10)</f>
        <v>292820</v>
      </c>
      <c r="J10" s="167">
        <v>0</v>
      </c>
      <c r="K10" s="69">
        <v>0</v>
      </c>
      <c r="L10" s="69">
        <v>0</v>
      </c>
      <c r="M10" s="4" t="e">
        <f t="shared" si="2"/>
        <v>#DIV/0!</v>
      </c>
      <c r="N10" s="69">
        <v>292820</v>
      </c>
      <c r="O10" s="69">
        <v>0</v>
      </c>
      <c r="P10" s="69">
        <v>0</v>
      </c>
      <c r="Q10" s="69">
        <v>0</v>
      </c>
      <c r="R10" s="4" t="e">
        <f t="shared" si="4"/>
        <v>#DIV/0!</v>
      </c>
      <c r="S10" s="69"/>
      <c r="T10" s="69"/>
      <c r="U10" s="69"/>
      <c r="V10" s="69"/>
      <c r="W10" s="4" t="e">
        <f t="shared" si="6"/>
        <v>#DIV/0!</v>
      </c>
      <c r="X10" s="69"/>
    </row>
    <row r="11" spans="1:24" s="34" customFormat="1" x14ac:dyDescent="0.15">
      <c r="A11" s="49" t="s">
        <v>6</v>
      </c>
      <c r="B11" s="1236" t="s">
        <v>9</v>
      </c>
      <c r="C11" s="1236"/>
      <c r="D11" s="50" t="s">
        <v>25</v>
      </c>
      <c r="E11" s="51">
        <f>SUM(E12:E31)</f>
        <v>61087530</v>
      </c>
      <c r="F11" s="52">
        <f>SUM(F12:F31)</f>
        <v>69209440.00999999</v>
      </c>
      <c r="G11" s="52">
        <f>SUM(G12:G31)</f>
        <v>69121220</v>
      </c>
      <c r="H11" s="4">
        <f t="shared" si="0"/>
        <v>99.872531825156742</v>
      </c>
      <c r="I11" s="53">
        <f>SUM(I12:I31)</f>
        <v>61248815</v>
      </c>
      <c r="J11" s="52">
        <f>SUM(J12:J32)</f>
        <v>14034110</v>
      </c>
      <c r="K11" s="52">
        <f>SUM(K12:K31)</f>
        <v>16972038.009999998</v>
      </c>
      <c r="L11" s="52">
        <f>SUM(L12:L31)</f>
        <v>16883818</v>
      </c>
      <c r="M11" s="4">
        <f t="shared" si="2"/>
        <v>99.480203791978212</v>
      </c>
      <c r="N11" s="52">
        <f>SUM(N12:N31)</f>
        <v>17088366</v>
      </c>
      <c r="O11" s="52">
        <f>SUM(O12:O32)</f>
        <v>47053420</v>
      </c>
      <c r="P11" s="52">
        <f>SUM(P12:P31)</f>
        <v>52237402</v>
      </c>
      <c r="Q11" s="52">
        <f>SUM(Q12:Q32)</f>
        <v>52237402</v>
      </c>
      <c r="R11" s="4">
        <f t="shared" si="4"/>
        <v>100</v>
      </c>
      <c r="S11" s="52">
        <f>SUM(S12:S31)</f>
        <v>44160449</v>
      </c>
      <c r="T11" s="52">
        <f>SUM(T12:T31)</f>
        <v>155300</v>
      </c>
      <c r="U11" s="52">
        <f>SUM(U12:U31)</f>
        <v>155300</v>
      </c>
      <c r="V11" s="52">
        <f>SUM(V12:V31)</f>
        <v>254406</v>
      </c>
      <c r="W11" s="4">
        <f t="shared" si="6"/>
        <v>163.81584030907922</v>
      </c>
      <c r="X11" s="52">
        <f>SUM(X12:X31)</f>
        <v>159959</v>
      </c>
    </row>
    <row r="12" spans="1:24" s="34" customFormat="1" x14ac:dyDescent="0.15">
      <c r="A12" s="73" t="s">
        <v>8</v>
      </c>
      <c r="B12" s="1238" t="s">
        <v>28</v>
      </c>
      <c r="C12" s="1238"/>
      <c r="D12" s="50" t="s">
        <v>25</v>
      </c>
      <c r="E12" s="56">
        <f>SUM(J12,O12)</f>
        <v>6736787</v>
      </c>
      <c r="F12" s="57">
        <f t="shared" ref="E12:I28" si="9">SUM(K12,P12)</f>
        <v>7632260</v>
      </c>
      <c r="G12" s="57">
        <f t="shared" si="9"/>
        <v>7623891</v>
      </c>
      <c r="H12" s="58">
        <f t="shared" si="0"/>
        <v>99.890347026961862</v>
      </c>
      <c r="I12" s="59">
        <f t="shared" si="9"/>
        <v>7874194</v>
      </c>
      <c r="J12" s="168">
        <v>6430087</v>
      </c>
      <c r="K12" s="75">
        <v>7383760</v>
      </c>
      <c r="L12" s="75">
        <v>7375690</v>
      </c>
      <c r="M12" s="58">
        <f t="shared" si="2"/>
        <v>99.890706090122109</v>
      </c>
      <c r="N12" s="75">
        <v>7546167</v>
      </c>
      <c r="O12" s="75">
        <v>306700</v>
      </c>
      <c r="P12" s="75">
        <v>248500</v>
      </c>
      <c r="Q12" s="75">
        <v>248201</v>
      </c>
      <c r="R12" s="58">
        <f t="shared" si="4"/>
        <v>99.879678068410456</v>
      </c>
      <c r="S12" s="75">
        <v>328027</v>
      </c>
      <c r="T12" s="75">
        <v>69400</v>
      </c>
      <c r="U12" s="75">
        <v>69400</v>
      </c>
      <c r="V12" s="75">
        <v>74688</v>
      </c>
      <c r="W12" s="58">
        <f t="shared" si="6"/>
        <v>107.61959654178675</v>
      </c>
      <c r="X12" s="75">
        <v>70820</v>
      </c>
    </row>
    <row r="13" spans="1:24" s="34" customFormat="1" x14ac:dyDescent="0.15">
      <c r="A13" s="55" t="s">
        <v>10</v>
      </c>
      <c r="B13" s="1233" t="s">
        <v>29</v>
      </c>
      <c r="C13" s="1233"/>
      <c r="D13" s="50" t="s">
        <v>25</v>
      </c>
      <c r="E13" s="56">
        <f t="shared" si="9"/>
        <v>3256000</v>
      </c>
      <c r="F13" s="57">
        <f t="shared" si="9"/>
        <v>2821000</v>
      </c>
      <c r="G13" s="57">
        <f t="shared" si="9"/>
        <v>2791999</v>
      </c>
      <c r="H13" s="58">
        <f t="shared" si="0"/>
        <v>98.971960297766742</v>
      </c>
      <c r="I13" s="59">
        <f t="shared" si="9"/>
        <v>2009437</v>
      </c>
      <c r="J13" s="168">
        <v>3256000</v>
      </c>
      <c r="K13" s="57">
        <v>2821000</v>
      </c>
      <c r="L13" s="57">
        <v>2791999</v>
      </c>
      <c r="M13" s="58">
        <f t="shared" si="2"/>
        <v>98.971960297766742</v>
      </c>
      <c r="N13" s="57">
        <v>2009437</v>
      </c>
      <c r="O13" s="57"/>
      <c r="P13" s="57"/>
      <c r="Q13" s="57"/>
      <c r="R13" s="58" t="e">
        <f t="shared" si="4"/>
        <v>#DIV/0!</v>
      </c>
      <c r="S13" s="57"/>
      <c r="T13" s="417">
        <v>32500</v>
      </c>
      <c r="U13" s="57">
        <v>32500</v>
      </c>
      <c r="V13" s="57">
        <v>42042</v>
      </c>
      <c r="W13" s="58">
        <f t="shared" si="6"/>
        <v>129.36000000000001</v>
      </c>
      <c r="X13" s="57">
        <v>11357</v>
      </c>
    </row>
    <row r="14" spans="1:24" s="34" customFormat="1" x14ac:dyDescent="0.15">
      <c r="A14" s="55" t="s">
        <v>11</v>
      </c>
      <c r="B14" s="76" t="s">
        <v>63</v>
      </c>
      <c r="C14" s="76"/>
      <c r="D14" s="50" t="s">
        <v>25</v>
      </c>
      <c r="E14" s="56">
        <f t="shared" si="9"/>
        <v>0</v>
      </c>
      <c r="F14" s="57">
        <f t="shared" si="9"/>
        <v>0</v>
      </c>
      <c r="G14" s="57">
        <f t="shared" si="9"/>
        <v>0</v>
      </c>
      <c r="H14" s="58" t="e">
        <f t="shared" si="0"/>
        <v>#DIV/0!</v>
      </c>
      <c r="I14" s="59">
        <f t="shared" si="9"/>
        <v>0</v>
      </c>
      <c r="J14" s="168"/>
      <c r="K14" s="57"/>
      <c r="L14" s="57"/>
      <c r="M14" s="58" t="e">
        <f t="shared" si="2"/>
        <v>#DIV/0!</v>
      </c>
      <c r="N14" s="57"/>
      <c r="O14" s="57"/>
      <c r="P14" s="57"/>
      <c r="Q14" s="57"/>
      <c r="R14" s="58" t="e">
        <f t="shared" si="4"/>
        <v>#DIV/0!</v>
      </c>
      <c r="S14" s="57"/>
      <c r="T14" s="57"/>
      <c r="U14" s="57"/>
      <c r="V14" s="57"/>
      <c r="W14" s="58" t="e">
        <f t="shared" si="6"/>
        <v>#DIV/0!</v>
      </c>
      <c r="X14" s="57"/>
    </row>
    <row r="15" spans="1:24" s="34" customFormat="1" x14ac:dyDescent="0.15">
      <c r="A15" s="55" t="s">
        <v>12</v>
      </c>
      <c r="B15" s="1233" t="s">
        <v>64</v>
      </c>
      <c r="C15" s="1233"/>
      <c r="D15" s="50" t="s">
        <v>25</v>
      </c>
      <c r="E15" s="56">
        <f t="shared" si="9"/>
        <v>1145000</v>
      </c>
      <c r="F15" s="57">
        <f t="shared" si="9"/>
        <v>2729416</v>
      </c>
      <c r="G15" s="57">
        <f t="shared" si="9"/>
        <v>2724144</v>
      </c>
      <c r="H15" s="58">
        <f t="shared" si="0"/>
        <v>99.806845127309288</v>
      </c>
      <c r="I15" s="59">
        <f t="shared" si="9"/>
        <v>2993739</v>
      </c>
      <c r="J15" s="168">
        <v>1145000</v>
      </c>
      <c r="K15" s="57">
        <v>2729416</v>
      </c>
      <c r="L15" s="57">
        <v>2724144</v>
      </c>
      <c r="M15" s="58">
        <f t="shared" si="2"/>
        <v>99.806845127309288</v>
      </c>
      <c r="N15" s="57">
        <v>2993739</v>
      </c>
      <c r="O15" s="57"/>
      <c r="P15" s="57"/>
      <c r="Q15" s="57"/>
      <c r="R15" s="58" t="e">
        <f t="shared" si="4"/>
        <v>#DIV/0!</v>
      </c>
      <c r="S15" s="57"/>
      <c r="T15" s="57">
        <v>1600</v>
      </c>
      <c r="U15" s="57">
        <v>1600</v>
      </c>
      <c r="V15" s="57">
        <v>27758</v>
      </c>
      <c r="W15" s="58">
        <f t="shared" si="6"/>
        <v>1734.875</v>
      </c>
      <c r="X15" s="57">
        <v>4438</v>
      </c>
    </row>
    <row r="16" spans="1:24" s="34" customFormat="1" x14ac:dyDescent="0.15">
      <c r="A16" s="55" t="s">
        <v>13</v>
      </c>
      <c r="B16" s="1233" t="s">
        <v>30</v>
      </c>
      <c r="C16" s="1233"/>
      <c r="D16" s="50" t="s">
        <v>25</v>
      </c>
      <c r="E16" s="56">
        <f t="shared" si="9"/>
        <v>57600</v>
      </c>
      <c r="F16" s="57">
        <f t="shared" si="9"/>
        <v>75600</v>
      </c>
      <c r="G16" s="57">
        <f t="shared" si="9"/>
        <v>75568</v>
      </c>
      <c r="H16" s="58">
        <f t="shared" si="0"/>
        <v>99.957671957671963</v>
      </c>
      <c r="I16" s="59">
        <f t="shared" si="9"/>
        <v>65009</v>
      </c>
      <c r="J16" s="168">
        <v>7600</v>
      </c>
      <c r="K16" s="57">
        <v>7600</v>
      </c>
      <c r="L16" s="57">
        <v>7332</v>
      </c>
      <c r="M16" s="58">
        <f t="shared" si="2"/>
        <v>96.473684210526315</v>
      </c>
      <c r="N16" s="57">
        <v>6457</v>
      </c>
      <c r="O16" s="57">
        <v>50000</v>
      </c>
      <c r="P16" s="57">
        <v>68000</v>
      </c>
      <c r="Q16" s="57">
        <v>68236</v>
      </c>
      <c r="R16" s="58">
        <f t="shared" si="4"/>
        <v>100.34705882352941</v>
      </c>
      <c r="S16" s="57">
        <v>58552</v>
      </c>
      <c r="T16" s="57"/>
      <c r="U16" s="57"/>
      <c r="V16" s="57"/>
      <c r="W16" s="58" t="e">
        <f t="shared" si="6"/>
        <v>#DIV/0!</v>
      </c>
      <c r="X16" s="57"/>
    </row>
    <row r="17" spans="1:24" s="34" customFormat="1" x14ac:dyDescent="0.15">
      <c r="A17" s="55" t="s">
        <v>14</v>
      </c>
      <c r="B17" s="76" t="s">
        <v>48</v>
      </c>
      <c r="C17" s="76"/>
      <c r="D17" s="50" t="s">
        <v>25</v>
      </c>
      <c r="E17" s="56">
        <f t="shared" si="9"/>
        <v>5000</v>
      </c>
      <c r="F17" s="57">
        <f t="shared" si="9"/>
        <v>6181</v>
      </c>
      <c r="G17" s="57">
        <f t="shared" si="9"/>
        <v>5945</v>
      </c>
      <c r="H17" s="58">
        <f t="shared" si="0"/>
        <v>96.181847597476136</v>
      </c>
      <c r="I17" s="59">
        <f t="shared" si="9"/>
        <v>5947</v>
      </c>
      <c r="J17" s="168">
        <v>5000</v>
      </c>
      <c r="K17" s="57">
        <v>6181</v>
      </c>
      <c r="L17" s="57">
        <v>5945</v>
      </c>
      <c r="M17" s="58">
        <f t="shared" si="2"/>
        <v>96.181847597476136</v>
      </c>
      <c r="N17" s="57">
        <v>5947</v>
      </c>
      <c r="O17" s="57"/>
      <c r="P17" s="57"/>
      <c r="Q17" s="57"/>
      <c r="R17" s="58" t="e">
        <f t="shared" si="4"/>
        <v>#DIV/0!</v>
      </c>
      <c r="S17" s="57"/>
      <c r="T17" s="57"/>
      <c r="U17" s="57"/>
      <c r="V17" s="57"/>
      <c r="W17" s="58" t="e">
        <f t="shared" si="6"/>
        <v>#DIV/0!</v>
      </c>
      <c r="X17" s="57"/>
    </row>
    <row r="18" spans="1:24" s="34" customFormat="1" x14ac:dyDescent="0.15">
      <c r="A18" s="55" t="s">
        <v>15</v>
      </c>
      <c r="B18" s="1233" t="s">
        <v>31</v>
      </c>
      <c r="C18" s="1233"/>
      <c r="D18" s="50" t="s">
        <v>25</v>
      </c>
      <c r="E18" s="56">
        <f t="shared" si="9"/>
        <v>818310</v>
      </c>
      <c r="F18" s="57">
        <f t="shared" si="9"/>
        <v>977232</v>
      </c>
      <c r="G18" s="57">
        <f t="shared" si="9"/>
        <v>1017874</v>
      </c>
      <c r="H18" s="58">
        <f t="shared" si="0"/>
        <v>104.15888959837582</v>
      </c>
      <c r="I18" s="59">
        <f t="shared" si="9"/>
        <v>992304</v>
      </c>
      <c r="J18" s="168">
        <v>678310</v>
      </c>
      <c r="K18" s="57">
        <v>737232</v>
      </c>
      <c r="L18" s="57">
        <v>730374</v>
      </c>
      <c r="M18" s="58">
        <f t="shared" si="2"/>
        <v>99.06976365648805</v>
      </c>
      <c r="N18" s="57">
        <v>681025</v>
      </c>
      <c r="O18" s="57">
        <v>140000</v>
      </c>
      <c r="P18" s="57">
        <v>240000</v>
      </c>
      <c r="Q18" s="57">
        <v>287500</v>
      </c>
      <c r="R18" s="58">
        <f t="shared" si="4"/>
        <v>119.79166666666667</v>
      </c>
      <c r="S18" s="57">
        <v>311279</v>
      </c>
      <c r="T18" s="57">
        <v>5100</v>
      </c>
      <c r="U18" s="57">
        <v>5100</v>
      </c>
      <c r="V18" s="57">
        <v>20955</v>
      </c>
      <c r="W18" s="58">
        <f t="shared" si="6"/>
        <v>410.88235294117641</v>
      </c>
      <c r="X18" s="57">
        <v>5558</v>
      </c>
    </row>
    <row r="19" spans="1:24" s="37" customFormat="1" x14ac:dyDescent="0.15">
      <c r="A19" s="55" t="s">
        <v>16</v>
      </c>
      <c r="B19" s="1233" t="s">
        <v>32</v>
      </c>
      <c r="C19" s="1233"/>
      <c r="D19" s="50" t="s">
        <v>25</v>
      </c>
      <c r="E19" s="56">
        <f t="shared" si="9"/>
        <v>34604505</v>
      </c>
      <c r="F19" s="57">
        <f t="shared" si="9"/>
        <v>38228246</v>
      </c>
      <c r="G19" s="57">
        <f t="shared" si="9"/>
        <v>38226911</v>
      </c>
      <c r="H19" s="58">
        <f t="shared" si="0"/>
        <v>99.996507817805707</v>
      </c>
      <c r="I19" s="59">
        <f t="shared" si="9"/>
        <v>32378485</v>
      </c>
      <c r="J19" s="169">
        <v>493205</v>
      </c>
      <c r="K19" s="57">
        <v>526805</v>
      </c>
      <c r="L19" s="57">
        <v>525470</v>
      </c>
      <c r="M19" s="58">
        <f t="shared" si="2"/>
        <v>99.746585548732455</v>
      </c>
      <c r="N19" s="57">
        <v>529190</v>
      </c>
      <c r="O19" s="57">
        <v>34111300</v>
      </c>
      <c r="P19" s="57">
        <v>37701441</v>
      </c>
      <c r="Q19" s="57">
        <v>37701441</v>
      </c>
      <c r="R19" s="58">
        <f t="shared" si="4"/>
        <v>100</v>
      </c>
      <c r="S19" s="57">
        <v>31849295</v>
      </c>
      <c r="T19" s="78">
        <v>32200</v>
      </c>
      <c r="U19" s="78">
        <v>32200</v>
      </c>
      <c r="V19" s="78">
        <v>48800</v>
      </c>
      <c r="W19" s="58">
        <f t="shared" si="6"/>
        <v>151.55279503105589</v>
      </c>
      <c r="X19" s="78">
        <v>45526</v>
      </c>
    </row>
    <row r="20" spans="1:24" s="34" customFormat="1" x14ac:dyDescent="0.15">
      <c r="A20" s="55" t="s">
        <v>17</v>
      </c>
      <c r="B20" s="1233" t="s">
        <v>49</v>
      </c>
      <c r="C20" s="1233"/>
      <c r="D20" s="50" t="s">
        <v>25</v>
      </c>
      <c r="E20" s="56">
        <f t="shared" si="9"/>
        <v>11807020</v>
      </c>
      <c r="F20" s="57">
        <f t="shared" si="9"/>
        <v>12934605</v>
      </c>
      <c r="G20" s="57">
        <f t="shared" si="9"/>
        <v>12933429</v>
      </c>
      <c r="H20" s="58">
        <f t="shared" si="0"/>
        <v>99.990908110452537</v>
      </c>
      <c r="I20" s="59">
        <f t="shared" si="9"/>
        <v>10910290</v>
      </c>
      <c r="J20" s="168">
        <v>130600</v>
      </c>
      <c r="K20" s="57">
        <v>137600</v>
      </c>
      <c r="L20" s="57">
        <v>136424</v>
      </c>
      <c r="M20" s="58">
        <f t="shared" si="2"/>
        <v>99.145348837209298</v>
      </c>
      <c r="N20" s="57">
        <v>134855</v>
      </c>
      <c r="O20" s="57">
        <v>11676420</v>
      </c>
      <c r="P20" s="57">
        <v>12797005</v>
      </c>
      <c r="Q20" s="57">
        <v>12797005</v>
      </c>
      <c r="R20" s="58">
        <f t="shared" si="4"/>
        <v>100</v>
      </c>
      <c r="S20" s="57">
        <v>10775435</v>
      </c>
      <c r="T20" s="57">
        <v>11500</v>
      </c>
      <c r="U20" s="57">
        <v>11500</v>
      </c>
      <c r="V20" s="57">
        <v>16592</v>
      </c>
      <c r="W20" s="58">
        <f t="shared" si="6"/>
        <v>144.2782608695652</v>
      </c>
      <c r="X20" s="57">
        <v>15755</v>
      </c>
    </row>
    <row r="21" spans="1:24" s="34" customFormat="1" x14ac:dyDescent="0.15">
      <c r="A21" s="55" t="s">
        <v>18</v>
      </c>
      <c r="B21" s="1233" t="s">
        <v>50</v>
      </c>
      <c r="C21" s="1233"/>
      <c r="D21" s="50" t="s">
        <v>25</v>
      </c>
      <c r="E21" s="56">
        <f t="shared" si="9"/>
        <v>729800</v>
      </c>
      <c r="F21" s="57">
        <f t="shared" si="9"/>
        <v>801364.01</v>
      </c>
      <c r="G21" s="57">
        <f t="shared" si="9"/>
        <v>799632</v>
      </c>
      <c r="H21" s="58">
        <f t="shared" si="0"/>
        <v>99.783867259025016</v>
      </c>
      <c r="I21" s="59">
        <f t="shared" si="9"/>
        <v>673253</v>
      </c>
      <c r="J21" s="168">
        <v>10800</v>
      </c>
      <c r="K21" s="57">
        <v>20243.009999999998</v>
      </c>
      <c r="L21" s="57">
        <v>18511</v>
      </c>
      <c r="M21" s="58">
        <f t="shared" si="2"/>
        <v>91.443910762282883</v>
      </c>
      <c r="N21" s="57">
        <v>8563</v>
      </c>
      <c r="O21" s="57">
        <v>719000</v>
      </c>
      <c r="P21" s="57">
        <v>781121</v>
      </c>
      <c r="Q21" s="57">
        <v>781121</v>
      </c>
      <c r="R21" s="58">
        <f t="shared" si="4"/>
        <v>100</v>
      </c>
      <c r="S21" s="57">
        <v>664690</v>
      </c>
      <c r="T21" s="57">
        <v>500</v>
      </c>
      <c r="U21" s="57">
        <v>500</v>
      </c>
      <c r="V21" s="57">
        <v>1079</v>
      </c>
      <c r="W21" s="58">
        <f t="shared" si="6"/>
        <v>215.79999999999998</v>
      </c>
      <c r="X21" s="57">
        <v>1003</v>
      </c>
    </row>
    <row r="22" spans="1:24" s="34" customFormat="1" x14ac:dyDescent="0.15">
      <c r="A22" s="55" t="s">
        <v>19</v>
      </c>
      <c r="B22" s="1233" t="s">
        <v>65</v>
      </c>
      <c r="C22" s="1233"/>
      <c r="D22" s="50" t="s">
        <v>25</v>
      </c>
      <c r="E22" s="56">
        <f t="shared" si="9"/>
        <v>0</v>
      </c>
      <c r="F22" s="57">
        <f t="shared" si="9"/>
        <v>0</v>
      </c>
      <c r="G22" s="57">
        <f t="shared" si="9"/>
        <v>0</v>
      </c>
      <c r="H22" s="58" t="e">
        <f t="shared" si="0"/>
        <v>#DIV/0!</v>
      </c>
      <c r="I22" s="59">
        <f t="shared" si="9"/>
        <v>0</v>
      </c>
      <c r="J22" s="168"/>
      <c r="K22" s="57"/>
      <c r="L22" s="57"/>
      <c r="M22" s="58" t="e">
        <f t="shared" si="2"/>
        <v>#DIV/0!</v>
      </c>
      <c r="N22" s="57"/>
      <c r="O22" s="57"/>
      <c r="P22" s="57"/>
      <c r="Q22" s="57"/>
      <c r="R22" s="58" t="e">
        <f t="shared" si="4"/>
        <v>#DIV/0!</v>
      </c>
      <c r="S22" s="57"/>
      <c r="T22" s="57"/>
      <c r="U22" s="57"/>
      <c r="V22" s="57"/>
      <c r="W22" s="58" t="e">
        <f t="shared" si="6"/>
        <v>#DIV/0!</v>
      </c>
      <c r="X22" s="57"/>
    </row>
    <row r="23" spans="1:24" s="34" customFormat="1" x14ac:dyDescent="0.15">
      <c r="A23" s="55" t="s">
        <v>20</v>
      </c>
      <c r="B23" s="76" t="s">
        <v>66</v>
      </c>
      <c r="C23" s="76"/>
      <c r="D23" s="50" t="s">
        <v>25</v>
      </c>
      <c r="E23" s="56">
        <f t="shared" si="9"/>
        <v>0</v>
      </c>
      <c r="F23" s="57">
        <f t="shared" si="9"/>
        <v>0</v>
      </c>
      <c r="G23" s="57">
        <f t="shared" si="9"/>
        <v>0</v>
      </c>
      <c r="H23" s="58" t="e">
        <f t="shared" si="0"/>
        <v>#DIV/0!</v>
      </c>
      <c r="I23" s="59">
        <f t="shared" si="9"/>
        <v>3000</v>
      </c>
      <c r="J23" s="168"/>
      <c r="K23" s="57"/>
      <c r="L23" s="57"/>
      <c r="M23" s="58" t="e">
        <f t="shared" si="2"/>
        <v>#DIV/0!</v>
      </c>
      <c r="N23" s="57">
        <v>3000</v>
      </c>
      <c r="O23" s="57"/>
      <c r="P23" s="57"/>
      <c r="Q23" s="57"/>
      <c r="R23" s="58" t="e">
        <f t="shared" si="4"/>
        <v>#DIV/0!</v>
      </c>
      <c r="S23" s="57"/>
      <c r="T23" s="57"/>
      <c r="U23" s="57"/>
      <c r="V23" s="57"/>
      <c r="W23" s="58" t="e">
        <f t="shared" si="6"/>
        <v>#DIV/0!</v>
      </c>
      <c r="X23" s="57"/>
    </row>
    <row r="24" spans="1:24" s="34" customFormat="1" x14ac:dyDescent="0.15">
      <c r="A24" s="55" t="s">
        <v>21</v>
      </c>
      <c r="B24" s="76" t="s">
        <v>73</v>
      </c>
      <c r="C24" s="76"/>
      <c r="D24" s="50" t="s">
        <v>25</v>
      </c>
      <c r="E24" s="56">
        <f t="shared" si="9"/>
        <v>0</v>
      </c>
      <c r="F24" s="57">
        <f t="shared" si="9"/>
        <v>0</v>
      </c>
      <c r="G24" s="57">
        <f t="shared" si="9"/>
        <v>0</v>
      </c>
      <c r="H24" s="58" t="e">
        <f t="shared" si="0"/>
        <v>#DIV/0!</v>
      </c>
      <c r="I24" s="59">
        <f t="shared" si="9"/>
        <v>0</v>
      </c>
      <c r="J24" s="168"/>
      <c r="K24" s="57"/>
      <c r="L24" s="57"/>
      <c r="M24" s="58" t="e">
        <f t="shared" si="2"/>
        <v>#DIV/0!</v>
      </c>
      <c r="N24" s="57"/>
      <c r="O24" s="57"/>
      <c r="P24" s="57"/>
      <c r="Q24" s="57"/>
      <c r="R24" s="58" t="e">
        <f t="shared" si="4"/>
        <v>#DIV/0!</v>
      </c>
      <c r="S24" s="57"/>
      <c r="T24" s="57"/>
      <c r="U24" s="57"/>
      <c r="V24" s="57"/>
      <c r="W24" s="58" t="e">
        <f t="shared" si="6"/>
        <v>#DIV/0!</v>
      </c>
      <c r="X24" s="57"/>
    </row>
    <row r="25" spans="1:24" s="34" customFormat="1" x14ac:dyDescent="0.15">
      <c r="A25" s="73" t="s">
        <v>22</v>
      </c>
      <c r="B25" s="80" t="s">
        <v>68</v>
      </c>
      <c r="C25" s="80"/>
      <c r="D25" s="50" t="s">
        <v>25</v>
      </c>
      <c r="E25" s="56">
        <f t="shared" si="9"/>
        <v>0</v>
      </c>
      <c r="F25" s="57">
        <f t="shared" si="9"/>
        <v>-154426</v>
      </c>
      <c r="G25" s="57">
        <f t="shared" si="9"/>
        <v>-154426</v>
      </c>
      <c r="H25" s="58">
        <f t="shared" si="0"/>
        <v>100</v>
      </c>
      <c r="I25" s="59">
        <f t="shared" si="9"/>
        <v>0</v>
      </c>
      <c r="J25" s="168"/>
      <c r="K25" s="75">
        <v>-154426</v>
      </c>
      <c r="L25" s="75">
        <v>-154426</v>
      </c>
      <c r="M25" s="58">
        <f t="shared" si="2"/>
        <v>100</v>
      </c>
      <c r="N25" s="75"/>
      <c r="O25" s="75"/>
      <c r="P25" s="75"/>
      <c r="Q25" s="75"/>
      <c r="R25" s="58" t="e">
        <f t="shared" si="4"/>
        <v>#DIV/0!</v>
      </c>
      <c r="S25" s="75"/>
      <c r="T25" s="75"/>
      <c r="U25" s="75"/>
      <c r="V25" s="75"/>
      <c r="W25" s="58" t="e">
        <f t="shared" si="6"/>
        <v>#DIV/0!</v>
      </c>
      <c r="X25" s="75"/>
    </row>
    <row r="26" spans="1:24" s="38" customFormat="1" x14ac:dyDescent="0.15">
      <c r="A26" s="55" t="s">
        <v>23</v>
      </c>
      <c r="B26" s="1233" t="s">
        <v>69</v>
      </c>
      <c r="C26" s="1233"/>
      <c r="D26" s="50" t="s">
        <v>25</v>
      </c>
      <c r="E26" s="56">
        <f t="shared" si="9"/>
        <v>1541508</v>
      </c>
      <c r="F26" s="57">
        <f t="shared" si="9"/>
        <v>1969287</v>
      </c>
      <c r="G26" s="57">
        <f t="shared" si="9"/>
        <v>1940654</v>
      </c>
      <c r="H26" s="81">
        <f t="shared" si="0"/>
        <v>98.546021986637797</v>
      </c>
      <c r="I26" s="59">
        <f t="shared" si="9"/>
        <v>1554214</v>
      </c>
      <c r="J26" s="168">
        <v>1541508</v>
      </c>
      <c r="K26" s="82">
        <v>1969287</v>
      </c>
      <c r="L26" s="82">
        <v>1940654</v>
      </c>
      <c r="M26" s="58">
        <f t="shared" si="2"/>
        <v>98.546021986637797</v>
      </c>
      <c r="N26" s="82">
        <v>1554214</v>
      </c>
      <c r="O26" s="82"/>
      <c r="P26" s="82"/>
      <c r="Q26" s="82"/>
      <c r="R26" s="58" t="e">
        <f t="shared" si="4"/>
        <v>#DIV/0!</v>
      </c>
      <c r="S26" s="82"/>
      <c r="T26" s="82">
        <v>2500</v>
      </c>
      <c r="U26" s="83">
        <v>2500</v>
      </c>
      <c r="V26" s="82">
        <v>22084</v>
      </c>
      <c r="W26" s="58">
        <f t="shared" si="6"/>
        <v>883.36</v>
      </c>
      <c r="X26" s="82">
        <v>5122</v>
      </c>
    </row>
    <row r="27" spans="1:24" s="39" customFormat="1" x14ac:dyDescent="0.15">
      <c r="A27" s="55" t="s">
        <v>45</v>
      </c>
      <c r="B27" s="76" t="s">
        <v>70</v>
      </c>
      <c r="C27" s="76"/>
      <c r="D27" s="50" t="s">
        <v>25</v>
      </c>
      <c r="E27" s="56">
        <f t="shared" si="9"/>
        <v>0</v>
      </c>
      <c r="F27" s="57">
        <f t="shared" si="9"/>
        <v>0</v>
      </c>
      <c r="G27" s="57">
        <f t="shared" si="9"/>
        <v>0</v>
      </c>
      <c r="H27" s="81" t="e">
        <f t="shared" si="0"/>
        <v>#DIV/0!</v>
      </c>
      <c r="I27" s="59">
        <f t="shared" si="9"/>
        <v>0</v>
      </c>
      <c r="J27" s="168"/>
      <c r="K27" s="82"/>
      <c r="L27" s="82"/>
      <c r="M27" s="58" t="e">
        <f t="shared" si="2"/>
        <v>#DIV/0!</v>
      </c>
      <c r="N27" s="82"/>
      <c r="O27" s="82"/>
      <c r="P27" s="82"/>
      <c r="Q27" s="82"/>
      <c r="R27" s="58" t="e">
        <f t="shared" si="4"/>
        <v>#DIV/0!</v>
      </c>
      <c r="S27" s="82"/>
      <c r="T27" s="83"/>
      <c r="U27" s="83"/>
      <c r="V27" s="82"/>
      <c r="W27" s="58" t="e">
        <f t="shared" si="6"/>
        <v>#DIV/0!</v>
      </c>
      <c r="X27" s="82"/>
    </row>
    <row r="28" spans="1:24" s="39" customFormat="1" x14ac:dyDescent="0.15">
      <c r="A28" s="55" t="s">
        <v>51</v>
      </c>
      <c r="B28" s="76" t="s">
        <v>74</v>
      </c>
      <c r="C28" s="76"/>
      <c r="D28" s="50" t="s">
        <v>25</v>
      </c>
      <c r="E28" s="56">
        <f t="shared" si="9"/>
        <v>370000</v>
      </c>
      <c r="F28" s="57">
        <f t="shared" si="9"/>
        <v>1068975</v>
      </c>
      <c r="G28" s="57">
        <f t="shared" si="9"/>
        <v>1018072</v>
      </c>
      <c r="H28" s="81">
        <f t="shared" si="0"/>
        <v>95.238148693842234</v>
      </c>
      <c r="I28" s="59">
        <f t="shared" si="9"/>
        <v>1710372</v>
      </c>
      <c r="J28" s="168">
        <v>320000</v>
      </c>
      <c r="K28" s="82">
        <v>667640</v>
      </c>
      <c r="L28" s="82">
        <v>664174</v>
      </c>
      <c r="M28" s="58">
        <f t="shared" si="2"/>
        <v>99.4808579473968</v>
      </c>
      <c r="N28" s="82">
        <v>1537201</v>
      </c>
      <c r="O28" s="82">
        <v>50000</v>
      </c>
      <c r="P28" s="82">
        <v>401335</v>
      </c>
      <c r="Q28" s="82">
        <v>353898</v>
      </c>
      <c r="R28" s="58">
        <f t="shared" si="4"/>
        <v>88.180198587215159</v>
      </c>
      <c r="S28" s="82">
        <v>173171</v>
      </c>
      <c r="T28" s="82">
        <v>0</v>
      </c>
      <c r="U28" s="83">
        <v>0</v>
      </c>
      <c r="V28" s="417">
        <v>408</v>
      </c>
      <c r="W28" s="58" t="e">
        <f t="shared" si="6"/>
        <v>#DIV/0!</v>
      </c>
      <c r="X28" s="417">
        <v>380</v>
      </c>
    </row>
    <row r="29" spans="1:24" s="38" customFormat="1" x14ac:dyDescent="0.15">
      <c r="A29" s="55" t="s">
        <v>52</v>
      </c>
      <c r="B29" s="1233" t="s">
        <v>67</v>
      </c>
      <c r="C29" s="1233"/>
      <c r="D29" s="50" t="s">
        <v>25</v>
      </c>
      <c r="E29" s="56">
        <f t="shared" ref="E29:G31" si="10">SUM(J29,O29)</f>
        <v>16000</v>
      </c>
      <c r="F29" s="57">
        <f t="shared" si="10"/>
        <v>119700</v>
      </c>
      <c r="G29" s="57">
        <f t="shared" si="10"/>
        <v>117527</v>
      </c>
      <c r="H29" s="81">
        <f t="shared" si="0"/>
        <v>98.184628237259815</v>
      </c>
      <c r="I29" s="59">
        <f>SUM(N29,S29)</f>
        <v>78571</v>
      </c>
      <c r="J29" s="168">
        <v>16000</v>
      </c>
      <c r="K29" s="82">
        <v>119700</v>
      </c>
      <c r="L29" s="82">
        <v>117527</v>
      </c>
      <c r="M29" s="58">
        <f t="shared" si="2"/>
        <v>98.184628237259815</v>
      </c>
      <c r="N29" s="82">
        <v>78571</v>
      </c>
      <c r="O29" s="82"/>
      <c r="P29" s="82"/>
      <c r="Q29" s="82"/>
      <c r="R29" s="58" t="e">
        <f t="shared" si="4"/>
        <v>#DIV/0!</v>
      </c>
      <c r="S29" s="82"/>
      <c r="T29" s="417"/>
      <c r="U29" s="83"/>
      <c r="V29" s="417"/>
      <c r="W29" s="58" t="e">
        <f t="shared" si="6"/>
        <v>#DIV/0!</v>
      </c>
      <c r="X29" s="417">
        <v>0</v>
      </c>
    </row>
    <row r="30" spans="1:24" s="34" customFormat="1" x14ac:dyDescent="0.15">
      <c r="A30" s="55" t="s">
        <v>54</v>
      </c>
      <c r="B30" s="76" t="s">
        <v>53</v>
      </c>
      <c r="C30" s="76"/>
      <c r="D30" s="50" t="s">
        <v>25</v>
      </c>
      <c r="E30" s="56">
        <f t="shared" si="10"/>
        <v>0</v>
      </c>
      <c r="F30" s="57">
        <f t="shared" si="10"/>
        <v>0</v>
      </c>
      <c r="G30" s="57">
        <f t="shared" si="10"/>
        <v>0</v>
      </c>
      <c r="H30" s="81" t="e">
        <f t="shared" si="0"/>
        <v>#DIV/0!</v>
      </c>
      <c r="I30" s="59">
        <f>SUM(N30,S30)</f>
        <v>0</v>
      </c>
      <c r="J30" s="168"/>
      <c r="K30" s="82"/>
      <c r="L30" s="82"/>
      <c r="M30" s="58" t="e">
        <f t="shared" si="2"/>
        <v>#DIV/0!</v>
      </c>
      <c r="N30" s="82"/>
      <c r="O30" s="82"/>
      <c r="P30" s="82"/>
      <c r="Q30" s="82"/>
      <c r="R30" s="58" t="e">
        <f t="shared" si="4"/>
        <v>#DIV/0!</v>
      </c>
      <c r="S30" s="82"/>
      <c r="T30" s="83"/>
      <c r="U30" s="83"/>
      <c r="V30" s="83"/>
      <c r="W30" s="58" t="e">
        <f t="shared" si="6"/>
        <v>#DIV/0!</v>
      </c>
      <c r="X30" s="83"/>
    </row>
    <row r="31" spans="1:24" s="5" customFormat="1" ht="8.4" x14ac:dyDescent="0.2">
      <c r="A31" s="55" t="s">
        <v>55</v>
      </c>
      <c r="B31" s="66" t="s">
        <v>71</v>
      </c>
      <c r="C31" s="66"/>
      <c r="D31" s="50" t="s">
        <v>25</v>
      </c>
      <c r="E31" s="56">
        <f t="shared" si="10"/>
        <v>0</v>
      </c>
      <c r="F31" s="57">
        <f t="shared" si="10"/>
        <v>0</v>
      </c>
      <c r="G31" s="57">
        <f t="shared" si="10"/>
        <v>0</v>
      </c>
      <c r="H31" s="81" t="e">
        <f t="shared" si="0"/>
        <v>#DIV/0!</v>
      </c>
      <c r="I31" s="59">
        <f>SUM(N31,S31)</f>
        <v>0</v>
      </c>
      <c r="J31" s="168"/>
      <c r="K31" s="84"/>
      <c r="L31" s="84"/>
      <c r="M31" s="58" t="e">
        <f t="shared" si="2"/>
        <v>#DIV/0!</v>
      </c>
      <c r="N31" s="84"/>
      <c r="O31" s="84"/>
      <c r="P31" s="84"/>
      <c r="Q31" s="84"/>
      <c r="R31" s="58" t="e">
        <f t="shared" si="4"/>
        <v>#DIV/0!</v>
      </c>
      <c r="S31" s="84"/>
      <c r="T31" s="31"/>
      <c r="U31" s="31"/>
      <c r="V31" s="31"/>
      <c r="W31" s="58" t="e">
        <f t="shared" si="6"/>
        <v>#DIV/0!</v>
      </c>
      <c r="X31" s="31"/>
    </row>
    <row r="32" spans="1:24" s="5" customFormat="1" x14ac:dyDescent="0.15">
      <c r="A32" s="73" t="s">
        <v>56</v>
      </c>
      <c r="B32" s="80" t="s">
        <v>72</v>
      </c>
      <c r="C32" s="80"/>
      <c r="D32" s="50" t="s">
        <v>25</v>
      </c>
      <c r="E32" s="56">
        <f>SUM(J32,O32)</f>
        <v>0</v>
      </c>
      <c r="F32" s="57">
        <f>SUM(K32,P32)</f>
        <v>0</v>
      </c>
      <c r="G32" s="57">
        <f>SUM(L32,Q32)</f>
        <v>0</v>
      </c>
      <c r="H32" s="81" t="e">
        <f t="shared" si="0"/>
        <v>#DIV/0!</v>
      </c>
      <c r="I32" s="59">
        <f>SUM(N32,S32)</f>
        <v>0</v>
      </c>
      <c r="J32" s="170"/>
      <c r="K32" s="31"/>
      <c r="L32" s="31"/>
      <c r="M32" s="58" t="e">
        <f t="shared" si="2"/>
        <v>#DIV/0!</v>
      </c>
      <c r="N32" s="31"/>
      <c r="O32" s="31"/>
      <c r="P32" s="31"/>
      <c r="Q32" s="31"/>
      <c r="R32" s="58" t="e">
        <f t="shared" si="4"/>
        <v>#DIV/0!</v>
      </c>
      <c r="S32" s="31"/>
      <c r="T32" s="31"/>
      <c r="U32" s="31"/>
      <c r="V32" s="31"/>
      <c r="W32" s="58" t="e">
        <f t="shared" si="6"/>
        <v>#DIV/0!</v>
      </c>
      <c r="X32" s="31"/>
    </row>
    <row r="33" spans="1:24" s="5" customFormat="1" x14ac:dyDescent="0.15">
      <c r="A33" s="49" t="s">
        <v>57</v>
      </c>
      <c r="B33" s="88" t="s">
        <v>58</v>
      </c>
      <c r="C33" s="88"/>
      <c r="D33" s="50" t="s">
        <v>25</v>
      </c>
      <c r="E33" s="51">
        <f>E6-E11</f>
        <v>0</v>
      </c>
      <c r="F33" s="52">
        <f t="shared" ref="F33:G33" si="11">F6-F11</f>
        <v>-9.9999904632568359E-3</v>
      </c>
      <c r="G33" s="52">
        <f t="shared" si="11"/>
        <v>57171</v>
      </c>
      <c r="H33" s="89">
        <f t="shared" si="0"/>
        <v>-571710545.22566342</v>
      </c>
      <c r="I33" s="53">
        <f t="shared" ref="I33:L33" si="12">I6-I11</f>
        <v>75477</v>
      </c>
      <c r="J33" s="52">
        <f>J6-J11</f>
        <v>0</v>
      </c>
      <c r="K33" s="52">
        <f t="shared" si="12"/>
        <v>-9.9999979138374329E-3</v>
      </c>
      <c r="L33" s="52">
        <f t="shared" si="12"/>
        <v>57171</v>
      </c>
      <c r="M33" s="4">
        <f t="shared" si="2"/>
        <v>-571710119.26802504</v>
      </c>
      <c r="N33" s="52">
        <f t="shared" ref="N33" si="13">N6-N11</f>
        <v>75477</v>
      </c>
      <c r="O33" s="52">
        <f>O6-O11</f>
        <v>0</v>
      </c>
      <c r="P33" s="52">
        <f t="shared" ref="P33" si="14">P6-P11</f>
        <v>0</v>
      </c>
      <c r="Q33" s="52">
        <f>Q6-Q11</f>
        <v>0</v>
      </c>
      <c r="R33" s="4" t="e">
        <f t="shared" si="4"/>
        <v>#DIV/0!</v>
      </c>
      <c r="S33" s="52">
        <f t="shared" ref="S33" si="15">S6-S11</f>
        <v>0</v>
      </c>
      <c r="T33" s="52">
        <f>T6-T11</f>
        <v>93700</v>
      </c>
      <c r="U33" s="52">
        <f t="shared" ref="U33" si="16">U6-U11</f>
        <v>93700</v>
      </c>
      <c r="V33" s="52">
        <f>V6-V11</f>
        <v>104360</v>
      </c>
      <c r="W33" s="58">
        <f t="shared" si="6"/>
        <v>111.37673425827109</v>
      </c>
      <c r="X33" s="52">
        <f t="shared" ref="X33" si="17">X6-X11</f>
        <v>146174</v>
      </c>
    </row>
    <row r="34" spans="1:24" s="6" customFormat="1" x14ac:dyDescent="0.15">
      <c r="A34" s="90" t="s">
        <v>59</v>
      </c>
      <c r="B34" s="1239" t="s">
        <v>24</v>
      </c>
      <c r="C34" s="1239"/>
      <c r="D34" s="91" t="s">
        <v>25</v>
      </c>
      <c r="E34" s="92">
        <v>23400</v>
      </c>
      <c r="F34" s="93">
        <v>26750</v>
      </c>
      <c r="G34" s="93">
        <v>28020</v>
      </c>
      <c r="H34" s="81">
        <f t="shared" si="0"/>
        <v>104.74766355140186</v>
      </c>
      <c r="I34" s="94">
        <v>27230</v>
      </c>
      <c r="J34" s="418">
        <v>17580</v>
      </c>
      <c r="K34" s="96">
        <v>20000</v>
      </c>
      <c r="L34" s="96">
        <v>21890</v>
      </c>
      <c r="M34" s="58">
        <f t="shared" si="2"/>
        <v>109.45</v>
      </c>
      <c r="N34" s="96">
        <v>18200</v>
      </c>
      <c r="O34" s="98">
        <v>29250</v>
      </c>
      <c r="P34" s="96">
        <v>33500</v>
      </c>
      <c r="Q34" s="96">
        <v>34150</v>
      </c>
      <c r="R34" s="58">
        <f t="shared" si="4"/>
        <v>101.94029850746269</v>
      </c>
      <c r="S34" s="96">
        <v>27938</v>
      </c>
      <c r="T34" s="98"/>
      <c r="U34" s="96"/>
      <c r="V34" s="96"/>
      <c r="W34" s="58" t="e">
        <f t="shared" si="6"/>
        <v>#DIV/0!</v>
      </c>
      <c r="X34" s="96"/>
    </row>
    <row r="35" spans="1:24" s="6" customFormat="1" x14ac:dyDescent="0.15">
      <c r="A35" s="99" t="s">
        <v>60</v>
      </c>
      <c r="B35" s="1240" t="s">
        <v>33</v>
      </c>
      <c r="C35" s="1240"/>
      <c r="D35" s="100" t="s">
        <v>26</v>
      </c>
      <c r="E35" s="92">
        <v>94</v>
      </c>
      <c r="F35" s="93">
        <v>103</v>
      </c>
      <c r="G35" s="93">
        <v>103</v>
      </c>
      <c r="H35" s="81">
        <f t="shared" si="0"/>
        <v>100</v>
      </c>
      <c r="I35" s="94">
        <v>94</v>
      </c>
      <c r="J35" s="418">
        <v>1.6</v>
      </c>
      <c r="K35" s="96">
        <v>2</v>
      </c>
      <c r="L35" s="96">
        <v>2</v>
      </c>
      <c r="M35" s="58">
        <f t="shared" si="2"/>
        <v>100</v>
      </c>
      <c r="N35" s="96">
        <v>2</v>
      </c>
      <c r="O35" s="98">
        <v>92</v>
      </c>
      <c r="P35" s="96">
        <v>100.5</v>
      </c>
      <c r="Q35" s="96">
        <v>100.5</v>
      </c>
      <c r="R35" s="58">
        <f t="shared" si="4"/>
        <v>100</v>
      </c>
      <c r="S35" s="96">
        <v>92</v>
      </c>
      <c r="T35" s="98"/>
      <c r="U35" s="96"/>
      <c r="V35" s="96"/>
      <c r="W35" s="58" t="e">
        <f t="shared" si="6"/>
        <v>#DIV/0!</v>
      </c>
      <c r="X35" s="96"/>
    </row>
    <row r="36" spans="1:24" s="6" customFormat="1" ht="8.4" thickBot="1" x14ac:dyDescent="0.2">
      <c r="A36" s="103" t="s">
        <v>61</v>
      </c>
      <c r="B36" s="1241" t="s">
        <v>27</v>
      </c>
      <c r="C36" s="1241"/>
      <c r="D36" s="104" t="s">
        <v>26</v>
      </c>
      <c r="E36" s="105">
        <v>107</v>
      </c>
      <c r="F36" s="106">
        <v>114</v>
      </c>
      <c r="G36" s="106">
        <v>114</v>
      </c>
      <c r="H36" s="107">
        <f t="shared" si="0"/>
        <v>100</v>
      </c>
      <c r="I36" s="108">
        <v>107</v>
      </c>
      <c r="J36" s="419">
        <v>3</v>
      </c>
      <c r="K36" s="110">
        <v>3</v>
      </c>
      <c r="L36" s="110">
        <v>3</v>
      </c>
      <c r="M36" s="111">
        <f t="shared" si="2"/>
        <v>100</v>
      </c>
      <c r="N36" s="110">
        <v>3</v>
      </c>
      <c r="O36" s="420">
        <v>104</v>
      </c>
      <c r="P36" s="110">
        <v>111</v>
      </c>
      <c r="Q36" s="110">
        <v>111</v>
      </c>
      <c r="R36" s="111">
        <f t="shared" si="4"/>
        <v>100</v>
      </c>
      <c r="S36" s="110">
        <v>104</v>
      </c>
      <c r="T36" s="420"/>
      <c r="U36" s="110"/>
      <c r="V36" s="110"/>
      <c r="W36" s="111" t="e">
        <f t="shared" si="6"/>
        <v>#DIV/0!</v>
      </c>
      <c r="X36" s="110"/>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69" fitToHeight="8" orientation="landscape" useFirstPageNumber="1"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zoomScaleNormal="100" workbookViewId="0">
      <selection activeCell="F24" sqref="F24:I24"/>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43" customFormat="1" ht="17.399999999999999" x14ac:dyDescent="0.3">
      <c r="A1" s="43" t="s">
        <v>75</v>
      </c>
      <c r="B1" s="43" t="s">
        <v>99</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40" t="s">
        <v>25</v>
      </c>
      <c r="D5" s="1256" t="s">
        <v>103</v>
      </c>
      <c r="E5" s="1256"/>
      <c r="F5" s="1256"/>
      <c r="G5" s="1256"/>
      <c r="H5" s="1256"/>
      <c r="I5" s="1256"/>
    </row>
    <row r="6" spans="1:9" s="8" customFormat="1" ht="15" customHeight="1" x14ac:dyDescent="0.2">
      <c r="A6" s="1267" t="s">
        <v>104</v>
      </c>
      <c r="B6" s="1267"/>
      <c r="C6" s="113">
        <f>SUM(C7:C9)</f>
        <v>106924.25</v>
      </c>
      <c r="D6" s="1262"/>
      <c r="E6" s="1263"/>
      <c r="F6" s="1263"/>
      <c r="G6" s="1263"/>
      <c r="H6" s="1263"/>
      <c r="I6" s="1263"/>
    </row>
    <row r="7" spans="1:9" s="8" customFormat="1" ht="29.25" customHeight="1" x14ac:dyDescent="0.2">
      <c r="A7" s="1257" t="s">
        <v>77</v>
      </c>
      <c r="B7" s="1258"/>
      <c r="C7" s="114">
        <v>76582.75</v>
      </c>
      <c r="D7" s="1261" t="s">
        <v>105</v>
      </c>
      <c r="E7" s="1261"/>
      <c r="F7" s="1261"/>
      <c r="G7" s="1261"/>
      <c r="H7" s="1261"/>
      <c r="I7" s="1261"/>
    </row>
    <row r="8" spans="1:9" s="7" customFormat="1" ht="29.25" customHeight="1" x14ac:dyDescent="0.2">
      <c r="A8" s="1259" t="s">
        <v>78</v>
      </c>
      <c r="B8" s="1260"/>
      <c r="C8" s="115">
        <v>30341.5</v>
      </c>
      <c r="D8" s="1261" t="s">
        <v>106</v>
      </c>
      <c r="E8" s="1261"/>
      <c r="F8" s="1261"/>
      <c r="G8" s="1261"/>
      <c r="H8" s="1261"/>
      <c r="I8" s="1261"/>
    </row>
    <row r="9" spans="1:9" s="7" customFormat="1" ht="15" customHeight="1" x14ac:dyDescent="0.2">
      <c r="A9" s="1259" t="s">
        <v>79</v>
      </c>
      <c r="B9" s="1260"/>
      <c r="C9" s="115"/>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40" t="s">
        <v>76</v>
      </c>
      <c r="B13" s="40" t="s">
        <v>80</v>
      </c>
      <c r="C13" s="40" t="s">
        <v>25</v>
      </c>
      <c r="D13" s="118"/>
      <c r="E13" s="119"/>
      <c r="F13" s="119"/>
      <c r="G13" s="119"/>
      <c r="H13" s="119"/>
      <c r="I13" s="119"/>
    </row>
    <row r="14" spans="1:9" s="8" customFormat="1" ht="15" customHeight="1" x14ac:dyDescent="0.2">
      <c r="A14" s="12" t="s">
        <v>81</v>
      </c>
      <c r="B14" s="13"/>
      <c r="C14" s="120"/>
      <c r="D14" s="121"/>
      <c r="E14" s="122"/>
      <c r="F14" s="122"/>
      <c r="G14" s="122"/>
      <c r="H14" s="122"/>
      <c r="I14" s="122"/>
    </row>
    <row r="15" spans="1:9" s="8" customFormat="1" ht="15" customHeight="1" x14ac:dyDescent="0.2">
      <c r="A15" s="1249" t="s">
        <v>82</v>
      </c>
      <c r="B15" s="123" t="s">
        <v>98</v>
      </c>
      <c r="C15" s="124"/>
      <c r="D15" s="121"/>
      <c r="E15" s="122"/>
      <c r="F15" s="122"/>
      <c r="G15" s="122"/>
      <c r="H15" s="122"/>
      <c r="I15" s="122"/>
    </row>
    <row r="16" spans="1:9" s="8" customFormat="1" ht="15" customHeight="1" x14ac:dyDescent="0.2">
      <c r="A16" s="1250"/>
      <c r="B16" s="14" t="s">
        <v>83</v>
      </c>
      <c r="C16" s="125">
        <v>86924.25</v>
      </c>
      <c r="D16" s="126"/>
      <c r="E16" s="127"/>
      <c r="F16" s="127"/>
      <c r="G16" s="127"/>
      <c r="H16" s="127"/>
      <c r="I16" s="127"/>
    </row>
    <row r="17" spans="1:9" s="8" customFormat="1" ht="15" customHeight="1" x14ac:dyDescent="0.2">
      <c r="A17" s="1251"/>
      <c r="B17" s="15" t="s">
        <v>84</v>
      </c>
      <c r="C17" s="128">
        <v>20000</v>
      </c>
      <c r="D17" s="129"/>
      <c r="E17" s="130"/>
      <c r="F17" s="130"/>
      <c r="G17" s="130"/>
      <c r="H17" s="130"/>
      <c r="I17" s="130"/>
    </row>
    <row r="18" spans="1:9" s="8" customFormat="1" ht="15" customHeight="1" x14ac:dyDescent="0.2">
      <c r="A18" s="42" t="s">
        <v>104</v>
      </c>
      <c r="B18" s="16"/>
      <c r="C18" s="131">
        <f>SUM(C14:C17)</f>
        <v>106924.25</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40" t="s">
        <v>80</v>
      </c>
      <c r="B22" s="40" t="s">
        <v>109</v>
      </c>
      <c r="C22" s="137" t="s">
        <v>110</v>
      </c>
      <c r="D22" s="40" t="s">
        <v>111</v>
      </c>
      <c r="E22" s="40" t="s">
        <v>112</v>
      </c>
      <c r="F22" s="1252" t="s">
        <v>113</v>
      </c>
      <c r="G22" s="1252"/>
      <c r="H22" s="1252"/>
      <c r="I22" s="1252"/>
    </row>
    <row r="23" spans="1:9" s="8" customFormat="1" ht="41.1" customHeight="1" x14ac:dyDescent="0.2">
      <c r="A23" s="17" t="s">
        <v>85</v>
      </c>
      <c r="B23" s="139">
        <v>254028.91</v>
      </c>
      <c r="C23" s="139">
        <v>727743.23</v>
      </c>
      <c r="D23" s="139">
        <v>442865.84</v>
      </c>
      <c r="E23" s="139">
        <f>B23+C23-D23</f>
        <v>538906.30000000005</v>
      </c>
      <c r="F23" s="1253" t="s">
        <v>114</v>
      </c>
      <c r="G23" s="1254"/>
      <c r="H23" s="1254"/>
      <c r="I23" s="1255"/>
    </row>
    <row r="24" spans="1:9" s="8" customFormat="1" ht="41.1" customHeight="1" x14ac:dyDescent="0.2">
      <c r="A24" s="14" t="s">
        <v>86</v>
      </c>
      <c r="B24" s="140">
        <v>534084.32999999996</v>
      </c>
      <c r="C24" s="140">
        <v>882124.23</v>
      </c>
      <c r="D24" s="140">
        <v>929132.23</v>
      </c>
      <c r="E24" s="140">
        <f t="shared" ref="E24:E26" si="0">B24+C24-D24</f>
        <v>487076.33000000007</v>
      </c>
      <c r="F24" s="1242" t="s">
        <v>115</v>
      </c>
      <c r="G24" s="1243"/>
      <c r="H24" s="1243"/>
      <c r="I24" s="1244"/>
    </row>
    <row r="25" spans="1:9" s="8" customFormat="1" ht="41.1" customHeight="1" x14ac:dyDescent="0.2">
      <c r="A25" s="14" t="s">
        <v>84</v>
      </c>
      <c r="B25" s="140">
        <v>54397</v>
      </c>
      <c r="C25" s="140">
        <v>0</v>
      </c>
      <c r="D25" s="140">
        <v>3500</v>
      </c>
      <c r="E25" s="140">
        <v>50897</v>
      </c>
      <c r="F25" s="1242" t="s">
        <v>116</v>
      </c>
      <c r="G25" s="1243"/>
      <c r="H25" s="1243"/>
      <c r="I25" s="1244"/>
    </row>
    <row r="26" spans="1:9" s="8" customFormat="1" ht="41.1" customHeight="1" x14ac:dyDescent="0.2">
      <c r="A26" s="15" t="s">
        <v>87</v>
      </c>
      <c r="B26" s="141">
        <v>125460.88</v>
      </c>
      <c r="C26" s="141">
        <v>130001.84</v>
      </c>
      <c r="D26" s="141">
        <v>122204</v>
      </c>
      <c r="E26" s="140">
        <f t="shared" si="0"/>
        <v>133258.72</v>
      </c>
      <c r="F26" s="1245" t="s">
        <v>117</v>
      </c>
      <c r="G26" s="1246"/>
      <c r="H26" s="1246"/>
      <c r="I26" s="1247"/>
    </row>
    <row r="27" spans="1:9" s="7" customFormat="1" ht="10.199999999999999" x14ac:dyDescent="0.2">
      <c r="A27" s="10" t="s">
        <v>34</v>
      </c>
      <c r="B27" s="113">
        <f>SUM(B23:B26)</f>
        <v>967971.12</v>
      </c>
      <c r="C27" s="113">
        <f t="shared" ref="C27:E27" si="1">SUM(C23:C26)</f>
        <v>1739869.3</v>
      </c>
      <c r="D27" s="113">
        <f t="shared" si="1"/>
        <v>1497702.07</v>
      </c>
      <c r="E27" s="113">
        <f t="shared" si="1"/>
        <v>1210138.3500000001</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c r="D30" s="7" t="s">
        <v>96</v>
      </c>
    </row>
    <row r="31" spans="1:9" s="8" customFormat="1" ht="10.199999999999999" x14ac:dyDescent="0.2">
      <c r="A31" s="40" t="s">
        <v>88</v>
      </c>
      <c r="B31" s="40" t="s">
        <v>25</v>
      </c>
      <c r="C31" s="137" t="s">
        <v>89</v>
      </c>
      <c r="D31" s="1256" t="s">
        <v>90</v>
      </c>
      <c r="E31" s="1256"/>
      <c r="F31" s="1256"/>
      <c r="G31" s="1256"/>
      <c r="H31" s="1256"/>
      <c r="I31" s="1256"/>
    </row>
    <row r="32" spans="1:9" s="8" customFormat="1" ht="15" customHeight="1" x14ac:dyDescent="0.2">
      <c r="A32" s="19"/>
      <c r="B32" s="139"/>
      <c r="C32" s="20"/>
      <c r="D32" s="1270"/>
      <c r="E32" s="1271"/>
      <c r="F32" s="1271"/>
      <c r="G32" s="1271"/>
      <c r="H32" s="1271"/>
      <c r="I32" s="1272"/>
    </row>
    <row r="33" spans="1:9" s="8" customFormat="1" ht="15" customHeight="1" x14ac:dyDescent="0.2">
      <c r="A33" s="18"/>
      <c r="B33" s="141"/>
      <c r="C33" s="32"/>
      <c r="D33" s="1273"/>
      <c r="E33" s="1274"/>
      <c r="F33" s="1274"/>
      <c r="G33" s="1274"/>
      <c r="H33" s="1274"/>
      <c r="I33" s="1275"/>
    </row>
    <row r="34" spans="1:9" s="8" customFormat="1" ht="15" customHeight="1" x14ac:dyDescent="0.2">
      <c r="A34" s="18"/>
      <c r="B34" s="141"/>
      <c r="C34" s="33"/>
      <c r="D34" s="1273"/>
      <c r="E34" s="1274"/>
      <c r="F34" s="1274"/>
      <c r="G34" s="1274"/>
      <c r="H34" s="1274"/>
      <c r="I34" s="1275"/>
    </row>
    <row r="35" spans="1:9" s="7" customFormat="1" ht="10.199999999999999" x14ac:dyDescent="0.2">
      <c r="A35" s="10" t="s">
        <v>34</v>
      </c>
      <c r="B35" s="113">
        <f>SUM(B32:B34)</f>
        <v>0</v>
      </c>
      <c r="C35" s="1276"/>
      <c r="D35" s="1277"/>
      <c r="E35" s="1277"/>
      <c r="F35" s="1277"/>
      <c r="G35" s="1277"/>
      <c r="H35" s="1277"/>
      <c r="I35" s="1278"/>
    </row>
    <row r="36" spans="1:9" s="8" customFormat="1" ht="10.199999999999999" x14ac:dyDescent="0.2">
      <c r="C36" s="116"/>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c r="D38" s="7" t="s">
        <v>97</v>
      </c>
    </row>
    <row r="39" spans="1:9" s="8" customFormat="1" ht="10.199999999999999" x14ac:dyDescent="0.2">
      <c r="A39" s="40" t="s">
        <v>88</v>
      </c>
      <c r="B39" s="40" t="s">
        <v>25</v>
      </c>
      <c r="C39" s="137" t="s">
        <v>89</v>
      </c>
      <c r="D39" s="1279" t="s">
        <v>90</v>
      </c>
      <c r="E39" s="1279"/>
      <c r="F39" s="1279"/>
      <c r="G39" s="1279"/>
      <c r="H39" s="1279"/>
      <c r="I39" s="1280"/>
    </row>
    <row r="40" spans="1:9" s="8" customFormat="1" ht="15" customHeight="1" x14ac:dyDescent="0.2">
      <c r="A40" s="19"/>
      <c r="B40" s="139"/>
      <c r="C40" s="20"/>
      <c r="D40" s="1242"/>
      <c r="E40" s="1281"/>
      <c r="F40" s="1281"/>
      <c r="G40" s="1281"/>
      <c r="H40" s="1281"/>
      <c r="I40" s="1282"/>
    </row>
    <row r="41" spans="1:9" s="8" customFormat="1" ht="15" customHeight="1" x14ac:dyDescent="0.2">
      <c r="A41" s="21"/>
      <c r="B41" s="140"/>
      <c r="C41" s="22"/>
      <c r="D41" s="1242"/>
      <c r="E41" s="1281"/>
      <c r="F41" s="1281"/>
      <c r="G41" s="1281"/>
      <c r="H41" s="1281"/>
      <c r="I41" s="1282"/>
    </row>
    <row r="42" spans="1:9" s="8" customFormat="1" ht="15" customHeight="1" x14ac:dyDescent="0.2">
      <c r="A42" s="21"/>
      <c r="B42" s="140"/>
      <c r="C42" s="22"/>
      <c r="D42" s="1242"/>
      <c r="E42" s="1281"/>
      <c r="F42" s="1281"/>
      <c r="G42" s="1281"/>
      <c r="H42" s="1281"/>
      <c r="I42" s="1282"/>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C44" s="116"/>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c r="D46" s="7" t="s">
        <v>121</v>
      </c>
    </row>
    <row r="47" spans="1:9" s="8" customFormat="1" ht="10.199999999999999" x14ac:dyDescent="0.2">
      <c r="A47" s="41" t="s">
        <v>25</v>
      </c>
      <c r="B47" s="142" t="s">
        <v>122</v>
      </c>
      <c r="C47" s="1285" t="s">
        <v>91</v>
      </c>
      <c r="D47" s="1285"/>
      <c r="E47" s="1285"/>
      <c r="F47" s="1285"/>
      <c r="G47" s="1285"/>
      <c r="H47" s="1285"/>
      <c r="I47" s="1286"/>
    </row>
    <row r="48" spans="1:9" s="8" customFormat="1" ht="10.199999999999999" x14ac:dyDescent="0.2">
      <c r="A48" s="140"/>
      <c r="B48" s="140"/>
      <c r="C48" s="1287"/>
      <c r="D48" s="1287"/>
      <c r="E48" s="1287"/>
      <c r="F48" s="1287"/>
      <c r="G48" s="1287"/>
      <c r="H48" s="1287"/>
      <c r="I48" s="1287"/>
    </row>
    <row r="49" spans="1:9" s="8" customFormat="1" ht="10.199999999999999" x14ac:dyDescent="0.2">
      <c r="A49" s="140"/>
      <c r="B49" s="140"/>
      <c r="C49" s="1287"/>
      <c r="D49" s="1287"/>
      <c r="E49" s="1287"/>
      <c r="F49" s="1287"/>
      <c r="G49" s="1287"/>
      <c r="H49" s="1287"/>
      <c r="I49" s="1287"/>
    </row>
    <row r="50" spans="1:9" s="8" customFormat="1" ht="10.199999999999999" x14ac:dyDescent="0.2">
      <c r="A50" s="141"/>
      <c r="B50" s="141"/>
      <c r="C50" s="1288"/>
      <c r="D50" s="1288"/>
      <c r="E50" s="1288"/>
      <c r="F50" s="1288"/>
      <c r="G50" s="1288"/>
      <c r="H50" s="1288"/>
      <c r="I50" s="1288"/>
    </row>
    <row r="51" spans="1:9" s="7" customFormat="1" ht="10.199999999999999" x14ac:dyDescent="0.2">
      <c r="A51" s="113">
        <f>A48+A49+A50</f>
        <v>0</v>
      </c>
      <c r="B51" s="113">
        <f>B48+B49+B50</f>
        <v>0</v>
      </c>
      <c r="C51" s="1289" t="s">
        <v>34</v>
      </c>
      <c r="D51" s="1289"/>
      <c r="E51" s="1289"/>
      <c r="F51" s="1289"/>
      <c r="G51" s="1289"/>
      <c r="H51" s="1289"/>
      <c r="I51" s="1289"/>
    </row>
    <row r="52" spans="1:9" s="8" customFormat="1" ht="10.199999999999999" x14ac:dyDescent="0.2">
      <c r="C52" s="116"/>
    </row>
    <row r="53" spans="1:9" s="8" customFormat="1" ht="10.199999999999999" x14ac:dyDescent="0.2">
      <c r="A53" s="1248" t="s">
        <v>123</v>
      </c>
      <c r="B53" s="1248"/>
      <c r="C53" s="1248"/>
      <c r="D53" s="1248"/>
      <c r="E53" s="1248"/>
      <c r="F53" s="1248"/>
      <c r="G53" s="1248"/>
      <c r="H53" s="1248"/>
      <c r="I53" s="1248"/>
    </row>
    <row r="54" spans="1:9" s="8" customFormat="1" ht="10.199999999999999" x14ac:dyDescent="0.2">
      <c r="C54" s="116"/>
    </row>
    <row r="55" spans="1:9" s="23" customFormat="1" ht="10.199999999999999" x14ac:dyDescent="0.2">
      <c r="A55" s="1256" t="s">
        <v>92</v>
      </c>
      <c r="B55" s="1256"/>
      <c r="C55" s="137" t="s">
        <v>93</v>
      </c>
      <c r="D55" s="40" t="s">
        <v>94</v>
      </c>
      <c r="E55" s="40" t="s">
        <v>25</v>
      </c>
    </row>
    <row r="56" spans="1:9" s="8" customFormat="1" ht="11.25" customHeight="1" x14ac:dyDescent="0.2">
      <c r="A56" s="1290" t="s">
        <v>124</v>
      </c>
      <c r="B56" s="1291"/>
      <c r="C56" s="30"/>
      <c r="D56" s="30">
        <v>43580</v>
      </c>
      <c r="E56" s="145">
        <v>-5209</v>
      </c>
    </row>
    <row r="57" spans="1:9" s="8" customFormat="1" ht="11.25" customHeight="1" x14ac:dyDescent="0.2">
      <c r="A57" s="1292" t="s">
        <v>125</v>
      </c>
      <c r="B57" s="1293"/>
      <c r="C57" s="30"/>
      <c r="D57" s="30">
        <v>43580</v>
      </c>
      <c r="E57" s="145">
        <v>5209</v>
      </c>
    </row>
    <row r="58" spans="1:9" s="8" customFormat="1" ht="11.25" customHeight="1" x14ac:dyDescent="0.2">
      <c r="A58" s="1292" t="s">
        <v>126</v>
      </c>
      <c r="B58" s="1293"/>
      <c r="C58" s="30"/>
      <c r="D58" s="30">
        <v>43496</v>
      </c>
      <c r="E58" s="145">
        <v>229</v>
      </c>
    </row>
    <row r="59" spans="1:9" s="8" customFormat="1" ht="11.25" customHeight="1" x14ac:dyDescent="0.2">
      <c r="A59" s="1292" t="s">
        <v>127</v>
      </c>
      <c r="B59" s="1293"/>
      <c r="C59" s="30"/>
      <c r="D59" s="30">
        <v>43496</v>
      </c>
      <c r="E59" s="145">
        <v>229</v>
      </c>
    </row>
    <row r="60" spans="1:9" s="8" customFormat="1" ht="11.25" customHeight="1" x14ac:dyDescent="0.2">
      <c r="A60" s="1292" t="s">
        <v>128</v>
      </c>
      <c r="B60" s="1293"/>
      <c r="C60" s="30">
        <v>43641</v>
      </c>
      <c r="D60" s="30">
        <v>43634</v>
      </c>
      <c r="E60" s="145">
        <v>120000</v>
      </c>
    </row>
    <row r="61" spans="1:9" s="8" customFormat="1" ht="11.25" customHeight="1" x14ac:dyDescent="0.2">
      <c r="A61" s="1292" t="s">
        <v>129</v>
      </c>
      <c r="B61" s="1293"/>
      <c r="C61" s="30">
        <v>43641</v>
      </c>
      <c r="D61" s="30">
        <v>43634</v>
      </c>
      <c r="E61" s="145">
        <v>113195.5</v>
      </c>
    </row>
    <row r="62" spans="1:9" s="8" customFormat="1" ht="11.25" customHeight="1" x14ac:dyDescent="0.2">
      <c r="A62" s="1292" t="s">
        <v>130</v>
      </c>
      <c r="B62" s="1294"/>
      <c r="C62" s="30">
        <v>43641</v>
      </c>
      <c r="D62" s="30">
        <v>43634</v>
      </c>
      <c r="E62" s="145">
        <v>6804.5</v>
      </c>
    </row>
    <row r="63" spans="1:9" s="8" customFormat="1" ht="11.25" customHeight="1" x14ac:dyDescent="0.2">
      <c r="A63" s="1292" t="s">
        <v>131</v>
      </c>
      <c r="B63" s="1294"/>
      <c r="C63" s="30"/>
      <c r="D63" s="30">
        <v>43677</v>
      </c>
      <c r="E63" s="145">
        <v>4753</v>
      </c>
    </row>
    <row r="64" spans="1:9" s="8" customFormat="1" ht="11.25" customHeight="1" x14ac:dyDescent="0.2">
      <c r="A64" s="1292" t="s">
        <v>132</v>
      </c>
      <c r="B64" s="1294"/>
      <c r="C64" s="30"/>
      <c r="D64" s="30">
        <v>43677</v>
      </c>
      <c r="E64" s="145">
        <v>3500</v>
      </c>
    </row>
    <row r="65" spans="1:5" s="8" customFormat="1" ht="11.25" customHeight="1" x14ac:dyDescent="0.2">
      <c r="A65" s="1292" t="s">
        <v>133</v>
      </c>
      <c r="B65" s="1294"/>
      <c r="C65" s="30"/>
      <c r="D65" s="30">
        <v>43677</v>
      </c>
      <c r="E65" s="145">
        <v>1183</v>
      </c>
    </row>
    <row r="66" spans="1:5" s="8" customFormat="1" ht="11.25" customHeight="1" x14ac:dyDescent="0.2">
      <c r="A66" s="1292" t="s">
        <v>134</v>
      </c>
      <c r="B66" s="1294"/>
      <c r="C66" s="30"/>
      <c r="D66" s="30">
        <v>43677</v>
      </c>
      <c r="E66" s="145">
        <v>70</v>
      </c>
    </row>
    <row r="67" spans="1:5" s="8" customFormat="1" ht="11.25" customHeight="1" x14ac:dyDescent="0.2">
      <c r="A67" s="1292" t="s">
        <v>135</v>
      </c>
      <c r="B67" s="1294"/>
      <c r="C67" s="30">
        <v>43676</v>
      </c>
      <c r="D67" s="30">
        <v>43679</v>
      </c>
      <c r="E67" s="145">
        <v>323658.74</v>
      </c>
    </row>
    <row r="68" spans="1:5" s="8" customFormat="1" ht="11.25" customHeight="1" x14ac:dyDescent="0.2">
      <c r="A68" s="1295" t="s">
        <v>136</v>
      </c>
      <c r="B68" s="1296"/>
      <c r="C68" s="30">
        <v>43676</v>
      </c>
      <c r="D68" s="30">
        <v>43679</v>
      </c>
      <c r="E68" s="145">
        <v>323658.74</v>
      </c>
    </row>
    <row r="69" spans="1:5" s="8" customFormat="1" ht="11.25" customHeight="1" x14ac:dyDescent="0.2">
      <c r="A69" s="1295" t="s">
        <v>137</v>
      </c>
      <c r="B69" s="1296"/>
      <c r="C69" s="25"/>
      <c r="D69" s="25">
        <v>43713</v>
      </c>
      <c r="E69" s="27">
        <v>39702</v>
      </c>
    </row>
    <row r="70" spans="1:5" s="8" customFormat="1" ht="11.25" customHeight="1" x14ac:dyDescent="0.2">
      <c r="A70" s="1295" t="s">
        <v>138</v>
      </c>
      <c r="B70" s="1296"/>
      <c r="C70" s="25"/>
      <c r="D70" s="25">
        <v>43713</v>
      </c>
      <c r="E70" s="27">
        <v>39702</v>
      </c>
    </row>
    <row r="71" spans="1:5" s="8" customFormat="1" ht="11.25" customHeight="1" x14ac:dyDescent="0.2">
      <c r="A71" s="1295" t="s">
        <v>139</v>
      </c>
      <c r="B71" s="1296"/>
      <c r="C71" s="25">
        <v>43732</v>
      </c>
      <c r="D71" s="25">
        <v>43742</v>
      </c>
      <c r="E71" s="27">
        <v>-98987</v>
      </c>
    </row>
    <row r="72" spans="1:5" s="8" customFormat="1" ht="11.25" customHeight="1" x14ac:dyDescent="0.2">
      <c r="A72" s="1295" t="s">
        <v>140</v>
      </c>
      <c r="B72" s="1296"/>
      <c r="C72" s="25">
        <v>43732</v>
      </c>
      <c r="D72" s="25">
        <v>43742</v>
      </c>
      <c r="E72" s="27">
        <v>98987</v>
      </c>
    </row>
    <row r="73" spans="1:5" s="8" customFormat="1" ht="11.25" customHeight="1" x14ac:dyDescent="0.2">
      <c r="A73" s="1295" t="s">
        <v>141</v>
      </c>
      <c r="B73" s="1296"/>
      <c r="C73" s="25"/>
      <c r="D73" s="25">
        <v>43753</v>
      </c>
      <c r="E73" s="27">
        <v>39702</v>
      </c>
    </row>
    <row r="74" spans="1:5" s="8" customFormat="1" ht="11.25" customHeight="1" x14ac:dyDescent="0.2">
      <c r="A74" s="1295" t="s">
        <v>142</v>
      </c>
      <c r="B74" s="1296"/>
      <c r="C74" s="25"/>
      <c r="D74" s="25">
        <v>43753</v>
      </c>
      <c r="E74" s="27">
        <v>39702</v>
      </c>
    </row>
    <row r="75" spans="1:5" s="8" customFormat="1" ht="11.25" customHeight="1" x14ac:dyDescent="0.2">
      <c r="A75" s="1292" t="s">
        <v>143</v>
      </c>
      <c r="B75" s="1293"/>
      <c r="C75" s="25"/>
      <c r="D75" s="25">
        <v>43768</v>
      </c>
      <c r="E75" s="27">
        <v>93.5</v>
      </c>
    </row>
    <row r="76" spans="1:5" s="8" customFormat="1" ht="11.25" customHeight="1" x14ac:dyDescent="0.2">
      <c r="A76" s="1292" t="s">
        <v>144</v>
      </c>
      <c r="B76" s="1293"/>
      <c r="C76" s="25"/>
      <c r="D76" s="25">
        <v>43768</v>
      </c>
      <c r="E76" s="27">
        <v>93.5</v>
      </c>
    </row>
    <row r="77" spans="1:5" s="8" customFormat="1" ht="11.25" customHeight="1" x14ac:dyDescent="0.2">
      <c r="A77" s="1292" t="s">
        <v>145</v>
      </c>
      <c r="B77" s="1294"/>
      <c r="C77" s="25"/>
      <c r="D77" s="25">
        <v>43800</v>
      </c>
      <c r="E77" s="27">
        <v>48991</v>
      </c>
    </row>
    <row r="78" spans="1:5" s="8" customFormat="1" ht="11.25" customHeight="1" x14ac:dyDescent="0.2">
      <c r="A78" s="1292" t="s">
        <v>146</v>
      </c>
      <c r="B78" s="1294"/>
      <c r="C78" s="25"/>
      <c r="D78" s="25">
        <v>43800</v>
      </c>
      <c r="E78" s="27">
        <v>48991</v>
      </c>
    </row>
    <row r="79" spans="1:5" s="8" customFormat="1" ht="11.25" customHeight="1" x14ac:dyDescent="0.2">
      <c r="A79" s="1295" t="s">
        <v>147</v>
      </c>
      <c r="B79" s="1296"/>
      <c r="C79" s="25"/>
      <c r="D79" s="25">
        <v>43830</v>
      </c>
      <c r="E79" s="27">
        <v>20797.900000000001</v>
      </c>
    </row>
    <row r="80" spans="1:5" s="8" customFormat="1" ht="11.25" customHeight="1" x14ac:dyDescent="0.2">
      <c r="A80" s="1295" t="s">
        <v>148</v>
      </c>
      <c r="B80" s="1296"/>
      <c r="C80" s="25"/>
      <c r="D80" s="25">
        <v>43830</v>
      </c>
      <c r="E80" s="27">
        <v>20797.900000000001</v>
      </c>
    </row>
    <row r="81" spans="1:9" s="8" customFormat="1" ht="11.25" customHeight="1" x14ac:dyDescent="0.2">
      <c r="A81" s="1295" t="s">
        <v>149</v>
      </c>
      <c r="B81" s="1296"/>
      <c r="C81" s="25"/>
      <c r="D81" s="25">
        <v>43830</v>
      </c>
      <c r="E81" s="27">
        <v>-171873.02</v>
      </c>
    </row>
    <row r="82" spans="1:9" s="8" customFormat="1" ht="11.25" customHeight="1" x14ac:dyDescent="0.2">
      <c r="A82" s="24" t="s">
        <v>150</v>
      </c>
      <c r="B82" s="146"/>
      <c r="C82" s="25"/>
      <c r="D82" s="25">
        <v>43830</v>
      </c>
      <c r="E82" s="27">
        <v>-2825</v>
      </c>
    </row>
    <row r="83" spans="1:9" s="8" customFormat="1" ht="11.25" customHeight="1" x14ac:dyDescent="0.2">
      <c r="A83" s="1295" t="s">
        <v>151</v>
      </c>
      <c r="B83" s="1296"/>
      <c r="C83" s="25"/>
      <c r="D83" s="25">
        <v>43830</v>
      </c>
      <c r="E83" s="27">
        <v>-46994.59</v>
      </c>
    </row>
    <row r="84" spans="1:9" s="8" customFormat="1" ht="11.25" customHeight="1" x14ac:dyDescent="0.2">
      <c r="A84" s="1295" t="s">
        <v>152</v>
      </c>
      <c r="B84" s="1296"/>
      <c r="C84" s="25"/>
      <c r="D84" s="25">
        <v>43830</v>
      </c>
      <c r="E84" s="27">
        <v>125330.51</v>
      </c>
    </row>
    <row r="85" spans="1:9" s="8" customFormat="1" ht="11.25" customHeight="1" x14ac:dyDescent="0.2">
      <c r="A85" s="1295" t="s">
        <v>153</v>
      </c>
      <c r="B85" s="1296"/>
      <c r="C85" s="25"/>
      <c r="D85" s="25">
        <v>43830</v>
      </c>
      <c r="E85" s="27">
        <v>96362.1</v>
      </c>
    </row>
    <row r="86" spans="1:9" s="8" customFormat="1" ht="11.25" customHeight="1" x14ac:dyDescent="0.2">
      <c r="A86" s="147"/>
      <c r="B86" s="148"/>
      <c r="C86" s="149"/>
      <c r="D86" s="149"/>
      <c r="E86" s="150"/>
    </row>
    <row r="87" spans="1:9" s="8" customFormat="1" ht="10.199999999999999" x14ac:dyDescent="0.2">
      <c r="A87" s="1300" t="s">
        <v>154</v>
      </c>
      <c r="B87" s="1300"/>
      <c r="C87" s="1300"/>
      <c r="D87" s="1300"/>
      <c r="E87" s="1300"/>
      <c r="F87" s="1300"/>
      <c r="G87" s="1300"/>
      <c r="H87" s="1300"/>
      <c r="I87" s="1300"/>
    </row>
    <row r="88" spans="1:9" s="8" customFormat="1" ht="10.199999999999999" x14ac:dyDescent="0.2">
      <c r="A88" s="8" t="s">
        <v>155</v>
      </c>
    </row>
    <row r="89" spans="1:9" s="8" customFormat="1" ht="10.199999999999999" x14ac:dyDescent="0.2">
      <c r="A89" s="1297"/>
      <c r="B89" s="1298"/>
      <c r="C89" s="1298"/>
      <c r="D89" s="1298"/>
      <c r="E89" s="1298"/>
      <c r="F89" s="1298"/>
      <c r="G89" s="1298"/>
      <c r="H89" s="1298"/>
      <c r="I89" s="1299"/>
    </row>
    <row r="90" spans="1:9" s="8" customFormat="1" ht="10.199999999999999" x14ac:dyDescent="0.2"/>
    <row r="91" spans="1:9" s="8" customFormat="1" ht="0.75" customHeight="1" x14ac:dyDescent="0.2">
      <c r="A91" s="1297"/>
      <c r="B91" s="1298"/>
      <c r="C91" s="1298"/>
      <c r="D91" s="1298"/>
      <c r="E91" s="1298"/>
      <c r="F91" s="1298"/>
      <c r="G91" s="1298"/>
      <c r="H91" s="1298"/>
      <c r="I91" s="1299"/>
    </row>
    <row r="92" spans="1:9" s="8" customFormat="1" ht="10.199999999999999" hidden="1" x14ac:dyDescent="0.2"/>
    <row r="93" spans="1:9" s="7" customFormat="1" ht="10.199999999999999" x14ac:dyDescent="0.2">
      <c r="A93" s="1248" t="s">
        <v>156</v>
      </c>
      <c r="B93" s="1248"/>
      <c r="C93" s="1248"/>
      <c r="D93" s="1248"/>
      <c r="E93" s="1248"/>
      <c r="F93" s="1248"/>
      <c r="G93" s="1248"/>
      <c r="H93" s="1248"/>
      <c r="I93" s="1248"/>
    </row>
    <row r="94" spans="1:9" s="8" customFormat="1" ht="10.199999999999999" x14ac:dyDescent="0.2">
      <c r="A94" s="8" t="s">
        <v>95</v>
      </c>
    </row>
    <row r="95" spans="1:9" s="8" customFormat="1" ht="18.75" customHeight="1" x14ac:dyDescent="0.2">
      <c r="A95" s="1297" t="s">
        <v>157</v>
      </c>
      <c r="B95" s="1298"/>
      <c r="C95" s="1298"/>
      <c r="D95" s="1298"/>
      <c r="E95" s="1298"/>
      <c r="F95" s="1298"/>
      <c r="G95" s="1298"/>
      <c r="H95" s="1298"/>
      <c r="I95" s="1299"/>
    </row>
    <row r="96" spans="1:9" x14ac:dyDescent="0.25">
      <c r="A96" s="44" t="s">
        <v>158</v>
      </c>
    </row>
    <row r="97" spans="1:1" x14ac:dyDescent="0.25">
      <c r="A97" s="8" t="s">
        <v>159</v>
      </c>
    </row>
    <row r="98" spans="1:1" x14ac:dyDescent="0.25">
      <c r="A98" s="26"/>
    </row>
    <row r="99" spans="1:1" s="28" customFormat="1" x14ac:dyDescent="0.25">
      <c r="A99" s="29" t="s">
        <v>160</v>
      </c>
    </row>
  </sheetData>
  <mergeCells count="72">
    <mergeCell ref="A91:I91"/>
    <mergeCell ref="A93:I93"/>
    <mergeCell ref="A95:I95"/>
    <mergeCell ref="A83:B83"/>
    <mergeCell ref="A84:B84"/>
    <mergeCell ref="A85:B85"/>
    <mergeCell ref="A87:I87"/>
    <mergeCell ref="A89:I89"/>
    <mergeCell ref="A77:B77"/>
    <mergeCell ref="A78:B78"/>
    <mergeCell ref="A79:B79"/>
    <mergeCell ref="A80:B80"/>
    <mergeCell ref="A81:B81"/>
    <mergeCell ref="A72:B72"/>
    <mergeCell ref="A73:B73"/>
    <mergeCell ref="A74:B74"/>
    <mergeCell ref="A75:B75"/>
    <mergeCell ref="A76:B76"/>
    <mergeCell ref="A67:B67"/>
    <mergeCell ref="A68:B68"/>
    <mergeCell ref="A69:B69"/>
    <mergeCell ref="A70:B70"/>
    <mergeCell ref="A71:B71"/>
    <mergeCell ref="A62:B62"/>
    <mergeCell ref="A63:B63"/>
    <mergeCell ref="A64:B64"/>
    <mergeCell ref="A65:B65"/>
    <mergeCell ref="A66:B66"/>
    <mergeCell ref="A57:B57"/>
    <mergeCell ref="A58:B58"/>
    <mergeCell ref="A59:B59"/>
    <mergeCell ref="A60:B60"/>
    <mergeCell ref="A61:B61"/>
    <mergeCell ref="C50:I50"/>
    <mergeCell ref="C51:I51"/>
    <mergeCell ref="A53:I53"/>
    <mergeCell ref="A55:B55"/>
    <mergeCell ref="A56:B56"/>
    <mergeCell ref="C43:I43"/>
    <mergeCell ref="A45:I45"/>
    <mergeCell ref="C47:I47"/>
    <mergeCell ref="C48:I48"/>
    <mergeCell ref="C49:I49"/>
    <mergeCell ref="A37:I37"/>
    <mergeCell ref="D39:I39"/>
    <mergeCell ref="D40:I40"/>
    <mergeCell ref="D41:I41"/>
    <mergeCell ref="D42:I42"/>
    <mergeCell ref="F27:I27"/>
    <mergeCell ref="A29:I29"/>
    <mergeCell ref="D31:I31"/>
    <mergeCell ref="D32:I34"/>
    <mergeCell ref="C35:I35"/>
    <mergeCell ref="A3:I3"/>
    <mergeCell ref="A5:B5"/>
    <mergeCell ref="A7:B7"/>
    <mergeCell ref="A8:B8"/>
    <mergeCell ref="A9:B9"/>
    <mergeCell ref="D7:I7"/>
    <mergeCell ref="D8:I8"/>
    <mergeCell ref="D5:I5"/>
    <mergeCell ref="D6:I6"/>
    <mergeCell ref="D9:I9"/>
    <mergeCell ref="A6:B6"/>
    <mergeCell ref="F24:I24"/>
    <mergeCell ref="F25:I25"/>
    <mergeCell ref="F26:I26"/>
    <mergeCell ref="A11:I11"/>
    <mergeCell ref="A15:A17"/>
    <mergeCell ref="A20:I20"/>
    <mergeCell ref="F22:I22"/>
    <mergeCell ref="F23:I23"/>
  </mergeCells>
  <pageMargins left="0.70866141732283472" right="0.70866141732283472" top="0.78740157480314965" bottom="0.78740157480314965" header="0.31496062992125984" footer="0.31496062992125984"/>
  <pageSetup paperSize="9" firstPageNumber="124" orientation="landscape" useFirstPageNumber="1" r:id="rId1"/>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3"/>
  <sheetViews>
    <sheetView zoomScaleNormal="100" workbookViewId="0">
      <selection activeCell="D7" sqref="D7:I7"/>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43" customFormat="1" ht="17.399999999999999" x14ac:dyDescent="0.3">
      <c r="A1" s="43" t="s">
        <v>75</v>
      </c>
      <c r="B1" s="1549" t="s">
        <v>481</v>
      </c>
      <c r="C1" s="1549"/>
      <c r="D1" s="1549"/>
      <c r="E1" s="1549"/>
      <c r="F1" s="1549"/>
      <c r="G1" s="1549"/>
      <c r="H1" s="1549"/>
      <c r="I1" s="1549"/>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45" t="s">
        <v>25</v>
      </c>
      <c r="D5" s="1256" t="s">
        <v>103</v>
      </c>
      <c r="E5" s="1256"/>
      <c r="F5" s="1256"/>
      <c r="G5" s="1256"/>
      <c r="H5" s="1256"/>
      <c r="I5" s="1256"/>
    </row>
    <row r="6" spans="1:9" s="8" customFormat="1" ht="15" customHeight="1" x14ac:dyDescent="0.2">
      <c r="A6" s="1267" t="s">
        <v>104</v>
      </c>
      <c r="B6" s="1267"/>
      <c r="C6" s="113">
        <f>SUM(C7:C9)</f>
        <v>161530.93</v>
      </c>
      <c r="D6" s="1262"/>
      <c r="E6" s="1263"/>
      <c r="F6" s="1263"/>
      <c r="G6" s="1263"/>
      <c r="H6" s="1263"/>
      <c r="I6" s="1263"/>
    </row>
    <row r="7" spans="1:9" s="8" customFormat="1" ht="29.25" customHeight="1" x14ac:dyDescent="0.2">
      <c r="A7" s="1257" t="s">
        <v>77</v>
      </c>
      <c r="B7" s="1258"/>
      <c r="C7" s="114">
        <v>57170.93</v>
      </c>
      <c r="D7" s="1261" t="s">
        <v>482</v>
      </c>
      <c r="E7" s="1261"/>
      <c r="F7" s="1261"/>
      <c r="G7" s="1261"/>
      <c r="H7" s="1261"/>
      <c r="I7" s="1261"/>
    </row>
    <row r="8" spans="1:9" s="7" customFormat="1" ht="29.25" customHeight="1" x14ac:dyDescent="0.2">
      <c r="A8" s="1259" t="s">
        <v>78</v>
      </c>
      <c r="B8" s="1260"/>
      <c r="C8" s="115">
        <v>104360</v>
      </c>
      <c r="D8" s="1261" t="s">
        <v>483</v>
      </c>
      <c r="E8" s="1261"/>
      <c r="F8" s="1261"/>
      <c r="G8" s="1261"/>
      <c r="H8" s="1261"/>
      <c r="I8" s="1261"/>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45" t="s">
        <v>76</v>
      </c>
      <c r="B13" s="45" t="s">
        <v>80</v>
      </c>
      <c r="C13" s="45" t="s">
        <v>25</v>
      </c>
      <c r="D13" s="118"/>
      <c r="E13" s="119"/>
      <c r="F13" s="119"/>
      <c r="G13" s="119"/>
      <c r="H13" s="119"/>
      <c r="I13" s="119"/>
    </row>
    <row r="14" spans="1:9" s="8" customFormat="1" ht="15" customHeight="1" x14ac:dyDescent="0.2">
      <c r="A14" s="12" t="s">
        <v>81</v>
      </c>
      <c r="B14" s="13"/>
      <c r="C14" s="120"/>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141530.93</v>
      </c>
      <c r="D16" s="126"/>
      <c r="E16" s="127"/>
      <c r="F16" s="127"/>
      <c r="G16" s="127"/>
      <c r="H16" s="127"/>
      <c r="I16" s="127"/>
    </row>
    <row r="17" spans="1:9" s="8" customFormat="1" ht="15" customHeight="1" x14ac:dyDescent="0.2">
      <c r="A17" s="1251"/>
      <c r="B17" s="15" t="s">
        <v>84</v>
      </c>
      <c r="C17" s="128">
        <v>20000</v>
      </c>
      <c r="D17" s="129"/>
      <c r="E17" s="130"/>
      <c r="F17" s="130"/>
      <c r="G17" s="130"/>
      <c r="H17" s="130"/>
      <c r="I17" s="130"/>
    </row>
    <row r="18" spans="1:9" s="8" customFormat="1" ht="15" customHeight="1" x14ac:dyDescent="0.2">
      <c r="A18" s="46" t="s">
        <v>104</v>
      </c>
      <c r="B18" s="16"/>
      <c r="C18" s="131">
        <f>SUM(C14:C17)</f>
        <v>161530.93</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45" t="s">
        <v>80</v>
      </c>
      <c r="B22" s="45" t="s">
        <v>109</v>
      </c>
      <c r="C22" s="137" t="s">
        <v>110</v>
      </c>
      <c r="D22" s="45" t="s">
        <v>111</v>
      </c>
      <c r="E22" s="45" t="s">
        <v>112</v>
      </c>
      <c r="F22" s="1256" t="s">
        <v>484</v>
      </c>
      <c r="G22" s="1256"/>
      <c r="H22" s="1256"/>
      <c r="I22" s="1256"/>
    </row>
    <row r="23" spans="1:9" s="8" customFormat="1" ht="41.1" customHeight="1" x14ac:dyDescent="0.2">
      <c r="A23" s="17" t="s">
        <v>85</v>
      </c>
      <c r="B23" s="139">
        <v>1287770.22</v>
      </c>
      <c r="C23" s="139">
        <v>3616107.63</v>
      </c>
      <c r="D23" s="139">
        <v>1381160.8</v>
      </c>
      <c r="E23" s="139">
        <f>B23+C23-D23</f>
        <v>3522717.05</v>
      </c>
      <c r="F23" s="1253" t="s">
        <v>485</v>
      </c>
      <c r="G23" s="1254"/>
      <c r="H23" s="1254"/>
      <c r="I23" s="1255"/>
    </row>
    <row r="24" spans="1:9" s="8" customFormat="1" ht="41.1" customHeight="1" x14ac:dyDescent="0.2">
      <c r="A24" s="14" t="s">
        <v>86</v>
      </c>
      <c r="B24" s="140">
        <v>324607.52</v>
      </c>
      <c r="C24" s="140">
        <v>1962738</v>
      </c>
      <c r="D24" s="140">
        <v>1823599</v>
      </c>
      <c r="E24" s="140">
        <v>463746.52</v>
      </c>
      <c r="F24" s="1242" t="s">
        <v>486</v>
      </c>
      <c r="G24" s="1243"/>
      <c r="H24" s="1243"/>
      <c r="I24" s="1244"/>
    </row>
    <row r="25" spans="1:9" s="8" customFormat="1" ht="41.1" customHeight="1" x14ac:dyDescent="0.2">
      <c r="A25" s="14" t="s">
        <v>84</v>
      </c>
      <c r="B25" s="140">
        <v>30687</v>
      </c>
      <c r="C25" s="140">
        <v>40000</v>
      </c>
      <c r="D25" s="140">
        <v>14600</v>
      </c>
      <c r="E25" s="140">
        <f t="shared" ref="E25:E26" si="0">B25+C25-D25</f>
        <v>56087</v>
      </c>
      <c r="F25" s="1242" t="s">
        <v>487</v>
      </c>
      <c r="G25" s="1243"/>
      <c r="H25" s="1243"/>
      <c r="I25" s="1244"/>
    </row>
    <row r="26" spans="1:9" s="8" customFormat="1" ht="41.1" customHeight="1" x14ac:dyDescent="0.2">
      <c r="A26" s="15" t="s">
        <v>87</v>
      </c>
      <c r="B26" s="141">
        <v>929759.94</v>
      </c>
      <c r="C26" s="141">
        <v>757333</v>
      </c>
      <c r="D26" s="141">
        <v>503805.01</v>
      </c>
      <c r="E26" s="140">
        <f t="shared" si="0"/>
        <v>1183287.93</v>
      </c>
      <c r="F26" s="1245" t="s">
        <v>488</v>
      </c>
      <c r="G26" s="1246"/>
      <c r="H26" s="1246"/>
      <c r="I26" s="1247"/>
    </row>
    <row r="27" spans="1:9" s="7" customFormat="1" ht="10.199999999999999" x14ac:dyDescent="0.2">
      <c r="A27" s="10" t="s">
        <v>34</v>
      </c>
      <c r="B27" s="113">
        <f>SUM(B23:B26)</f>
        <v>2572824.6799999997</v>
      </c>
      <c r="C27" s="113">
        <f t="shared" ref="C27:E27" si="1">SUM(C23:C26)</f>
        <v>6376178.6299999999</v>
      </c>
      <c r="D27" s="113">
        <f t="shared" si="1"/>
        <v>3723164.8099999996</v>
      </c>
      <c r="E27" s="113">
        <f t="shared" si="1"/>
        <v>5225838.5</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45" t="s">
        <v>88</v>
      </c>
      <c r="B31" s="45" t="s">
        <v>25</v>
      </c>
      <c r="C31" s="137" t="s">
        <v>89</v>
      </c>
      <c r="D31" s="1256" t="s">
        <v>90</v>
      </c>
      <c r="E31" s="1256"/>
      <c r="F31" s="1256"/>
      <c r="G31" s="1256"/>
      <c r="H31" s="1256"/>
      <c r="I31" s="1256"/>
    </row>
    <row r="32" spans="1:9" s="8" customFormat="1" ht="15" customHeight="1" x14ac:dyDescent="0.2">
      <c r="A32" s="19"/>
      <c r="B32" s="139"/>
      <c r="C32" s="20"/>
      <c r="D32" s="1270" t="s">
        <v>96</v>
      </c>
      <c r="E32" s="1271"/>
      <c r="F32" s="1271"/>
      <c r="G32" s="1271"/>
      <c r="H32" s="1271"/>
      <c r="I32" s="1272"/>
    </row>
    <row r="33" spans="1:9" s="8" customFormat="1" ht="15" customHeight="1" x14ac:dyDescent="0.2">
      <c r="A33" s="18"/>
      <c r="B33" s="141"/>
      <c r="C33" s="32"/>
      <c r="D33" s="1273"/>
      <c r="E33" s="1274"/>
      <c r="F33" s="1274"/>
      <c r="G33" s="1274"/>
      <c r="H33" s="1274"/>
      <c r="I33" s="1275"/>
    </row>
    <row r="34" spans="1:9" s="8" customFormat="1" ht="15" customHeight="1" x14ac:dyDescent="0.2">
      <c r="A34" s="18"/>
      <c r="B34" s="141"/>
      <c r="C34" s="33"/>
      <c r="D34" s="1273"/>
      <c r="E34" s="1274"/>
      <c r="F34" s="1274"/>
      <c r="G34" s="1274"/>
      <c r="H34" s="1274"/>
      <c r="I34" s="1275"/>
    </row>
    <row r="35" spans="1:9" s="7" customFormat="1" ht="10.199999999999999" x14ac:dyDescent="0.2">
      <c r="A35" s="10" t="s">
        <v>34</v>
      </c>
      <c r="B35" s="113">
        <f>SUM(B32:B34)</f>
        <v>0</v>
      </c>
      <c r="C35" s="1276"/>
      <c r="D35" s="1277"/>
      <c r="E35" s="1277"/>
      <c r="F35" s="1277"/>
      <c r="G35" s="1277"/>
      <c r="H35" s="1277"/>
      <c r="I35" s="1278"/>
    </row>
    <row r="36" spans="1:9" s="8" customFormat="1" ht="10.199999999999999" x14ac:dyDescent="0.2">
      <c r="C36" s="116"/>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row>
    <row r="39" spans="1:9" s="8" customFormat="1" ht="10.199999999999999" x14ac:dyDescent="0.2">
      <c r="A39" s="45" t="s">
        <v>88</v>
      </c>
      <c r="B39" s="45" t="s">
        <v>25</v>
      </c>
      <c r="C39" s="137" t="s">
        <v>89</v>
      </c>
      <c r="D39" s="1279" t="s">
        <v>90</v>
      </c>
      <c r="E39" s="1279"/>
      <c r="F39" s="1279"/>
      <c r="G39" s="1279"/>
      <c r="H39" s="1279"/>
      <c r="I39" s="1280"/>
    </row>
    <row r="40" spans="1:9" s="8" customFormat="1" ht="15" customHeight="1" x14ac:dyDescent="0.2">
      <c r="A40" s="19"/>
      <c r="B40" s="139"/>
      <c r="C40" s="20"/>
      <c r="D40" s="1242"/>
      <c r="E40" s="1281"/>
      <c r="F40" s="1281"/>
      <c r="G40" s="1281"/>
      <c r="H40" s="1281"/>
      <c r="I40" s="1282"/>
    </row>
    <row r="41" spans="1:9" s="8" customFormat="1" ht="15" customHeight="1" x14ac:dyDescent="0.2">
      <c r="A41" s="21"/>
      <c r="B41" s="140"/>
      <c r="C41" s="22"/>
      <c r="D41" s="1242" t="s">
        <v>489</v>
      </c>
      <c r="E41" s="1281"/>
      <c r="F41" s="1281"/>
      <c r="G41" s="1281"/>
      <c r="H41" s="1281"/>
      <c r="I41" s="1282"/>
    </row>
    <row r="42" spans="1:9" s="8" customFormat="1" ht="15" customHeight="1" x14ac:dyDescent="0.2">
      <c r="A42" s="21"/>
      <c r="B42" s="140"/>
      <c r="C42" s="22"/>
      <c r="D42" s="1242"/>
      <c r="E42" s="1281"/>
      <c r="F42" s="1281"/>
      <c r="G42" s="1281"/>
      <c r="H42" s="1281"/>
      <c r="I42" s="1282"/>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C44" s="116"/>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row>
    <row r="47" spans="1:9" s="8" customFormat="1" ht="10.199999999999999" x14ac:dyDescent="0.2">
      <c r="A47" s="47" t="s">
        <v>25</v>
      </c>
      <c r="B47" s="143" t="s">
        <v>122</v>
      </c>
      <c r="C47" s="1285" t="s">
        <v>91</v>
      </c>
      <c r="D47" s="1285"/>
      <c r="E47" s="1285"/>
      <c r="F47" s="1285"/>
      <c r="G47" s="1285"/>
      <c r="H47" s="1285"/>
      <c r="I47" s="1286"/>
    </row>
    <row r="48" spans="1:9" s="8" customFormat="1" ht="15" customHeight="1" x14ac:dyDescent="0.2">
      <c r="A48" s="140">
        <v>15000</v>
      </c>
      <c r="B48" s="140">
        <v>15000</v>
      </c>
      <c r="C48" s="1287" t="s">
        <v>490</v>
      </c>
      <c r="D48" s="1287"/>
      <c r="E48" s="1287"/>
      <c r="F48" s="1287"/>
      <c r="G48" s="1287"/>
      <c r="H48" s="1287"/>
      <c r="I48" s="1287"/>
    </row>
    <row r="49" spans="1:9" s="8" customFormat="1" ht="15" customHeight="1" x14ac:dyDescent="0.2">
      <c r="A49" s="140">
        <v>5000</v>
      </c>
      <c r="B49" s="140">
        <v>5000</v>
      </c>
      <c r="C49" s="144" t="s">
        <v>490</v>
      </c>
      <c r="D49" s="144"/>
      <c r="E49" s="144"/>
      <c r="F49" s="144"/>
      <c r="G49" s="144"/>
      <c r="H49" s="144"/>
      <c r="I49" s="144"/>
    </row>
    <row r="50" spans="1:9" s="8" customFormat="1" ht="15" customHeight="1" x14ac:dyDescent="0.2">
      <c r="A50" s="140">
        <v>20000</v>
      </c>
      <c r="B50" s="140">
        <v>20000</v>
      </c>
      <c r="C50" s="144" t="s">
        <v>490</v>
      </c>
      <c r="D50" s="144"/>
      <c r="E50" s="144"/>
      <c r="F50" s="144"/>
      <c r="G50" s="144"/>
      <c r="H50" s="144"/>
      <c r="I50" s="144"/>
    </row>
    <row r="51" spans="1:9" s="8" customFormat="1" ht="15" customHeight="1" x14ac:dyDescent="0.2">
      <c r="A51" s="140">
        <v>30000</v>
      </c>
      <c r="B51" s="140">
        <v>30000</v>
      </c>
      <c r="C51" s="144" t="s">
        <v>490</v>
      </c>
      <c r="D51" s="144"/>
      <c r="E51" s="144"/>
      <c r="F51" s="144"/>
      <c r="G51" s="144"/>
      <c r="H51" s="144"/>
      <c r="I51" s="144"/>
    </row>
    <row r="52" spans="1:9" s="8" customFormat="1" ht="15" customHeight="1" x14ac:dyDescent="0.2">
      <c r="A52" s="140">
        <v>15000</v>
      </c>
      <c r="B52" s="140">
        <v>15000</v>
      </c>
      <c r="C52" s="144" t="s">
        <v>490</v>
      </c>
      <c r="D52" s="144"/>
      <c r="E52" s="144"/>
      <c r="F52" s="144"/>
      <c r="G52" s="144"/>
      <c r="H52" s="144"/>
      <c r="I52" s="144"/>
    </row>
    <row r="53" spans="1:9" s="8" customFormat="1" ht="15" customHeight="1" x14ac:dyDescent="0.2">
      <c r="A53" s="140">
        <v>15000</v>
      </c>
      <c r="B53" s="140">
        <v>15000</v>
      </c>
      <c r="C53" s="144" t="s">
        <v>490</v>
      </c>
      <c r="D53" s="144"/>
      <c r="E53" s="144"/>
      <c r="F53" s="144"/>
      <c r="G53" s="144"/>
      <c r="H53" s="144"/>
      <c r="I53" s="144"/>
    </row>
    <row r="54" spans="1:9" s="8" customFormat="1" ht="10.199999999999999" x14ac:dyDescent="0.2">
      <c r="A54" s="140"/>
      <c r="B54" s="140"/>
      <c r="C54" s="1287"/>
      <c r="D54" s="1287"/>
      <c r="E54" s="1287"/>
      <c r="F54" s="1287"/>
      <c r="G54" s="1287"/>
      <c r="H54" s="1287"/>
      <c r="I54" s="1287"/>
    </row>
    <row r="55" spans="1:9" s="8" customFormat="1" ht="10.199999999999999" x14ac:dyDescent="0.2">
      <c r="A55" s="141"/>
      <c r="B55" s="141"/>
      <c r="C55" s="1288"/>
      <c r="D55" s="1288"/>
      <c r="E55" s="1288"/>
      <c r="F55" s="1288"/>
      <c r="G55" s="1288"/>
      <c r="H55" s="1288"/>
      <c r="I55" s="1288"/>
    </row>
    <row r="56" spans="1:9" s="7" customFormat="1" ht="10.199999999999999" x14ac:dyDescent="0.2">
      <c r="A56" s="113">
        <f>A48+A49+A50+A51+A52+A53</f>
        <v>100000</v>
      </c>
      <c r="B56" s="113">
        <f>B48+B49+B50+B51+B52+B53</f>
        <v>100000</v>
      </c>
      <c r="C56" s="1289" t="s">
        <v>34</v>
      </c>
      <c r="D56" s="1289"/>
      <c r="E56" s="1289"/>
      <c r="F56" s="1289"/>
      <c r="G56" s="1289"/>
      <c r="H56" s="1289"/>
      <c r="I56" s="1289"/>
    </row>
    <row r="57" spans="1:9" s="8" customFormat="1" ht="10.199999999999999" x14ac:dyDescent="0.2">
      <c r="C57" s="116"/>
    </row>
    <row r="58" spans="1:9" s="8" customFormat="1" ht="10.199999999999999" x14ac:dyDescent="0.2">
      <c r="A58" s="1248" t="s">
        <v>123</v>
      </c>
      <c r="B58" s="1248"/>
      <c r="C58" s="1248"/>
      <c r="D58" s="1248"/>
      <c r="E58" s="1248"/>
      <c r="F58" s="1248"/>
      <c r="G58" s="1248"/>
      <c r="H58" s="1248"/>
      <c r="I58" s="1248"/>
    </row>
    <row r="59" spans="1:9" s="8" customFormat="1" ht="10.199999999999999" x14ac:dyDescent="0.2">
      <c r="A59" s="1256" t="s">
        <v>92</v>
      </c>
      <c r="B59" s="1256"/>
      <c r="C59" s="137" t="s">
        <v>93</v>
      </c>
      <c r="D59" s="45" t="s">
        <v>94</v>
      </c>
      <c r="E59" s="45" t="s">
        <v>25</v>
      </c>
      <c r="F59" s="23"/>
      <c r="G59" s="23"/>
      <c r="H59" s="23"/>
      <c r="I59" s="23"/>
    </row>
    <row r="60" spans="1:9" s="23" customFormat="1" ht="10.199999999999999" x14ac:dyDescent="0.2">
      <c r="A60" s="1540" t="s">
        <v>491</v>
      </c>
      <c r="B60" s="1541"/>
      <c r="C60" s="324" t="s">
        <v>300</v>
      </c>
      <c r="D60" s="325"/>
      <c r="E60" s="325">
        <v>71753</v>
      </c>
      <c r="F60" s="324"/>
      <c r="G60" s="324"/>
      <c r="H60" s="8"/>
      <c r="I60" s="8"/>
    </row>
    <row r="61" spans="1:9" s="8" customFormat="1" ht="11.25" customHeight="1" x14ac:dyDescent="0.2">
      <c r="A61" s="1547" t="s">
        <v>492</v>
      </c>
      <c r="B61" s="1548"/>
      <c r="C61" s="326">
        <v>5180390</v>
      </c>
      <c r="D61" s="327"/>
      <c r="E61" s="327">
        <v>8547</v>
      </c>
      <c r="F61" s="326"/>
      <c r="G61" s="326"/>
    </row>
    <row r="62" spans="1:9" s="8" customFormat="1" ht="11.25" customHeight="1" x14ac:dyDescent="0.2">
      <c r="A62" s="1547"/>
      <c r="B62" s="1548"/>
      <c r="C62" s="326" t="s">
        <v>288</v>
      </c>
      <c r="D62" s="327"/>
      <c r="E62" s="327">
        <v>39700</v>
      </c>
      <c r="F62" s="328">
        <v>43507</v>
      </c>
      <c r="G62" s="328">
        <v>43524</v>
      </c>
    </row>
    <row r="63" spans="1:9" s="8" customFormat="1" ht="11.25" customHeight="1" x14ac:dyDescent="0.2">
      <c r="A63" s="1543"/>
      <c r="B63" s="1544"/>
      <c r="C63" s="329" t="s">
        <v>493</v>
      </c>
      <c r="D63" s="330">
        <v>120000</v>
      </c>
      <c r="E63" s="330"/>
      <c r="F63" s="331" t="s">
        <v>494</v>
      </c>
      <c r="G63" s="332"/>
    </row>
    <row r="64" spans="1:9" s="8" customFormat="1" ht="11.25" customHeight="1" x14ac:dyDescent="0.2">
      <c r="A64" s="1540" t="s">
        <v>495</v>
      </c>
      <c r="B64" s="1541"/>
      <c r="C64" s="324" t="s">
        <v>323</v>
      </c>
      <c r="D64" s="325"/>
      <c r="E64" s="325">
        <v>427779</v>
      </c>
      <c r="F64" s="333">
        <v>43529</v>
      </c>
      <c r="G64" s="333"/>
    </row>
    <row r="65" spans="1:7" s="8" customFormat="1" ht="11.25" customHeight="1" x14ac:dyDescent="0.2">
      <c r="A65" s="1543" t="s">
        <v>496</v>
      </c>
      <c r="B65" s="1544"/>
      <c r="C65" s="329" t="s">
        <v>493</v>
      </c>
      <c r="D65" s="330">
        <v>427779</v>
      </c>
      <c r="E65" s="330"/>
      <c r="F65" s="334" t="s">
        <v>497</v>
      </c>
      <c r="G65" s="332">
        <v>43535</v>
      </c>
    </row>
    <row r="66" spans="1:7" s="8" customFormat="1" ht="11.25" customHeight="1" x14ac:dyDescent="0.2">
      <c r="A66" s="1540" t="s">
        <v>498</v>
      </c>
      <c r="B66" s="1541"/>
      <c r="C66" s="324" t="s">
        <v>330</v>
      </c>
      <c r="D66" s="325"/>
      <c r="E66" s="325">
        <v>384000</v>
      </c>
      <c r="F66" s="333">
        <v>43529</v>
      </c>
      <c r="G66" s="333"/>
    </row>
    <row r="67" spans="1:7" s="8" customFormat="1" ht="11.25" customHeight="1" x14ac:dyDescent="0.2">
      <c r="A67" s="1545" t="s">
        <v>499</v>
      </c>
      <c r="B67" s="1546"/>
      <c r="C67" s="335" t="s">
        <v>493</v>
      </c>
      <c r="D67" s="336">
        <v>384000</v>
      </c>
      <c r="E67" s="336"/>
      <c r="F67" s="337" t="s">
        <v>500</v>
      </c>
      <c r="G67" s="338">
        <v>43535</v>
      </c>
    </row>
    <row r="68" spans="1:7" s="8" customFormat="1" ht="11.25" customHeight="1" x14ac:dyDescent="0.2">
      <c r="A68" s="1547" t="s">
        <v>501</v>
      </c>
      <c r="B68" s="1548"/>
      <c r="C68" s="339" t="s">
        <v>330</v>
      </c>
      <c r="D68" s="340"/>
      <c r="E68" s="340">
        <v>174000</v>
      </c>
      <c r="F68" s="341">
        <v>43543</v>
      </c>
      <c r="G68" s="341"/>
    </row>
    <row r="69" spans="1:7" s="8" customFormat="1" ht="11.25" customHeight="1" x14ac:dyDescent="0.2">
      <c r="A69" s="1519" t="s">
        <v>502</v>
      </c>
      <c r="B69" s="1520"/>
      <c r="C69" s="339" t="s">
        <v>493</v>
      </c>
      <c r="D69" s="342">
        <v>174000</v>
      </c>
      <c r="E69" s="342"/>
      <c r="F69" s="343" t="s">
        <v>503</v>
      </c>
      <c r="G69" s="344">
        <v>43545</v>
      </c>
    </row>
    <row r="70" spans="1:7" s="8" customFormat="1" ht="11.25" customHeight="1" x14ac:dyDescent="0.2">
      <c r="A70" s="1540" t="s">
        <v>504</v>
      </c>
      <c r="B70" s="1541"/>
      <c r="C70" s="345" t="s">
        <v>330</v>
      </c>
      <c r="D70" s="346"/>
      <c r="E70" s="346">
        <v>337000</v>
      </c>
      <c r="F70" s="347">
        <v>43571</v>
      </c>
      <c r="G70" s="347"/>
    </row>
    <row r="71" spans="1:7" s="8" customFormat="1" ht="11.25" customHeight="1" x14ac:dyDescent="0.2">
      <c r="A71" s="1519" t="s">
        <v>505</v>
      </c>
      <c r="B71" s="1520"/>
      <c r="C71" s="348" t="s">
        <v>308</v>
      </c>
      <c r="D71" s="342">
        <v>337000</v>
      </c>
      <c r="E71" s="342"/>
      <c r="F71" s="343" t="s">
        <v>506</v>
      </c>
      <c r="G71" s="344">
        <v>43585</v>
      </c>
    </row>
    <row r="72" spans="1:7" s="8" customFormat="1" ht="11.25" customHeight="1" x14ac:dyDescent="0.2">
      <c r="A72" s="1521" t="s">
        <v>507</v>
      </c>
      <c r="B72" s="1522"/>
      <c r="C72" s="349" t="s">
        <v>330</v>
      </c>
      <c r="D72" s="346"/>
      <c r="E72" s="346">
        <v>233416</v>
      </c>
      <c r="F72" s="347">
        <v>43599</v>
      </c>
      <c r="G72" s="347"/>
    </row>
    <row r="73" spans="1:7" s="8" customFormat="1" ht="11.25" customHeight="1" x14ac:dyDescent="0.2">
      <c r="A73" s="1519"/>
      <c r="B73" s="1520"/>
      <c r="C73" s="350" t="s">
        <v>508</v>
      </c>
      <c r="D73" s="342">
        <v>233416</v>
      </c>
      <c r="E73" s="342"/>
      <c r="F73" s="344"/>
      <c r="G73" s="344">
        <v>43599</v>
      </c>
    </row>
    <row r="74" spans="1:7" s="8" customFormat="1" ht="11.25" customHeight="1" x14ac:dyDescent="0.2">
      <c r="A74" s="1521" t="s">
        <v>509</v>
      </c>
      <c r="B74" s="1542"/>
      <c r="C74" s="351" t="s">
        <v>510</v>
      </c>
      <c r="D74" s="352"/>
      <c r="E74" s="353">
        <v>8819</v>
      </c>
      <c r="F74" s="347"/>
      <c r="G74" s="347"/>
    </row>
    <row r="75" spans="1:7" s="8" customFormat="1" ht="11.25" customHeight="1" x14ac:dyDescent="0.2">
      <c r="A75" s="1519" t="s">
        <v>511</v>
      </c>
      <c r="B75" s="1536"/>
      <c r="C75" s="354" t="s">
        <v>512</v>
      </c>
      <c r="D75" s="355"/>
      <c r="E75" s="356">
        <v>1181</v>
      </c>
      <c r="F75" s="357">
        <v>43605</v>
      </c>
      <c r="G75" s="357">
        <v>43607</v>
      </c>
    </row>
    <row r="76" spans="1:7" s="8" customFormat="1" ht="11.25" customHeight="1" x14ac:dyDescent="0.2">
      <c r="A76" s="1537"/>
      <c r="B76" s="1538"/>
      <c r="C76" s="348" t="s">
        <v>493</v>
      </c>
      <c r="D76" s="358">
        <v>10000</v>
      </c>
      <c r="E76" s="359"/>
      <c r="F76" s="343" t="s">
        <v>513</v>
      </c>
      <c r="G76" s="344"/>
    </row>
    <row r="77" spans="1:7" s="8" customFormat="1" ht="11.25" customHeight="1" x14ac:dyDescent="0.2">
      <c r="A77" s="1521" t="s">
        <v>514</v>
      </c>
      <c r="B77" s="1522"/>
      <c r="C77" s="339" t="s">
        <v>515</v>
      </c>
      <c r="D77" s="346"/>
      <c r="E77" s="360">
        <v>100000</v>
      </c>
      <c r="F77" s="347">
        <v>43640</v>
      </c>
      <c r="G77" s="347"/>
    </row>
    <row r="78" spans="1:7" s="8" customFormat="1" ht="11.25" customHeight="1" x14ac:dyDescent="0.2">
      <c r="A78" s="1525" t="s">
        <v>516</v>
      </c>
      <c r="B78" s="1526"/>
      <c r="C78" s="361" t="s">
        <v>493</v>
      </c>
      <c r="D78" s="342">
        <v>100000</v>
      </c>
      <c r="E78" s="362"/>
      <c r="F78" s="343" t="s">
        <v>517</v>
      </c>
      <c r="G78" s="344">
        <v>43643</v>
      </c>
    </row>
    <row r="79" spans="1:7" s="8" customFormat="1" ht="11.25" customHeight="1" x14ac:dyDescent="0.2">
      <c r="A79" s="1519" t="s">
        <v>518</v>
      </c>
      <c r="B79" s="1539"/>
      <c r="C79" s="351" t="s">
        <v>292</v>
      </c>
      <c r="D79" s="363"/>
      <c r="E79" s="360">
        <v>116026</v>
      </c>
      <c r="F79" s="347">
        <v>43641</v>
      </c>
      <c r="G79" s="347"/>
    </row>
    <row r="80" spans="1:7" s="8" customFormat="1" ht="11.25" customHeight="1" x14ac:dyDescent="0.2">
      <c r="A80" s="364"/>
      <c r="B80" s="365"/>
      <c r="C80" s="349" t="s">
        <v>300</v>
      </c>
      <c r="D80" s="366"/>
      <c r="E80" s="367">
        <v>38974</v>
      </c>
      <c r="F80" s="357"/>
      <c r="G80" s="357"/>
    </row>
    <row r="81" spans="1:7" s="8" customFormat="1" ht="11.25" customHeight="1" x14ac:dyDescent="0.2">
      <c r="A81" s="1519"/>
      <c r="B81" s="1520"/>
      <c r="C81" s="349" t="s">
        <v>330</v>
      </c>
      <c r="D81" s="368"/>
      <c r="E81" s="367">
        <v>280000</v>
      </c>
      <c r="F81" s="357"/>
      <c r="G81" s="357"/>
    </row>
    <row r="82" spans="1:7" s="8" customFormat="1" ht="11.25" customHeight="1" x14ac:dyDescent="0.2">
      <c r="A82" s="1525" t="s">
        <v>519</v>
      </c>
      <c r="B82" s="1526"/>
      <c r="C82" s="348" t="s">
        <v>493</v>
      </c>
      <c r="D82" s="342">
        <v>435000</v>
      </c>
      <c r="E82" s="369"/>
      <c r="F82" s="343" t="s">
        <v>520</v>
      </c>
      <c r="G82" s="344">
        <v>43646</v>
      </c>
    </row>
    <row r="83" spans="1:7" s="8" customFormat="1" ht="11.25" customHeight="1" x14ac:dyDescent="0.2">
      <c r="A83" s="1521" t="s">
        <v>521</v>
      </c>
      <c r="B83" s="1522"/>
      <c r="C83" s="370" t="s">
        <v>522</v>
      </c>
      <c r="D83" s="371"/>
      <c r="E83" s="372">
        <v>-260000</v>
      </c>
      <c r="F83" s="373"/>
      <c r="G83" s="373"/>
    </row>
    <row r="84" spans="1:7" s="8" customFormat="1" ht="11.25" customHeight="1" x14ac:dyDescent="0.2">
      <c r="A84" s="1519" t="s">
        <v>523</v>
      </c>
      <c r="B84" s="1520"/>
      <c r="C84" s="354" t="s">
        <v>330</v>
      </c>
      <c r="D84" s="366"/>
      <c r="E84" s="367">
        <v>180000</v>
      </c>
      <c r="F84" s="357">
        <v>43711</v>
      </c>
      <c r="G84" s="357">
        <v>43711</v>
      </c>
    </row>
    <row r="85" spans="1:7" s="8" customFormat="1" ht="11.25" customHeight="1" x14ac:dyDescent="0.2">
      <c r="A85" s="1519" t="s">
        <v>524</v>
      </c>
      <c r="B85" s="1520"/>
      <c r="C85" s="361" t="s">
        <v>300</v>
      </c>
      <c r="D85" s="374"/>
      <c r="E85" s="362">
        <v>80000</v>
      </c>
      <c r="F85" s="344"/>
      <c r="G85" s="344"/>
    </row>
    <row r="86" spans="1:7" s="8" customFormat="1" ht="11.25" customHeight="1" x14ac:dyDescent="0.2">
      <c r="A86" s="1521" t="s">
        <v>525</v>
      </c>
      <c r="B86" s="1522"/>
      <c r="C86" s="370" t="s">
        <v>254</v>
      </c>
      <c r="D86" s="375"/>
      <c r="E86" s="372">
        <v>14600</v>
      </c>
      <c r="F86" s="373"/>
      <c r="G86" s="373"/>
    </row>
    <row r="87" spans="1:7" s="8" customFormat="1" ht="11.25" customHeight="1" x14ac:dyDescent="0.2">
      <c r="A87" s="1519"/>
      <c r="B87" s="1520"/>
      <c r="C87" s="354" t="s">
        <v>526</v>
      </c>
      <c r="D87" s="366">
        <v>14600</v>
      </c>
      <c r="E87" s="367"/>
      <c r="F87" s="357">
        <v>43708</v>
      </c>
      <c r="G87" s="357">
        <v>43708</v>
      </c>
    </row>
    <row r="88" spans="1:7" s="8" customFormat="1" ht="11.25" customHeight="1" x14ac:dyDescent="0.2">
      <c r="A88" s="1521" t="s">
        <v>527</v>
      </c>
      <c r="B88" s="1522"/>
      <c r="C88" s="370">
        <v>6480350</v>
      </c>
      <c r="D88" s="371">
        <v>15000</v>
      </c>
      <c r="E88" s="372"/>
      <c r="F88" s="373"/>
      <c r="G88" s="373"/>
    </row>
    <row r="89" spans="1:7" s="8" customFormat="1" ht="11.25" customHeight="1" x14ac:dyDescent="0.2">
      <c r="A89" s="1519"/>
      <c r="B89" s="1520"/>
      <c r="C89" s="354">
        <v>5580800</v>
      </c>
      <c r="D89" s="366"/>
      <c r="E89" s="367">
        <v>15000</v>
      </c>
      <c r="F89" s="357">
        <v>43731</v>
      </c>
      <c r="G89" s="357">
        <v>43731</v>
      </c>
    </row>
    <row r="90" spans="1:7" s="8" customFormat="1" ht="11.25" customHeight="1" x14ac:dyDescent="0.2">
      <c r="A90" s="1521" t="s">
        <v>528</v>
      </c>
      <c r="B90" s="1522"/>
      <c r="C90" s="370" t="s">
        <v>529</v>
      </c>
      <c r="D90" s="346">
        <v>62815</v>
      </c>
      <c r="E90" s="360"/>
      <c r="F90" s="347"/>
      <c r="G90" s="347">
        <v>43733</v>
      </c>
    </row>
    <row r="91" spans="1:7" s="8" customFormat="1" ht="11.25" customHeight="1" x14ac:dyDescent="0.2">
      <c r="A91" s="1519"/>
      <c r="B91" s="1520"/>
      <c r="C91" s="354">
        <v>5010710</v>
      </c>
      <c r="D91" s="368"/>
      <c r="E91" s="376">
        <v>9192</v>
      </c>
      <c r="F91" s="357"/>
      <c r="G91" s="357"/>
    </row>
    <row r="92" spans="1:7" s="8" customFormat="1" ht="11.25" customHeight="1" x14ac:dyDescent="0.2">
      <c r="A92" s="1519"/>
      <c r="B92" s="1520"/>
      <c r="C92" s="339">
        <v>5010490</v>
      </c>
      <c r="D92" s="368"/>
      <c r="E92" s="377">
        <v>1136</v>
      </c>
      <c r="F92" s="357">
        <v>43733</v>
      </c>
      <c r="G92" s="357"/>
    </row>
    <row r="93" spans="1:7" s="8" customFormat="1" ht="11.25" customHeight="1" x14ac:dyDescent="0.2">
      <c r="A93" s="1525"/>
      <c r="B93" s="1526"/>
      <c r="C93" s="348">
        <v>5580710</v>
      </c>
      <c r="D93" s="342"/>
      <c r="E93" s="362">
        <v>52487</v>
      </c>
      <c r="F93" s="344"/>
      <c r="G93" s="344"/>
    </row>
    <row r="94" spans="1:7" s="8" customFormat="1" ht="11.25" customHeight="1" x14ac:dyDescent="0.2">
      <c r="A94" s="1521" t="s">
        <v>530</v>
      </c>
      <c r="B94" s="1522"/>
      <c r="C94" s="349" t="s">
        <v>531</v>
      </c>
      <c r="D94" s="346"/>
      <c r="E94" s="360">
        <v>-154426</v>
      </c>
      <c r="F94" s="347"/>
      <c r="G94" s="347"/>
    </row>
    <row r="95" spans="1:7" s="8" customFormat="1" ht="11.25" customHeight="1" x14ac:dyDescent="0.2">
      <c r="A95" s="1519" t="s">
        <v>532</v>
      </c>
      <c r="B95" s="1520"/>
      <c r="C95" s="349" t="s">
        <v>533</v>
      </c>
      <c r="D95" s="368"/>
      <c r="E95" s="367">
        <v>50000</v>
      </c>
      <c r="F95" s="357">
        <v>43769</v>
      </c>
      <c r="G95" s="357">
        <v>43769</v>
      </c>
    </row>
    <row r="96" spans="1:7" s="8" customFormat="1" ht="11.25" customHeight="1" x14ac:dyDescent="0.2">
      <c r="A96" s="364"/>
      <c r="B96" s="378"/>
      <c r="C96" s="349" t="s">
        <v>418</v>
      </c>
      <c r="D96" s="368"/>
      <c r="E96" s="367">
        <v>40000</v>
      </c>
      <c r="F96" s="357"/>
      <c r="G96" s="357"/>
    </row>
    <row r="97" spans="1:7" s="8" customFormat="1" ht="11.25" customHeight="1" x14ac:dyDescent="0.2">
      <c r="A97" s="1519"/>
      <c r="B97" s="1520"/>
      <c r="C97" s="349" t="s">
        <v>534</v>
      </c>
      <c r="D97" s="342"/>
      <c r="E97" s="362">
        <v>64426</v>
      </c>
      <c r="F97" s="344"/>
      <c r="G97" s="344"/>
    </row>
    <row r="98" spans="1:7" s="8" customFormat="1" ht="11.25" customHeight="1" x14ac:dyDescent="0.2">
      <c r="A98" s="1521" t="s">
        <v>535</v>
      </c>
      <c r="B98" s="1522"/>
      <c r="C98" s="370">
        <v>6480350</v>
      </c>
      <c r="D98" s="346">
        <v>30000</v>
      </c>
      <c r="E98" s="360"/>
      <c r="F98" s="347"/>
      <c r="G98" s="347"/>
    </row>
    <row r="99" spans="1:7" s="8" customFormat="1" ht="11.25" customHeight="1" x14ac:dyDescent="0.2">
      <c r="A99" s="1525"/>
      <c r="B99" s="1526"/>
      <c r="C99" s="361">
        <v>5010360</v>
      </c>
      <c r="D99" s="342"/>
      <c r="E99" s="362">
        <v>30000</v>
      </c>
      <c r="F99" s="344">
        <v>43773</v>
      </c>
      <c r="G99" s="344">
        <v>43773</v>
      </c>
    </row>
    <row r="100" spans="1:7" s="8" customFormat="1" ht="11.25" customHeight="1" x14ac:dyDescent="0.2">
      <c r="A100" s="1521" t="s">
        <v>536</v>
      </c>
      <c r="B100" s="1522"/>
      <c r="C100" s="370">
        <v>6480350</v>
      </c>
      <c r="D100" s="346">
        <v>20000</v>
      </c>
      <c r="E100" s="360"/>
      <c r="F100" s="347"/>
      <c r="G100" s="347"/>
    </row>
    <row r="101" spans="1:7" s="8" customFormat="1" ht="11.25" customHeight="1" x14ac:dyDescent="0.2">
      <c r="A101" s="1519"/>
      <c r="B101" s="1520"/>
      <c r="C101" s="354">
        <v>5010431</v>
      </c>
      <c r="D101" s="342"/>
      <c r="E101" s="362">
        <v>20000</v>
      </c>
      <c r="F101" s="344">
        <v>43774</v>
      </c>
      <c r="G101" s="344">
        <v>43774</v>
      </c>
    </row>
    <row r="102" spans="1:7" s="8" customFormat="1" ht="11.25" customHeight="1" x14ac:dyDescent="0.2">
      <c r="A102" s="1521" t="s">
        <v>537</v>
      </c>
      <c r="B102" s="1522"/>
      <c r="C102" s="370">
        <v>6480350</v>
      </c>
      <c r="D102" s="371">
        <v>5000</v>
      </c>
      <c r="E102" s="372"/>
      <c r="F102" s="373"/>
      <c r="G102" s="373"/>
    </row>
    <row r="103" spans="1:7" s="8" customFormat="1" ht="11.25" customHeight="1" x14ac:dyDescent="0.2">
      <c r="A103" s="1519"/>
      <c r="B103" s="1520"/>
      <c r="C103" s="361">
        <v>5010360</v>
      </c>
      <c r="D103" s="379"/>
      <c r="E103" s="380">
        <v>5000</v>
      </c>
      <c r="F103" s="381">
        <v>43775</v>
      </c>
      <c r="G103" s="381" t="s">
        <v>538</v>
      </c>
    </row>
    <row r="104" spans="1:7" s="8" customFormat="1" ht="11.25" customHeight="1" x14ac:dyDescent="0.2">
      <c r="A104" s="1521" t="s">
        <v>539</v>
      </c>
      <c r="B104" s="1522"/>
      <c r="C104" s="382">
        <v>6480710</v>
      </c>
      <c r="D104" s="340">
        <v>9443.01</v>
      </c>
      <c r="E104" s="383"/>
      <c r="F104" s="341"/>
      <c r="G104" s="341"/>
    </row>
    <row r="105" spans="1:7" s="8" customFormat="1" ht="11.25" customHeight="1" x14ac:dyDescent="0.2">
      <c r="A105" s="1525"/>
      <c r="B105" s="1526"/>
      <c r="C105" s="384">
        <v>5270310</v>
      </c>
      <c r="D105" s="342"/>
      <c r="E105" s="362">
        <v>9443.01</v>
      </c>
      <c r="F105" s="344">
        <v>43781</v>
      </c>
      <c r="G105" s="344">
        <v>43781</v>
      </c>
    </row>
    <row r="106" spans="1:7" s="8" customFormat="1" ht="11.25" customHeight="1" x14ac:dyDescent="0.2">
      <c r="A106" s="1521" t="s">
        <v>540</v>
      </c>
      <c r="B106" s="1522"/>
      <c r="C106" s="385">
        <v>5180340</v>
      </c>
      <c r="D106" s="346"/>
      <c r="E106" s="360">
        <v>10375</v>
      </c>
      <c r="F106" s="347">
        <v>43784</v>
      </c>
      <c r="G106" s="347"/>
    </row>
    <row r="107" spans="1:7" s="8" customFormat="1" ht="11.25" customHeight="1" x14ac:dyDescent="0.2">
      <c r="A107" s="1525" t="s">
        <v>541</v>
      </c>
      <c r="B107" s="1526"/>
      <c r="C107" s="386">
        <v>6720400</v>
      </c>
      <c r="D107" s="342">
        <v>10375</v>
      </c>
      <c r="E107" s="362"/>
      <c r="F107" s="343" t="s">
        <v>542</v>
      </c>
      <c r="G107" s="344">
        <v>43784</v>
      </c>
    </row>
    <row r="108" spans="1:7" s="8" customFormat="1" ht="11.25" customHeight="1" x14ac:dyDescent="0.2">
      <c r="A108" s="1521" t="s">
        <v>543</v>
      </c>
      <c r="B108" s="1522"/>
      <c r="C108" s="385" t="s">
        <v>386</v>
      </c>
      <c r="D108" s="346"/>
      <c r="E108" s="360">
        <v>-11000</v>
      </c>
      <c r="F108" s="347"/>
      <c r="G108" s="347"/>
    </row>
    <row r="109" spans="1:7" s="8" customFormat="1" ht="11.25" customHeight="1" x14ac:dyDescent="0.2">
      <c r="A109" s="1519" t="s">
        <v>544</v>
      </c>
      <c r="B109" s="1520"/>
      <c r="C109" s="387" t="s">
        <v>254</v>
      </c>
      <c r="D109" s="368"/>
      <c r="E109" s="367">
        <v>8000</v>
      </c>
      <c r="F109" s="357">
        <v>43788</v>
      </c>
      <c r="G109" s="357">
        <v>43797</v>
      </c>
    </row>
    <row r="110" spans="1:7" s="8" customFormat="1" ht="11.25" customHeight="1" x14ac:dyDescent="0.2">
      <c r="A110" s="1531" t="s">
        <v>545</v>
      </c>
      <c r="B110" s="1320"/>
      <c r="C110" s="386" t="s">
        <v>257</v>
      </c>
      <c r="D110" s="342"/>
      <c r="E110" s="362">
        <v>3000</v>
      </c>
      <c r="F110" s="343" t="s">
        <v>546</v>
      </c>
      <c r="G110" s="344"/>
    </row>
    <row r="111" spans="1:7" s="8" customFormat="1" ht="11.25" customHeight="1" x14ac:dyDescent="0.2">
      <c r="A111" s="1532" t="s">
        <v>547</v>
      </c>
      <c r="B111" s="1533"/>
      <c r="C111" s="388">
        <v>6480350</v>
      </c>
      <c r="D111" s="389">
        <v>15000</v>
      </c>
      <c r="E111" s="390"/>
      <c r="F111" s="391"/>
      <c r="G111" s="391"/>
    </row>
    <row r="112" spans="1:7" s="8" customFormat="1" ht="11.25" customHeight="1" x14ac:dyDescent="0.2">
      <c r="A112" s="392"/>
      <c r="B112" s="393"/>
      <c r="C112" s="394">
        <v>5010431</v>
      </c>
      <c r="D112" s="395"/>
      <c r="E112" s="396">
        <v>8000</v>
      </c>
      <c r="F112" s="397">
        <v>43801</v>
      </c>
      <c r="G112" s="397">
        <v>43801</v>
      </c>
    </row>
    <row r="113" spans="1:7" s="8" customFormat="1" ht="11.25" customHeight="1" x14ac:dyDescent="0.2">
      <c r="A113" s="1534" t="s">
        <v>548</v>
      </c>
      <c r="B113" s="1535"/>
      <c r="C113" s="398">
        <v>5010649</v>
      </c>
      <c r="D113" s="399"/>
      <c r="E113" s="400">
        <v>7000</v>
      </c>
      <c r="F113" s="401"/>
      <c r="G113" s="401"/>
    </row>
    <row r="114" spans="1:7" s="8" customFormat="1" ht="11.25" customHeight="1" x14ac:dyDescent="0.2">
      <c r="A114" s="1519" t="s">
        <v>549</v>
      </c>
      <c r="B114" s="1520"/>
      <c r="C114" s="382" t="s">
        <v>522</v>
      </c>
      <c r="D114" s="346"/>
      <c r="E114" s="360">
        <v>-110000</v>
      </c>
      <c r="F114" s="347"/>
      <c r="G114" s="347"/>
    </row>
    <row r="115" spans="1:7" s="8" customFormat="1" ht="11.25" customHeight="1" x14ac:dyDescent="0.2">
      <c r="A115" s="1519" t="s">
        <v>550</v>
      </c>
      <c r="B115" s="1520"/>
      <c r="C115" s="354" t="s">
        <v>330</v>
      </c>
      <c r="D115" s="366"/>
      <c r="E115" s="367">
        <v>60000</v>
      </c>
      <c r="F115" s="357">
        <v>43801</v>
      </c>
      <c r="G115" s="357">
        <v>43801</v>
      </c>
    </row>
    <row r="116" spans="1:7" s="8" customFormat="1" ht="11.25" customHeight="1" x14ac:dyDescent="0.2">
      <c r="A116" s="1525" t="s">
        <v>551</v>
      </c>
      <c r="B116" s="1526"/>
      <c r="C116" s="348" t="s">
        <v>300</v>
      </c>
      <c r="D116" s="374"/>
      <c r="E116" s="362">
        <v>50000</v>
      </c>
      <c r="F116" s="344"/>
      <c r="G116" s="344"/>
    </row>
    <row r="117" spans="1:7" s="8" customFormat="1" ht="11.25" customHeight="1" x14ac:dyDescent="0.2">
      <c r="A117" s="1523" t="s">
        <v>552</v>
      </c>
      <c r="B117" s="1524"/>
      <c r="C117" s="382" t="s">
        <v>553</v>
      </c>
      <c r="D117" s="346">
        <v>30000</v>
      </c>
      <c r="E117" s="360"/>
      <c r="F117" s="347">
        <v>43809</v>
      </c>
      <c r="G117" s="347"/>
    </row>
    <row r="118" spans="1:7" s="8" customFormat="1" ht="11.25" customHeight="1" x14ac:dyDescent="0.2">
      <c r="A118" s="1525" t="s">
        <v>554</v>
      </c>
      <c r="B118" s="1526"/>
      <c r="C118" s="386" t="s">
        <v>555</v>
      </c>
      <c r="D118" s="342"/>
      <c r="E118" s="362">
        <v>30000</v>
      </c>
      <c r="F118" s="344"/>
      <c r="G118" s="344">
        <v>43809</v>
      </c>
    </row>
    <row r="119" spans="1:7" s="8" customFormat="1" ht="11.25" customHeight="1" x14ac:dyDescent="0.2">
      <c r="A119" s="1523" t="s">
        <v>556</v>
      </c>
      <c r="B119" s="1524"/>
      <c r="C119" s="382" t="s">
        <v>557</v>
      </c>
      <c r="D119" s="346">
        <v>42000</v>
      </c>
      <c r="E119" s="360"/>
      <c r="F119" s="347">
        <v>43809</v>
      </c>
      <c r="G119" s="347"/>
    </row>
    <row r="120" spans="1:7" s="8" customFormat="1" ht="11.25" customHeight="1" x14ac:dyDescent="0.2">
      <c r="A120" s="1527"/>
      <c r="B120" s="1528"/>
      <c r="C120" s="384" t="s">
        <v>371</v>
      </c>
      <c r="D120" s="342"/>
      <c r="E120" s="362">
        <v>42000</v>
      </c>
      <c r="F120" s="344"/>
      <c r="G120" s="344">
        <v>43809</v>
      </c>
    </row>
    <row r="121" spans="1:7" s="8" customFormat="1" ht="11.25" customHeight="1" x14ac:dyDescent="0.2">
      <c r="A121" s="1529" t="s">
        <v>558</v>
      </c>
      <c r="B121" s="1530"/>
      <c r="C121" s="382" t="s">
        <v>300</v>
      </c>
      <c r="D121" s="346"/>
      <c r="E121" s="360">
        <v>-40000</v>
      </c>
      <c r="F121" s="347"/>
      <c r="G121" s="347"/>
    </row>
    <row r="122" spans="1:7" s="8" customFormat="1" ht="11.25" customHeight="1" x14ac:dyDescent="0.2">
      <c r="A122" s="1525"/>
      <c r="B122" s="1526"/>
      <c r="C122" s="386" t="s">
        <v>292</v>
      </c>
      <c r="D122" s="342"/>
      <c r="E122" s="362">
        <v>40000</v>
      </c>
      <c r="F122" s="344"/>
      <c r="G122" s="344"/>
    </row>
    <row r="123" spans="1:7" s="8" customFormat="1" ht="11.25" customHeight="1" x14ac:dyDescent="0.2">
      <c r="A123" s="1523" t="s">
        <v>559</v>
      </c>
      <c r="B123" s="1524"/>
      <c r="C123" s="382">
        <v>5020320</v>
      </c>
      <c r="D123" s="346"/>
      <c r="E123" s="360">
        <v>-50000</v>
      </c>
      <c r="F123" s="347"/>
      <c r="G123" s="347"/>
    </row>
    <row r="124" spans="1:7" s="8" customFormat="1" ht="11.25" customHeight="1" x14ac:dyDescent="0.2">
      <c r="A124" s="1519" t="s">
        <v>560</v>
      </c>
      <c r="B124" s="1520"/>
      <c r="C124" s="402">
        <v>5010330</v>
      </c>
      <c r="D124" s="368"/>
      <c r="E124" s="367">
        <v>50000</v>
      </c>
      <c r="F124" s="357">
        <v>43811</v>
      </c>
      <c r="G124" s="357">
        <v>43811</v>
      </c>
    </row>
    <row r="125" spans="1:7" s="8" customFormat="1" ht="11.25" customHeight="1" x14ac:dyDescent="0.2">
      <c r="A125" s="1513" t="s">
        <v>561</v>
      </c>
      <c r="B125" s="1514"/>
      <c r="C125" s="403">
        <v>5020330</v>
      </c>
      <c r="D125" s="368"/>
      <c r="E125" s="367">
        <v>-15000</v>
      </c>
      <c r="F125" s="357"/>
      <c r="G125" s="357"/>
    </row>
    <row r="126" spans="1:7" s="8" customFormat="1" ht="11.25" customHeight="1" x14ac:dyDescent="0.2">
      <c r="A126" s="1519" t="s">
        <v>562</v>
      </c>
      <c r="B126" s="1520"/>
      <c r="C126" s="402" t="s">
        <v>254</v>
      </c>
      <c r="D126" s="368"/>
      <c r="E126" s="367">
        <v>11000</v>
      </c>
      <c r="F126" s="357">
        <v>43809</v>
      </c>
      <c r="G126" s="357">
        <v>43817</v>
      </c>
    </row>
    <row r="127" spans="1:7" s="8" customFormat="1" ht="11.25" customHeight="1" x14ac:dyDescent="0.2">
      <c r="A127" s="404"/>
      <c r="B127" s="405"/>
      <c r="C127" s="406" t="s">
        <v>257</v>
      </c>
      <c r="D127" s="368"/>
      <c r="E127" s="367">
        <v>4000</v>
      </c>
      <c r="F127" s="357"/>
      <c r="G127" s="357"/>
    </row>
    <row r="128" spans="1:7" s="8" customFormat="1" ht="11.25" customHeight="1" x14ac:dyDescent="0.2">
      <c r="A128" s="404"/>
      <c r="B128" s="405"/>
      <c r="C128" s="406">
        <v>6720500</v>
      </c>
      <c r="D128" s="368">
        <v>-15000</v>
      </c>
      <c r="E128" s="367"/>
      <c r="F128" s="357"/>
      <c r="G128" s="357"/>
    </row>
    <row r="129" spans="1:9" s="8" customFormat="1" ht="11.25" customHeight="1" x14ac:dyDescent="0.2">
      <c r="A129" s="407"/>
      <c r="B129" s="408"/>
      <c r="C129" s="386">
        <v>6720400</v>
      </c>
      <c r="D129" s="342">
        <v>15000</v>
      </c>
      <c r="E129" s="362"/>
      <c r="F129" s="343" t="s">
        <v>563</v>
      </c>
      <c r="G129" s="344"/>
    </row>
    <row r="130" spans="1:9" s="8" customFormat="1" ht="11.25" customHeight="1" x14ac:dyDescent="0.2">
      <c r="A130" s="1521" t="s">
        <v>564</v>
      </c>
      <c r="B130" s="1522"/>
      <c r="C130" s="402">
        <v>6480350</v>
      </c>
      <c r="D130" s="346">
        <v>15000</v>
      </c>
      <c r="E130" s="360"/>
      <c r="F130" s="347"/>
      <c r="G130" s="347"/>
    </row>
    <row r="131" spans="1:9" s="8" customFormat="1" ht="11.25" customHeight="1" x14ac:dyDescent="0.2">
      <c r="A131" s="1513" t="s">
        <v>565</v>
      </c>
      <c r="B131" s="1514"/>
      <c r="C131" s="403">
        <v>5580300</v>
      </c>
      <c r="D131" s="340"/>
      <c r="E131" s="383">
        <v>15000</v>
      </c>
      <c r="F131" s="341">
        <v>43819</v>
      </c>
      <c r="G131" s="341">
        <v>43819</v>
      </c>
    </row>
    <row r="132" spans="1:9" s="8" customFormat="1" ht="11.25" customHeight="1" x14ac:dyDescent="0.2">
      <c r="A132" s="1523" t="s">
        <v>566</v>
      </c>
      <c r="B132" s="1524"/>
      <c r="C132" s="382">
        <v>5110300</v>
      </c>
      <c r="D132" s="346"/>
      <c r="E132" s="360">
        <v>-64000</v>
      </c>
      <c r="F132" s="347"/>
      <c r="G132" s="347"/>
    </row>
    <row r="133" spans="1:9" s="8" customFormat="1" ht="11.25" customHeight="1" x14ac:dyDescent="0.2">
      <c r="A133" s="1525" t="s">
        <v>567</v>
      </c>
      <c r="B133" s="1526"/>
      <c r="C133" s="384">
        <v>5490310</v>
      </c>
      <c r="D133" s="342"/>
      <c r="E133" s="362">
        <v>64000</v>
      </c>
      <c r="F133" s="344">
        <v>43819</v>
      </c>
      <c r="G133" s="344">
        <v>43819</v>
      </c>
    </row>
    <row r="134" spans="1:9" s="8" customFormat="1" ht="11.25" customHeight="1" x14ac:dyDescent="0.2">
      <c r="A134" s="1523" t="s">
        <v>568</v>
      </c>
      <c r="B134" s="1524"/>
      <c r="C134" s="402">
        <v>6020300</v>
      </c>
      <c r="D134" s="346">
        <v>447500</v>
      </c>
      <c r="E134" s="360"/>
      <c r="F134" s="347"/>
      <c r="G134" s="347"/>
    </row>
    <row r="135" spans="1:9" s="8" customFormat="1" ht="11.25" customHeight="1" x14ac:dyDescent="0.2">
      <c r="A135" s="1513" t="s">
        <v>569</v>
      </c>
      <c r="B135" s="1514"/>
      <c r="C135" s="409">
        <v>5010300</v>
      </c>
      <c r="D135" s="342"/>
      <c r="E135" s="362">
        <v>447500</v>
      </c>
      <c r="F135" s="344">
        <v>43830</v>
      </c>
      <c r="G135" s="344">
        <v>43830</v>
      </c>
    </row>
    <row r="136" spans="1:9" s="8" customFormat="1" ht="11.25" customHeight="1" x14ac:dyDescent="0.2">
      <c r="A136" s="1515" t="s">
        <v>570</v>
      </c>
      <c r="B136" s="1516"/>
      <c r="C136" s="410"/>
      <c r="D136" s="411">
        <f>SUM(D60:D135)</f>
        <v>2937928.01</v>
      </c>
      <c r="E136" s="412">
        <f>SUM(E60:E135)</f>
        <v>2937928.01</v>
      </c>
      <c r="F136" s="1517"/>
      <c r="G136" s="1518"/>
    </row>
    <row r="137" spans="1:9" s="8" customFormat="1" ht="11.25" customHeight="1" x14ac:dyDescent="0.2">
      <c r="A137" s="1290"/>
      <c r="B137" s="1291"/>
      <c r="C137" s="25"/>
      <c r="D137" s="25"/>
      <c r="E137" s="27"/>
      <c r="F137" s="413"/>
      <c r="G137" s="414"/>
    </row>
    <row r="138" spans="1:9" s="8" customFormat="1" ht="11.25" customHeight="1" x14ac:dyDescent="0.2">
      <c r="A138" s="1295"/>
      <c r="B138" s="1296"/>
      <c r="C138" s="25"/>
      <c r="D138" s="25"/>
      <c r="E138" s="27"/>
    </row>
    <row r="139" spans="1:9" s="8" customFormat="1" ht="11.25" customHeight="1" x14ac:dyDescent="0.2">
      <c r="A139" s="147"/>
      <c r="B139" s="148"/>
      <c r="C139" s="149"/>
      <c r="D139" s="149"/>
      <c r="E139" s="150"/>
    </row>
    <row r="140" spans="1:9" s="8" customFormat="1" ht="11.25" customHeight="1" x14ac:dyDescent="0.2">
      <c r="A140" s="1300" t="s">
        <v>154</v>
      </c>
      <c r="B140" s="1300"/>
      <c r="C140" s="1300"/>
      <c r="D140" s="1300"/>
      <c r="E140" s="1300"/>
      <c r="F140" s="1300"/>
      <c r="G140" s="1300"/>
      <c r="H140" s="1300"/>
      <c r="I140" s="1300"/>
    </row>
    <row r="141" spans="1:9" s="8" customFormat="1" ht="10.199999999999999" x14ac:dyDescent="0.2">
      <c r="A141" s="8" t="s">
        <v>95</v>
      </c>
    </row>
    <row r="142" spans="1:9" s="8" customFormat="1" ht="10.199999999999999" x14ac:dyDescent="0.2">
      <c r="A142" s="1297" t="s">
        <v>571</v>
      </c>
      <c r="B142" s="1298"/>
      <c r="C142" s="1298"/>
      <c r="D142" s="1298"/>
      <c r="E142" s="1298"/>
      <c r="F142" s="1298"/>
      <c r="G142" s="1298"/>
      <c r="H142" s="1298"/>
      <c r="I142" s="1299"/>
    </row>
    <row r="143" spans="1:9" s="8" customFormat="1" ht="11.25" customHeight="1" x14ac:dyDescent="0.2"/>
    <row r="144" spans="1:9" s="8" customFormat="1" ht="10.199999999999999" x14ac:dyDescent="0.2">
      <c r="A144" s="1297"/>
      <c r="B144" s="1298"/>
      <c r="C144" s="1298"/>
      <c r="D144" s="1298"/>
      <c r="E144" s="1298"/>
      <c r="F144" s="1298"/>
      <c r="G144" s="1298"/>
      <c r="H144" s="1298"/>
      <c r="I144" s="1299"/>
    </row>
    <row r="145" spans="1:9" s="8" customFormat="1" ht="0.75" customHeight="1" x14ac:dyDescent="0.2"/>
    <row r="146" spans="1:9" s="8" customFormat="1" ht="10.199999999999999" hidden="1" x14ac:dyDescent="0.2">
      <c r="A146" s="1248" t="s">
        <v>156</v>
      </c>
      <c r="B146" s="1248"/>
      <c r="C146" s="1248"/>
      <c r="D146" s="1248"/>
      <c r="E146" s="1248"/>
      <c r="F146" s="1248"/>
      <c r="G146" s="1248"/>
      <c r="H146" s="1248"/>
      <c r="I146" s="1248"/>
    </row>
    <row r="147" spans="1:9" s="7" customFormat="1" ht="10.199999999999999" x14ac:dyDescent="0.2">
      <c r="A147" s="8" t="s">
        <v>95</v>
      </c>
      <c r="B147" s="8"/>
      <c r="C147" s="8"/>
      <c r="D147" s="8"/>
      <c r="E147" s="8"/>
      <c r="F147" s="8"/>
      <c r="G147" s="8"/>
      <c r="H147" s="8"/>
      <c r="I147" s="8"/>
    </row>
    <row r="148" spans="1:9" s="8" customFormat="1" ht="10.199999999999999" x14ac:dyDescent="0.2">
      <c r="A148" s="1297" t="s">
        <v>572</v>
      </c>
      <c r="B148" s="1298"/>
      <c r="C148" s="1298"/>
      <c r="D148" s="1298"/>
      <c r="E148" s="1298"/>
      <c r="F148" s="1298"/>
      <c r="G148" s="1298"/>
      <c r="H148" s="1298"/>
      <c r="I148" s="1299"/>
    </row>
    <row r="149" spans="1:9" s="8" customFormat="1" ht="18.75" customHeight="1" x14ac:dyDescent="0.25">
      <c r="A149" s="44"/>
      <c r="B149" s="44"/>
      <c r="C149" s="44"/>
      <c r="D149" s="44"/>
      <c r="E149" s="44"/>
      <c r="F149" s="44"/>
      <c r="G149" s="44"/>
      <c r="H149" s="44"/>
      <c r="I149" s="44"/>
    </row>
    <row r="150" spans="1:9" x14ac:dyDescent="0.25">
      <c r="A150" s="8" t="s">
        <v>573</v>
      </c>
    </row>
    <row r="151" spans="1:9" x14ac:dyDescent="0.25">
      <c r="A151" s="26"/>
    </row>
    <row r="152" spans="1:9" x14ac:dyDescent="0.25">
      <c r="A152" s="322" t="s">
        <v>574</v>
      </c>
      <c r="D152" s="44" t="s">
        <v>575</v>
      </c>
    </row>
    <row r="153" spans="1:9" x14ac:dyDescent="0.25">
      <c r="D153" s="415" t="s">
        <v>576</v>
      </c>
    </row>
  </sheetData>
  <mergeCells count="118">
    <mergeCell ref="A7:B7"/>
    <mergeCell ref="D7:I7"/>
    <mergeCell ref="A8:B8"/>
    <mergeCell ref="D8:I8"/>
    <mergeCell ref="A9:B9"/>
    <mergeCell ref="D9:I9"/>
    <mergeCell ref="B1:I1"/>
    <mergeCell ref="A3:I3"/>
    <mergeCell ref="A5:B5"/>
    <mergeCell ref="D5:I5"/>
    <mergeCell ref="A6:B6"/>
    <mergeCell ref="D6:I6"/>
    <mergeCell ref="F25:I25"/>
    <mergeCell ref="F26:I26"/>
    <mergeCell ref="F27:I27"/>
    <mergeCell ref="A29:I29"/>
    <mergeCell ref="D31:I31"/>
    <mergeCell ref="D32:I34"/>
    <mergeCell ref="A11:I11"/>
    <mergeCell ref="A15:A17"/>
    <mergeCell ref="A20:I20"/>
    <mergeCell ref="F22:I22"/>
    <mergeCell ref="F23:I23"/>
    <mergeCell ref="F24:I24"/>
    <mergeCell ref="C43:I43"/>
    <mergeCell ref="A45:I45"/>
    <mergeCell ref="C47:I47"/>
    <mergeCell ref="C48:I48"/>
    <mergeCell ref="C54:I54"/>
    <mergeCell ref="C55:I55"/>
    <mergeCell ref="C35:I35"/>
    <mergeCell ref="A37:I37"/>
    <mergeCell ref="D39:I39"/>
    <mergeCell ref="D40:I40"/>
    <mergeCell ref="D41:I41"/>
    <mergeCell ref="D42:I42"/>
    <mergeCell ref="A63:B63"/>
    <mergeCell ref="A64:B64"/>
    <mergeCell ref="A65:B65"/>
    <mergeCell ref="A66:B66"/>
    <mergeCell ref="A67:B67"/>
    <mergeCell ref="A68:B68"/>
    <mergeCell ref="C56:I56"/>
    <mergeCell ref="A58:I58"/>
    <mergeCell ref="A59:B59"/>
    <mergeCell ref="A60:B60"/>
    <mergeCell ref="A61:B61"/>
    <mergeCell ref="A62:B62"/>
    <mergeCell ref="A75:B75"/>
    <mergeCell ref="A76:B76"/>
    <mergeCell ref="A77:B77"/>
    <mergeCell ref="A78:B78"/>
    <mergeCell ref="A79:B79"/>
    <mergeCell ref="A81:B81"/>
    <mergeCell ref="A69:B69"/>
    <mergeCell ref="A70:B70"/>
    <mergeCell ref="A71:B71"/>
    <mergeCell ref="A72:B72"/>
    <mergeCell ref="A73:B73"/>
    <mergeCell ref="A74:B74"/>
    <mergeCell ref="A88:B88"/>
    <mergeCell ref="A89:B89"/>
    <mergeCell ref="A90:B90"/>
    <mergeCell ref="A91:B91"/>
    <mergeCell ref="A92:B92"/>
    <mergeCell ref="A93:B93"/>
    <mergeCell ref="A82:B82"/>
    <mergeCell ref="A83:B83"/>
    <mergeCell ref="A84:B84"/>
    <mergeCell ref="A85:B85"/>
    <mergeCell ref="A86:B86"/>
    <mergeCell ref="A87:B87"/>
    <mergeCell ref="A101:B101"/>
    <mergeCell ref="A102:B102"/>
    <mergeCell ref="A103:B103"/>
    <mergeCell ref="A104:B104"/>
    <mergeCell ref="A105:B105"/>
    <mergeCell ref="A106:B106"/>
    <mergeCell ref="A94:B94"/>
    <mergeCell ref="A95:B95"/>
    <mergeCell ref="A97:B97"/>
    <mergeCell ref="A98:B98"/>
    <mergeCell ref="A99:B99"/>
    <mergeCell ref="A100:B100"/>
    <mergeCell ref="A114:B114"/>
    <mergeCell ref="A115:B115"/>
    <mergeCell ref="A116:B116"/>
    <mergeCell ref="A117:B117"/>
    <mergeCell ref="A118:B118"/>
    <mergeCell ref="A119:B119"/>
    <mergeCell ref="A107:B107"/>
    <mergeCell ref="A108:B108"/>
    <mergeCell ref="A109:B109"/>
    <mergeCell ref="A110:B110"/>
    <mergeCell ref="A111:B111"/>
    <mergeCell ref="A113:B113"/>
    <mergeCell ref="A126:B126"/>
    <mergeCell ref="A130:B130"/>
    <mergeCell ref="A131:B131"/>
    <mergeCell ref="A132:B132"/>
    <mergeCell ref="A133:B133"/>
    <mergeCell ref="A134:B134"/>
    <mergeCell ref="A120:B120"/>
    <mergeCell ref="A121:B121"/>
    <mergeCell ref="A122:B122"/>
    <mergeCell ref="A123:B123"/>
    <mergeCell ref="A124:B124"/>
    <mergeCell ref="A125:B125"/>
    <mergeCell ref="A142:I142"/>
    <mergeCell ref="A144:I144"/>
    <mergeCell ref="A146:I146"/>
    <mergeCell ref="A148:I148"/>
    <mergeCell ref="A135:B135"/>
    <mergeCell ref="A136:B136"/>
    <mergeCell ref="F136:G136"/>
    <mergeCell ref="A137:B137"/>
    <mergeCell ref="A138:B138"/>
    <mergeCell ref="A140:I140"/>
  </mergeCells>
  <pageMargins left="0.70866141732283472" right="0.70866141732283472" top="0.78740157480314965" bottom="0.78740157480314965" header="0.31496062992125984" footer="0.31496062992125984"/>
  <pageSetup paperSize="9" scale="97" firstPageNumber="170" fitToHeight="4" orientation="landscape" useFirstPageNumber="1"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O23" sqref="O23"/>
    </sheetView>
  </sheetViews>
  <sheetFormatPr defaultColWidth="6.3984375" defaultRowHeight="7.8" x14ac:dyDescent="0.15"/>
  <cols>
    <col min="1" max="1" width="5.3984375" style="275"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577</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22104400</v>
      </c>
      <c r="F6" s="52">
        <f>SUM(F7:F9)</f>
        <v>24947293.789999999</v>
      </c>
      <c r="G6" s="52">
        <f>SUM(G7:G9)</f>
        <v>24947277.32</v>
      </c>
      <c r="H6" s="4">
        <f t="shared" ref="H6:H36" si="0">G6/F6*100</f>
        <v>99.999933980815157</v>
      </c>
      <c r="I6" s="53">
        <f>SUM(I7:I9)</f>
        <v>21832012</v>
      </c>
      <c r="J6" s="51">
        <f>SUM(J7:J9)</f>
        <v>2833050</v>
      </c>
      <c r="K6" s="52">
        <f t="shared" ref="K6:X6" si="1">SUM(K7:K9)</f>
        <v>3504618.79</v>
      </c>
      <c r="L6" s="52">
        <f t="shared" si="1"/>
        <v>3504602.72</v>
      </c>
      <c r="M6" s="4">
        <f t="shared" ref="M6:M29" si="2">L6/K6*100</f>
        <v>99.999541462254157</v>
      </c>
      <c r="N6" s="53">
        <f t="shared" si="1"/>
        <v>2826549</v>
      </c>
      <c r="O6" s="51">
        <f t="shared" si="1"/>
        <v>19271350</v>
      </c>
      <c r="P6" s="52">
        <f t="shared" si="1"/>
        <v>21442675</v>
      </c>
      <c r="Q6" s="52">
        <f t="shared" si="1"/>
        <v>21442674.600000001</v>
      </c>
      <c r="R6" s="4">
        <f t="shared" ref="R6:R36" si="3">Q6/P6*100</f>
        <v>99.99999813456111</v>
      </c>
      <c r="S6" s="53">
        <f t="shared" si="1"/>
        <v>19005463</v>
      </c>
      <c r="T6" s="51">
        <f t="shared" si="1"/>
        <v>100000</v>
      </c>
      <c r="U6" s="52">
        <f t="shared" si="1"/>
        <v>107730</v>
      </c>
      <c r="V6" s="52">
        <f t="shared" si="1"/>
        <v>107730</v>
      </c>
      <c r="W6" s="4">
        <f t="shared" ref="W6:W33" si="4">V6/U6*100</f>
        <v>100</v>
      </c>
      <c r="X6" s="53">
        <f t="shared" si="1"/>
        <v>126255</v>
      </c>
    </row>
    <row r="7" spans="1:24" s="34" customFormat="1" x14ac:dyDescent="0.15">
      <c r="A7" s="55" t="s">
        <v>2</v>
      </c>
      <c r="B7" s="1233" t="s">
        <v>46</v>
      </c>
      <c r="C7" s="1233"/>
      <c r="D7" s="50" t="s">
        <v>25</v>
      </c>
      <c r="E7" s="56">
        <f t="shared" ref="E7:G10" si="5">SUM(J7,O7)</f>
        <v>73500</v>
      </c>
      <c r="F7" s="57">
        <f t="shared" si="5"/>
        <v>140693.79</v>
      </c>
      <c r="G7" s="57">
        <f t="shared" si="5"/>
        <v>140432.79</v>
      </c>
      <c r="H7" s="58">
        <f t="shared" si="0"/>
        <v>99.814490746180056</v>
      </c>
      <c r="I7" s="59">
        <f>SUM(N7,S7)</f>
        <v>122394</v>
      </c>
      <c r="J7" s="60">
        <v>73500</v>
      </c>
      <c r="K7" s="61">
        <v>140693.79</v>
      </c>
      <c r="L7" s="61">
        <v>140432.79</v>
      </c>
      <c r="M7" s="58">
        <f t="shared" si="2"/>
        <v>99.814490746180056</v>
      </c>
      <c r="N7" s="244">
        <v>122394</v>
      </c>
      <c r="O7" s="245"/>
      <c r="P7" s="61"/>
      <c r="Q7" s="61"/>
      <c r="R7" s="58"/>
      <c r="S7" s="244"/>
      <c r="T7" s="245">
        <v>100000</v>
      </c>
      <c r="U7" s="61">
        <v>107730</v>
      </c>
      <c r="V7" s="61">
        <v>107730</v>
      </c>
      <c r="W7" s="58">
        <f t="shared" si="4"/>
        <v>100</v>
      </c>
      <c r="X7" s="244">
        <v>126255</v>
      </c>
    </row>
    <row r="8" spans="1:24" s="34" customFormat="1" x14ac:dyDescent="0.15">
      <c r="A8" s="63" t="s">
        <v>3</v>
      </c>
      <c r="B8" s="1237" t="s">
        <v>47</v>
      </c>
      <c r="C8" s="1237"/>
      <c r="D8" s="50" t="s">
        <v>25</v>
      </c>
      <c r="E8" s="56">
        <f t="shared" si="5"/>
        <v>0</v>
      </c>
      <c r="F8" s="57">
        <f t="shared" si="5"/>
        <v>0</v>
      </c>
      <c r="G8" s="57">
        <f t="shared" si="5"/>
        <v>244.93</v>
      </c>
      <c r="H8" s="58">
        <v>0</v>
      </c>
      <c r="I8" s="59">
        <f>SUM(N8,S8)</f>
        <v>155</v>
      </c>
      <c r="J8" s="64"/>
      <c r="K8" s="57"/>
      <c r="L8" s="57">
        <v>244.93</v>
      </c>
      <c r="M8" s="58">
        <v>0</v>
      </c>
      <c r="N8" s="59">
        <v>155</v>
      </c>
      <c r="O8" s="56"/>
      <c r="P8" s="57"/>
      <c r="Q8" s="57"/>
      <c r="R8" s="58"/>
      <c r="S8" s="59"/>
      <c r="T8" s="56"/>
      <c r="U8" s="57"/>
      <c r="V8" s="57"/>
      <c r="W8" s="58"/>
      <c r="X8" s="59"/>
    </row>
    <row r="9" spans="1:24" s="34" customFormat="1" ht="8.4" x14ac:dyDescent="0.2">
      <c r="A9" s="63" t="s">
        <v>4</v>
      </c>
      <c r="B9" s="66" t="s">
        <v>62</v>
      </c>
      <c r="C9" s="152"/>
      <c r="D9" s="50" t="s">
        <v>25</v>
      </c>
      <c r="E9" s="56">
        <f t="shared" si="5"/>
        <v>22030900</v>
      </c>
      <c r="F9" s="57">
        <f t="shared" si="5"/>
        <v>24806600</v>
      </c>
      <c r="G9" s="57">
        <f t="shared" si="5"/>
        <v>24806599.600000001</v>
      </c>
      <c r="H9" s="58">
        <f t="shared" si="0"/>
        <v>99.999998387525906</v>
      </c>
      <c r="I9" s="59">
        <f>SUM(N9,S9)</f>
        <v>21709463</v>
      </c>
      <c r="J9" s="64">
        <v>2759550</v>
      </c>
      <c r="K9" s="57">
        <v>3363925</v>
      </c>
      <c r="L9" s="57">
        <v>3363925</v>
      </c>
      <c r="M9" s="58">
        <f t="shared" si="2"/>
        <v>100</v>
      </c>
      <c r="N9" s="59">
        <v>2704000</v>
      </c>
      <c r="O9" s="56">
        <v>19271350</v>
      </c>
      <c r="P9" s="57">
        <v>21442675</v>
      </c>
      <c r="Q9" s="57">
        <v>21442674.600000001</v>
      </c>
      <c r="R9" s="58">
        <f t="shared" si="3"/>
        <v>99.99999813456111</v>
      </c>
      <c r="S9" s="59">
        <v>19005463</v>
      </c>
      <c r="T9" s="56"/>
      <c r="U9" s="57"/>
      <c r="V9" s="57"/>
      <c r="W9" s="58"/>
      <c r="X9" s="59"/>
    </row>
    <row r="10" spans="1:24" s="34" customFormat="1" x14ac:dyDescent="0.15">
      <c r="A10" s="49" t="s">
        <v>5</v>
      </c>
      <c r="B10" s="1236" t="s">
        <v>7</v>
      </c>
      <c r="C10" s="1236"/>
      <c r="D10" s="50" t="s">
        <v>25</v>
      </c>
      <c r="E10" s="68">
        <f t="shared" si="5"/>
        <v>0</v>
      </c>
      <c r="F10" s="69">
        <f t="shared" si="5"/>
        <v>0</v>
      </c>
      <c r="G10" s="69">
        <f t="shared" si="5"/>
        <v>0</v>
      </c>
      <c r="H10" s="4">
        <v>0</v>
      </c>
      <c r="I10" s="70">
        <f>SUM(N10,S10)</f>
        <v>0</v>
      </c>
      <c r="J10" s="71"/>
      <c r="K10" s="69"/>
      <c r="L10" s="69"/>
      <c r="M10" s="4"/>
      <c r="N10" s="70"/>
      <c r="O10" s="68"/>
      <c r="P10" s="69"/>
      <c r="Q10" s="69"/>
      <c r="R10" s="4"/>
      <c r="S10" s="70"/>
      <c r="T10" s="68"/>
      <c r="U10" s="69"/>
      <c r="V10" s="69"/>
      <c r="W10" s="4"/>
      <c r="X10" s="70"/>
    </row>
    <row r="11" spans="1:24" s="34" customFormat="1" x14ac:dyDescent="0.15">
      <c r="A11" s="49" t="s">
        <v>6</v>
      </c>
      <c r="B11" s="1236" t="s">
        <v>9</v>
      </c>
      <c r="C11" s="1236"/>
      <c r="D11" s="50" t="s">
        <v>25</v>
      </c>
      <c r="E11" s="51">
        <f>SUM(E12:E31)</f>
        <v>22104400</v>
      </c>
      <c r="F11" s="52">
        <f>SUM(F12:F31)</f>
        <v>24849455</v>
      </c>
      <c r="G11" s="52">
        <v>24778625.09</v>
      </c>
      <c r="H11" s="4">
        <f t="shared" si="0"/>
        <v>99.714963929792418</v>
      </c>
      <c r="I11" s="53">
        <f>SUM(I12:I31)</f>
        <v>21761819</v>
      </c>
      <c r="J11" s="51">
        <f>SUM(J12:J31)</f>
        <v>2833050</v>
      </c>
      <c r="K11" s="52">
        <f>SUM(K12:K31)</f>
        <v>3504618.79</v>
      </c>
      <c r="L11" s="52">
        <f>SUM(L12:L31)</f>
        <v>3335950.4899999998</v>
      </c>
      <c r="M11" s="4">
        <f t="shared" si="2"/>
        <v>95.187256871381436</v>
      </c>
      <c r="N11" s="53">
        <f>SUM(N12:N31)</f>
        <v>2756356</v>
      </c>
      <c r="O11" s="51">
        <f>SUM(O12:O31)</f>
        <v>19271350</v>
      </c>
      <c r="P11" s="52">
        <f>SUM(P12:P31)</f>
        <v>21442675</v>
      </c>
      <c r="Q11" s="52">
        <f>SUM(Q12:Q31)</f>
        <v>21442674.600000001</v>
      </c>
      <c r="R11" s="4">
        <f t="shared" si="3"/>
        <v>99.99999813456111</v>
      </c>
      <c r="S11" s="53">
        <f>SUM(S12:S31)</f>
        <v>19005463</v>
      </c>
      <c r="T11" s="51">
        <f>SUM(T12:T31)</f>
        <v>85790</v>
      </c>
      <c r="U11" s="52">
        <f>SUM(U12:U31)</f>
        <v>88493</v>
      </c>
      <c r="V11" s="52">
        <f>SUM(V12:V31)</f>
        <v>88493</v>
      </c>
      <c r="W11" s="4">
        <f t="shared" si="4"/>
        <v>100</v>
      </c>
      <c r="X11" s="53">
        <f>SUM(X12:X31)</f>
        <v>95809</v>
      </c>
    </row>
    <row r="12" spans="1:24" s="34" customFormat="1" x14ac:dyDescent="0.15">
      <c r="A12" s="73" t="s">
        <v>8</v>
      </c>
      <c r="B12" s="1238" t="s">
        <v>28</v>
      </c>
      <c r="C12" s="1238"/>
      <c r="D12" s="50" t="s">
        <v>25</v>
      </c>
      <c r="E12" s="56">
        <f>SUM(J12,O12)</f>
        <v>360000</v>
      </c>
      <c r="F12" s="57">
        <f t="shared" ref="E12:I27" si="6">SUM(K12,P12)</f>
        <v>356002</v>
      </c>
      <c r="G12" s="57">
        <f t="shared" si="6"/>
        <v>344489.77</v>
      </c>
      <c r="H12" s="58">
        <f t="shared" si="0"/>
        <v>96.766245695248912</v>
      </c>
      <c r="I12" s="59">
        <f t="shared" si="6"/>
        <v>431504</v>
      </c>
      <c r="J12" s="74">
        <v>180000</v>
      </c>
      <c r="K12" s="75">
        <v>232709</v>
      </c>
      <c r="L12" s="75">
        <v>221197.18</v>
      </c>
      <c r="M12" s="58">
        <f t="shared" si="2"/>
        <v>95.053126436880405</v>
      </c>
      <c r="N12" s="246">
        <v>248426</v>
      </c>
      <c r="O12" s="247">
        <v>180000</v>
      </c>
      <c r="P12" s="75">
        <v>123293</v>
      </c>
      <c r="Q12" s="75">
        <v>123292.59</v>
      </c>
      <c r="R12" s="58">
        <f t="shared" si="3"/>
        <v>99.999667458817612</v>
      </c>
      <c r="S12" s="248">
        <v>183078</v>
      </c>
      <c r="T12" s="247">
        <v>1053</v>
      </c>
      <c r="U12" s="75">
        <v>1127</v>
      </c>
      <c r="V12" s="75">
        <v>1127</v>
      </c>
      <c r="W12" s="58">
        <f t="shared" si="4"/>
        <v>100</v>
      </c>
      <c r="X12" s="246">
        <v>4894</v>
      </c>
    </row>
    <row r="13" spans="1:24" s="34" customFormat="1" x14ac:dyDescent="0.15">
      <c r="A13" s="55" t="s">
        <v>10</v>
      </c>
      <c r="B13" s="1233" t="s">
        <v>29</v>
      </c>
      <c r="C13" s="1233"/>
      <c r="D13" s="50" t="s">
        <v>25</v>
      </c>
      <c r="E13" s="56">
        <f t="shared" si="6"/>
        <v>670000</v>
      </c>
      <c r="F13" s="57">
        <f t="shared" si="6"/>
        <v>610000</v>
      </c>
      <c r="G13" s="57">
        <f t="shared" si="6"/>
        <v>558895.41</v>
      </c>
      <c r="H13" s="58">
        <f t="shared" si="0"/>
        <v>91.622198360655744</v>
      </c>
      <c r="I13" s="59">
        <f t="shared" si="6"/>
        <v>481833</v>
      </c>
      <c r="J13" s="74">
        <v>670000</v>
      </c>
      <c r="K13" s="57">
        <v>610000</v>
      </c>
      <c r="L13" s="57">
        <v>558895.41</v>
      </c>
      <c r="M13" s="58">
        <f t="shared" si="2"/>
        <v>91.622198360655744</v>
      </c>
      <c r="N13" s="59">
        <v>481833</v>
      </c>
      <c r="O13" s="56"/>
      <c r="P13" s="57"/>
      <c r="Q13" s="57"/>
      <c r="R13" s="58"/>
      <c r="S13" s="59"/>
      <c r="T13" s="56">
        <v>23680</v>
      </c>
      <c r="U13" s="57">
        <v>25511</v>
      </c>
      <c r="V13" s="57">
        <v>25511</v>
      </c>
      <c r="W13" s="58">
        <f t="shared" si="4"/>
        <v>100</v>
      </c>
      <c r="X13" s="59">
        <v>65622</v>
      </c>
    </row>
    <row r="14" spans="1:24" s="34" customFormat="1" x14ac:dyDescent="0.15">
      <c r="A14" s="55" t="s">
        <v>11</v>
      </c>
      <c r="B14" s="151" t="s">
        <v>63</v>
      </c>
      <c r="C14" s="151"/>
      <c r="D14" s="50" t="s">
        <v>25</v>
      </c>
      <c r="E14" s="56">
        <f t="shared" si="6"/>
        <v>0</v>
      </c>
      <c r="F14" s="57">
        <f t="shared" si="6"/>
        <v>0</v>
      </c>
      <c r="G14" s="57">
        <f t="shared" si="6"/>
        <v>0</v>
      </c>
      <c r="H14" s="58">
        <v>0</v>
      </c>
      <c r="I14" s="59">
        <f t="shared" si="6"/>
        <v>0</v>
      </c>
      <c r="J14" s="74"/>
      <c r="K14" s="57"/>
      <c r="L14" s="57"/>
      <c r="M14" s="58"/>
      <c r="N14" s="59"/>
      <c r="O14" s="56"/>
      <c r="P14" s="57"/>
      <c r="Q14" s="57"/>
      <c r="R14" s="58"/>
      <c r="S14" s="59"/>
      <c r="T14" s="56"/>
      <c r="U14" s="57"/>
      <c r="V14" s="57"/>
      <c r="W14" s="58"/>
      <c r="X14" s="59"/>
    </row>
    <row r="15" spans="1:24" s="34" customFormat="1" x14ac:dyDescent="0.15">
      <c r="A15" s="55" t="s">
        <v>12</v>
      </c>
      <c r="B15" s="1233" t="s">
        <v>64</v>
      </c>
      <c r="C15" s="1233"/>
      <c r="D15" s="50" t="s">
        <v>25</v>
      </c>
      <c r="E15" s="56">
        <f t="shared" si="6"/>
        <v>279849</v>
      </c>
      <c r="F15" s="57">
        <f t="shared" si="6"/>
        <v>819849</v>
      </c>
      <c r="G15" s="57">
        <f t="shared" si="6"/>
        <v>754108.3</v>
      </c>
      <c r="H15" s="58">
        <f t="shared" si="0"/>
        <v>91.98136486109027</v>
      </c>
      <c r="I15" s="59">
        <f t="shared" si="6"/>
        <v>257203</v>
      </c>
      <c r="J15" s="74">
        <v>279849</v>
      </c>
      <c r="K15" s="57">
        <v>819849</v>
      </c>
      <c r="L15" s="57">
        <v>754108.3</v>
      </c>
      <c r="M15" s="58">
        <f t="shared" si="2"/>
        <v>91.98136486109027</v>
      </c>
      <c r="N15" s="59">
        <v>257203</v>
      </c>
      <c r="O15" s="56"/>
      <c r="P15" s="57"/>
      <c r="Q15" s="57"/>
      <c r="R15" s="58"/>
      <c r="S15" s="59"/>
      <c r="T15" s="56">
        <v>10083</v>
      </c>
      <c r="U15" s="57">
        <v>10857</v>
      </c>
      <c r="V15" s="57">
        <v>10857</v>
      </c>
      <c r="W15" s="58">
        <f t="shared" si="4"/>
        <v>100</v>
      </c>
      <c r="X15" s="59">
        <v>4172</v>
      </c>
    </row>
    <row r="16" spans="1:24" s="34" customFormat="1" x14ac:dyDescent="0.15">
      <c r="A16" s="55" t="s">
        <v>13</v>
      </c>
      <c r="B16" s="1233" t="s">
        <v>30</v>
      </c>
      <c r="C16" s="1233"/>
      <c r="D16" s="50" t="s">
        <v>25</v>
      </c>
      <c r="E16" s="56">
        <f t="shared" si="6"/>
        <v>22000</v>
      </c>
      <c r="F16" s="57">
        <f t="shared" si="6"/>
        <v>46874</v>
      </c>
      <c r="G16" s="57">
        <f t="shared" si="6"/>
        <v>46631</v>
      </c>
      <c r="H16" s="58">
        <f t="shared" si="0"/>
        <v>99.481588940564066</v>
      </c>
      <c r="I16" s="59">
        <f t="shared" si="6"/>
        <v>38746</v>
      </c>
      <c r="J16" s="74">
        <v>2000</v>
      </c>
      <c r="K16" s="57">
        <v>2000</v>
      </c>
      <c r="L16" s="57">
        <v>1757</v>
      </c>
      <c r="M16" s="58">
        <f t="shared" si="2"/>
        <v>87.85</v>
      </c>
      <c r="N16" s="59">
        <v>1703</v>
      </c>
      <c r="O16" s="56">
        <v>20000</v>
      </c>
      <c r="P16" s="57">
        <v>44874</v>
      </c>
      <c r="Q16" s="57">
        <v>44874</v>
      </c>
      <c r="R16" s="58">
        <f t="shared" si="3"/>
        <v>100</v>
      </c>
      <c r="S16" s="59">
        <v>37043</v>
      </c>
      <c r="T16" s="56"/>
      <c r="U16" s="57"/>
      <c r="V16" s="57"/>
      <c r="W16" s="58"/>
      <c r="X16" s="59"/>
    </row>
    <row r="17" spans="1:24" s="34" customFormat="1" x14ac:dyDescent="0.15">
      <c r="A17" s="55" t="s">
        <v>14</v>
      </c>
      <c r="B17" s="151" t="s">
        <v>48</v>
      </c>
      <c r="C17" s="151"/>
      <c r="D17" s="50" t="s">
        <v>25</v>
      </c>
      <c r="E17" s="56">
        <f t="shared" si="6"/>
        <v>2000</v>
      </c>
      <c r="F17" s="57">
        <f t="shared" si="6"/>
        <v>2000</v>
      </c>
      <c r="G17" s="57">
        <f t="shared" si="6"/>
        <v>1610</v>
      </c>
      <c r="H17" s="58">
        <f t="shared" si="0"/>
        <v>80.5</v>
      </c>
      <c r="I17" s="59">
        <f t="shared" si="6"/>
        <v>4425</v>
      </c>
      <c r="J17" s="74">
        <v>2000</v>
      </c>
      <c r="K17" s="57">
        <v>2000</v>
      </c>
      <c r="L17" s="57">
        <v>1610</v>
      </c>
      <c r="M17" s="58">
        <f t="shared" si="2"/>
        <v>80.5</v>
      </c>
      <c r="N17" s="59">
        <v>2257</v>
      </c>
      <c r="O17" s="56"/>
      <c r="P17" s="57"/>
      <c r="Q17" s="57"/>
      <c r="R17" s="58"/>
      <c r="S17" s="59">
        <v>2168</v>
      </c>
      <c r="T17" s="56"/>
      <c r="U17" s="57"/>
      <c r="V17" s="57"/>
      <c r="W17" s="58"/>
      <c r="X17" s="59"/>
    </row>
    <row r="18" spans="1:24" s="34" customFormat="1" x14ac:dyDescent="0.15">
      <c r="A18" s="55" t="s">
        <v>15</v>
      </c>
      <c r="B18" s="1233" t="s">
        <v>31</v>
      </c>
      <c r="C18" s="1233"/>
      <c r="D18" s="50" t="s">
        <v>25</v>
      </c>
      <c r="E18" s="56">
        <f t="shared" si="6"/>
        <v>380556</v>
      </c>
      <c r="F18" s="57">
        <f t="shared" si="6"/>
        <v>445013</v>
      </c>
      <c r="G18" s="57">
        <f t="shared" si="6"/>
        <v>409445.32</v>
      </c>
      <c r="H18" s="58">
        <f t="shared" si="0"/>
        <v>92.007496410217229</v>
      </c>
      <c r="I18" s="59">
        <f t="shared" si="6"/>
        <v>574850</v>
      </c>
      <c r="J18" s="74">
        <v>280556</v>
      </c>
      <c r="K18" s="57">
        <v>290931</v>
      </c>
      <c r="L18" s="57">
        <v>255363.32</v>
      </c>
      <c r="M18" s="58">
        <f t="shared" si="2"/>
        <v>87.774530730654348</v>
      </c>
      <c r="N18" s="59">
        <v>282045</v>
      </c>
      <c r="O18" s="56">
        <v>100000</v>
      </c>
      <c r="P18" s="57">
        <v>154082</v>
      </c>
      <c r="Q18" s="57">
        <v>154082</v>
      </c>
      <c r="R18" s="58">
        <f t="shared" si="3"/>
        <v>100</v>
      </c>
      <c r="S18" s="59">
        <v>292805</v>
      </c>
      <c r="T18" s="56">
        <v>444</v>
      </c>
      <c r="U18" s="57">
        <v>492</v>
      </c>
      <c r="V18" s="57">
        <v>492</v>
      </c>
      <c r="W18" s="58">
        <f t="shared" si="4"/>
        <v>100</v>
      </c>
      <c r="X18" s="59">
        <v>192</v>
      </c>
    </row>
    <row r="19" spans="1:24" s="37" customFormat="1" x14ac:dyDescent="0.15">
      <c r="A19" s="55" t="s">
        <v>16</v>
      </c>
      <c r="B19" s="1233" t="s">
        <v>32</v>
      </c>
      <c r="C19" s="1233"/>
      <c r="D19" s="50" t="s">
        <v>25</v>
      </c>
      <c r="E19" s="56">
        <f t="shared" si="6"/>
        <v>14048105</v>
      </c>
      <c r="F19" s="57">
        <f t="shared" si="6"/>
        <v>15429665</v>
      </c>
      <c r="G19" s="57">
        <f t="shared" si="6"/>
        <v>15429640</v>
      </c>
      <c r="H19" s="58">
        <f t="shared" si="0"/>
        <v>99.999837974447274</v>
      </c>
      <c r="I19" s="59">
        <f t="shared" si="6"/>
        <v>13734979</v>
      </c>
      <c r="J19" s="77">
        <v>124005</v>
      </c>
      <c r="K19" s="57">
        <v>127005</v>
      </c>
      <c r="L19" s="57">
        <v>126980</v>
      </c>
      <c r="M19" s="58">
        <f t="shared" si="2"/>
        <v>99.980315735600954</v>
      </c>
      <c r="N19" s="59">
        <v>114224</v>
      </c>
      <c r="O19" s="56">
        <v>13924100</v>
      </c>
      <c r="P19" s="57">
        <v>15302660</v>
      </c>
      <c r="Q19" s="57">
        <v>15302660</v>
      </c>
      <c r="R19" s="58">
        <f t="shared" si="3"/>
        <v>100</v>
      </c>
      <c r="S19" s="59">
        <v>13620755</v>
      </c>
      <c r="T19" s="249">
        <v>11610</v>
      </c>
      <c r="U19" s="78">
        <v>11610</v>
      </c>
      <c r="V19" s="78">
        <v>11610</v>
      </c>
      <c r="W19" s="58">
        <f t="shared" si="4"/>
        <v>100</v>
      </c>
      <c r="X19" s="250">
        <v>4809</v>
      </c>
    </row>
    <row r="20" spans="1:24" s="34" customFormat="1" x14ac:dyDescent="0.15">
      <c r="A20" s="55" t="s">
        <v>17</v>
      </c>
      <c r="B20" s="1233" t="s">
        <v>49</v>
      </c>
      <c r="C20" s="1233"/>
      <c r="D20" s="50" t="s">
        <v>25</v>
      </c>
      <c r="E20" s="56">
        <f t="shared" si="6"/>
        <v>4780336</v>
      </c>
      <c r="F20" s="57">
        <f t="shared" si="6"/>
        <v>5112963</v>
      </c>
      <c r="G20" s="57">
        <f t="shared" si="6"/>
        <v>5112780.12</v>
      </c>
      <c r="H20" s="58">
        <f t="shared" si="0"/>
        <v>99.996423209008171</v>
      </c>
      <c r="I20" s="59">
        <f t="shared" si="6"/>
        <v>4525542</v>
      </c>
      <c r="J20" s="74">
        <v>21568</v>
      </c>
      <c r="K20" s="57">
        <v>22582</v>
      </c>
      <c r="L20" s="57">
        <v>22399</v>
      </c>
      <c r="M20" s="58">
        <f t="shared" si="2"/>
        <v>99.189620051368337</v>
      </c>
      <c r="N20" s="59">
        <v>17459</v>
      </c>
      <c r="O20" s="56">
        <v>4758768</v>
      </c>
      <c r="P20" s="57">
        <v>5090381</v>
      </c>
      <c r="Q20" s="57">
        <v>5090381.12</v>
      </c>
      <c r="R20" s="58">
        <f t="shared" si="3"/>
        <v>100.0000023573874</v>
      </c>
      <c r="S20" s="59">
        <v>4508083</v>
      </c>
      <c r="T20" s="56">
        <v>3948</v>
      </c>
      <c r="U20" s="57">
        <v>3924</v>
      </c>
      <c r="V20" s="57">
        <v>3924</v>
      </c>
      <c r="W20" s="58">
        <f t="shared" si="4"/>
        <v>100</v>
      </c>
      <c r="X20" s="59">
        <v>1635</v>
      </c>
    </row>
    <row r="21" spans="1:24" s="34" customFormat="1" x14ac:dyDescent="0.15">
      <c r="A21" s="55" t="s">
        <v>18</v>
      </c>
      <c r="B21" s="1233" t="s">
        <v>50</v>
      </c>
      <c r="C21" s="1233"/>
      <c r="D21" s="50" t="s">
        <v>25</v>
      </c>
      <c r="E21" s="56">
        <f t="shared" si="6"/>
        <v>322482</v>
      </c>
      <c r="F21" s="57">
        <f t="shared" si="6"/>
        <v>347344</v>
      </c>
      <c r="G21" s="57">
        <f t="shared" si="6"/>
        <v>343943</v>
      </c>
      <c r="H21" s="58">
        <f t="shared" si="0"/>
        <v>99.020855405592144</v>
      </c>
      <c r="I21" s="59">
        <f t="shared" si="6"/>
        <v>302951</v>
      </c>
      <c r="J21" s="74">
        <v>44000</v>
      </c>
      <c r="K21" s="57">
        <v>44060</v>
      </c>
      <c r="L21" s="57">
        <v>40659</v>
      </c>
      <c r="M21" s="58">
        <f t="shared" si="2"/>
        <v>92.280980481162061</v>
      </c>
      <c r="N21" s="59">
        <v>42672</v>
      </c>
      <c r="O21" s="56">
        <v>278482</v>
      </c>
      <c r="P21" s="57">
        <v>303284</v>
      </c>
      <c r="Q21" s="57">
        <v>303284</v>
      </c>
      <c r="R21" s="58">
        <f t="shared" si="3"/>
        <v>100</v>
      </c>
      <c r="S21" s="59">
        <v>260279</v>
      </c>
      <c r="T21" s="56">
        <v>232</v>
      </c>
      <c r="U21" s="57">
        <v>232</v>
      </c>
      <c r="V21" s="57">
        <v>232</v>
      </c>
      <c r="W21" s="58">
        <f t="shared" si="4"/>
        <v>100</v>
      </c>
      <c r="X21" s="59">
        <v>96</v>
      </c>
    </row>
    <row r="22" spans="1:24" s="34" customFormat="1" x14ac:dyDescent="0.15">
      <c r="A22" s="55" t="s">
        <v>19</v>
      </c>
      <c r="B22" s="1233" t="s">
        <v>65</v>
      </c>
      <c r="C22" s="1233"/>
      <c r="D22" s="50" t="s">
        <v>25</v>
      </c>
      <c r="E22" s="56">
        <f t="shared" si="6"/>
        <v>0</v>
      </c>
      <c r="F22" s="57">
        <f t="shared" si="6"/>
        <v>0</v>
      </c>
      <c r="G22" s="57">
        <f t="shared" si="6"/>
        <v>0</v>
      </c>
      <c r="H22" s="58">
        <v>0</v>
      </c>
      <c r="I22" s="59">
        <f t="shared" si="6"/>
        <v>0</v>
      </c>
      <c r="J22" s="74"/>
      <c r="K22" s="57"/>
      <c r="L22" s="57"/>
      <c r="M22" s="58"/>
      <c r="N22" s="59"/>
      <c r="O22" s="56"/>
      <c r="P22" s="57"/>
      <c r="Q22" s="57"/>
      <c r="R22" s="58"/>
      <c r="S22" s="59"/>
      <c r="T22" s="56"/>
      <c r="U22" s="57"/>
      <c r="V22" s="57"/>
      <c r="W22" s="58"/>
      <c r="X22" s="59"/>
    </row>
    <row r="23" spans="1:24" s="34" customFormat="1" x14ac:dyDescent="0.15">
      <c r="A23" s="55" t="s">
        <v>20</v>
      </c>
      <c r="B23" s="151" t="s">
        <v>66</v>
      </c>
      <c r="C23" s="151"/>
      <c r="D23" s="50" t="s">
        <v>25</v>
      </c>
      <c r="E23" s="56">
        <f t="shared" si="6"/>
        <v>0</v>
      </c>
      <c r="F23" s="57">
        <f t="shared" si="6"/>
        <v>0</v>
      </c>
      <c r="G23" s="57">
        <f t="shared" si="6"/>
        <v>0</v>
      </c>
      <c r="H23" s="58">
        <v>0</v>
      </c>
      <c r="I23" s="59">
        <f t="shared" si="6"/>
        <v>0</v>
      </c>
      <c r="J23" s="74"/>
      <c r="K23" s="57"/>
      <c r="L23" s="57"/>
      <c r="M23" s="58"/>
      <c r="N23" s="59"/>
      <c r="O23" s="56"/>
      <c r="P23" s="57"/>
      <c r="Q23" s="57"/>
      <c r="R23" s="58"/>
      <c r="S23" s="59"/>
      <c r="T23" s="56"/>
      <c r="U23" s="57"/>
      <c r="V23" s="57"/>
      <c r="W23" s="58"/>
      <c r="X23" s="59"/>
    </row>
    <row r="24" spans="1:24" s="34" customFormat="1" x14ac:dyDescent="0.15">
      <c r="A24" s="55" t="s">
        <v>21</v>
      </c>
      <c r="B24" s="151" t="s">
        <v>73</v>
      </c>
      <c r="C24" s="151"/>
      <c r="D24" s="50" t="s">
        <v>25</v>
      </c>
      <c r="E24" s="56">
        <f t="shared" si="6"/>
        <v>0</v>
      </c>
      <c r="F24" s="57">
        <f t="shared" si="6"/>
        <v>0</v>
      </c>
      <c r="G24" s="57">
        <f t="shared" si="6"/>
        <v>0</v>
      </c>
      <c r="H24" s="58">
        <v>0</v>
      </c>
      <c r="I24" s="59">
        <f t="shared" si="6"/>
        <v>0</v>
      </c>
      <c r="J24" s="74"/>
      <c r="K24" s="57"/>
      <c r="L24" s="57"/>
      <c r="M24" s="58"/>
      <c r="N24" s="59"/>
      <c r="O24" s="56"/>
      <c r="P24" s="57"/>
      <c r="Q24" s="57"/>
      <c r="R24" s="58"/>
      <c r="S24" s="59"/>
      <c r="T24" s="56"/>
      <c r="U24" s="57"/>
      <c r="V24" s="57"/>
      <c r="W24" s="58"/>
      <c r="X24" s="59"/>
    </row>
    <row r="25" spans="1:24" s="34" customFormat="1" x14ac:dyDescent="0.15">
      <c r="A25" s="73" t="s">
        <v>22</v>
      </c>
      <c r="B25" s="154" t="s">
        <v>68</v>
      </c>
      <c r="C25" s="154"/>
      <c r="D25" s="50" t="s">
        <v>25</v>
      </c>
      <c r="E25" s="56">
        <f t="shared" si="6"/>
        <v>0</v>
      </c>
      <c r="F25" s="57">
        <f t="shared" si="6"/>
        <v>0</v>
      </c>
      <c r="G25" s="57">
        <f t="shared" si="6"/>
        <v>0</v>
      </c>
      <c r="H25" s="58">
        <v>0</v>
      </c>
      <c r="I25" s="59">
        <f t="shared" si="6"/>
        <v>0</v>
      </c>
      <c r="J25" s="74"/>
      <c r="K25" s="75"/>
      <c r="L25" s="75"/>
      <c r="M25" s="58"/>
      <c r="N25" s="246"/>
      <c r="O25" s="247"/>
      <c r="P25" s="75"/>
      <c r="Q25" s="75"/>
      <c r="R25" s="58"/>
      <c r="S25" s="248"/>
      <c r="T25" s="247"/>
      <c r="U25" s="75"/>
      <c r="V25" s="75"/>
      <c r="W25" s="58"/>
      <c r="X25" s="248"/>
    </row>
    <row r="26" spans="1:24" s="38" customFormat="1" x14ac:dyDescent="0.15">
      <c r="A26" s="55" t="s">
        <v>23</v>
      </c>
      <c r="B26" s="1233" t="s">
        <v>69</v>
      </c>
      <c r="C26" s="1233"/>
      <c r="D26" s="50" t="s">
        <v>25</v>
      </c>
      <c r="E26" s="56">
        <f t="shared" si="6"/>
        <v>1213572</v>
      </c>
      <c r="F26" s="57">
        <f t="shared" si="6"/>
        <v>1213572</v>
      </c>
      <c r="G26" s="57">
        <f t="shared" si="6"/>
        <v>1213572</v>
      </c>
      <c r="H26" s="81">
        <f t="shared" si="0"/>
        <v>100</v>
      </c>
      <c r="I26" s="59">
        <f t="shared" si="6"/>
        <v>1233923</v>
      </c>
      <c r="J26" s="74">
        <v>1213572</v>
      </c>
      <c r="K26" s="82">
        <v>1213572</v>
      </c>
      <c r="L26" s="82">
        <v>1213572</v>
      </c>
      <c r="M26" s="58">
        <f t="shared" si="2"/>
        <v>100</v>
      </c>
      <c r="N26" s="59">
        <v>1233923</v>
      </c>
      <c r="O26" s="251"/>
      <c r="P26" s="82"/>
      <c r="Q26" s="82"/>
      <c r="R26" s="58"/>
      <c r="S26" s="246"/>
      <c r="T26" s="428">
        <v>34740</v>
      </c>
      <c r="U26" s="429">
        <v>34740</v>
      </c>
      <c r="V26" s="429">
        <v>34740</v>
      </c>
      <c r="W26" s="58">
        <f t="shared" si="4"/>
        <v>100</v>
      </c>
      <c r="X26" s="430">
        <v>14389</v>
      </c>
    </row>
    <row r="27" spans="1:24" s="39" customFormat="1" x14ac:dyDescent="0.15">
      <c r="A27" s="55" t="s">
        <v>45</v>
      </c>
      <c r="B27" s="151" t="s">
        <v>70</v>
      </c>
      <c r="C27" s="151"/>
      <c r="D27" s="50" t="s">
        <v>25</v>
      </c>
      <c r="E27" s="56">
        <f t="shared" si="6"/>
        <v>0</v>
      </c>
      <c r="F27" s="57">
        <f t="shared" si="6"/>
        <v>0</v>
      </c>
      <c r="G27" s="57">
        <f t="shared" si="6"/>
        <v>0</v>
      </c>
      <c r="H27" s="81">
        <v>0</v>
      </c>
      <c r="I27" s="59">
        <f t="shared" si="6"/>
        <v>0</v>
      </c>
      <c r="J27" s="74"/>
      <c r="K27" s="82"/>
      <c r="L27" s="82"/>
      <c r="M27" s="58"/>
      <c r="N27" s="246"/>
      <c r="O27" s="251"/>
      <c r="P27" s="82"/>
      <c r="Q27" s="82"/>
      <c r="R27" s="58"/>
      <c r="S27" s="246"/>
      <c r="T27" s="252"/>
      <c r="U27" s="83"/>
      <c r="V27" s="83"/>
      <c r="W27" s="58"/>
      <c r="X27" s="253"/>
    </row>
    <row r="28" spans="1:24" s="39" customFormat="1" x14ac:dyDescent="0.15">
      <c r="A28" s="55" t="s">
        <v>51</v>
      </c>
      <c r="B28" s="151" t="s">
        <v>74</v>
      </c>
      <c r="C28" s="151"/>
      <c r="D28" s="50" t="s">
        <v>25</v>
      </c>
      <c r="E28" s="56">
        <v>25000</v>
      </c>
      <c r="F28" s="57">
        <v>455410</v>
      </c>
      <c r="G28" s="57">
        <v>554284.17000000004</v>
      </c>
      <c r="H28" s="81">
        <f t="shared" si="0"/>
        <v>121.711023034189</v>
      </c>
      <c r="I28" s="59">
        <v>175560</v>
      </c>
      <c r="J28" s="74">
        <v>15000</v>
      </c>
      <c r="K28" s="82">
        <v>139410.79</v>
      </c>
      <c r="L28" s="82">
        <v>139106.28</v>
      </c>
      <c r="M28" s="58">
        <f t="shared" si="2"/>
        <v>99.781573578343526</v>
      </c>
      <c r="N28" s="246">
        <v>74308</v>
      </c>
      <c r="O28" s="251">
        <v>10000</v>
      </c>
      <c r="P28" s="82">
        <v>413838</v>
      </c>
      <c r="Q28" s="82">
        <v>413837.89</v>
      </c>
      <c r="R28" s="58">
        <f t="shared" si="3"/>
        <v>99.999973419550642</v>
      </c>
      <c r="S28" s="246">
        <v>101252</v>
      </c>
      <c r="T28" s="252"/>
      <c r="U28" s="83"/>
      <c r="V28" s="83"/>
      <c r="W28" s="58"/>
      <c r="X28" s="253"/>
    </row>
    <row r="29" spans="1:24" s="38" customFormat="1" x14ac:dyDescent="0.15">
      <c r="A29" s="55" t="s">
        <v>52</v>
      </c>
      <c r="B29" s="1233" t="s">
        <v>67</v>
      </c>
      <c r="C29" s="1233"/>
      <c r="D29" s="50" t="s">
        <v>25</v>
      </c>
      <c r="E29" s="56">
        <f t="shared" ref="E29:G31" si="7">SUM(J29,O29)</f>
        <v>500</v>
      </c>
      <c r="F29" s="57">
        <f t="shared" si="7"/>
        <v>10763</v>
      </c>
      <c r="G29" s="57">
        <f t="shared" si="7"/>
        <v>10566</v>
      </c>
      <c r="H29" s="81">
        <f t="shared" si="0"/>
        <v>98.16965530056676</v>
      </c>
      <c r="I29" s="59">
        <f>SUM(N29,S29)</f>
        <v>303</v>
      </c>
      <c r="J29" s="74">
        <v>500</v>
      </c>
      <c r="K29" s="82">
        <v>500</v>
      </c>
      <c r="L29" s="82">
        <v>303</v>
      </c>
      <c r="M29" s="58">
        <f t="shared" si="2"/>
        <v>60.6</v>
      </c>
      <c r="N29" s="246">
        <v>303</v>
      </c>
      <c r="O29" s="251"/>
      <c r="P29" s="82">
        <v>10263</v>
      </c>
      <c r="Q29" s="82">
        <v>10263</v>
      </c>
      <c r="R29" s="58">
        <f t="shared" si="3"/>
        <v>100</v>
      </c>
      <c r="S29" s="246"/>
      <c r="T29" s="252"/>
      <c r="U29" s="83"/>
      <c r="V29" s="83"/>
      <c r="W29" s="58"/>
      <c r="X29" s="253"/>
    </row>
    <row r="30" spans="1:24" s="34" customFormat="1" x14ac:dyDescent="0.15">
      <c r="A30" s="55" t="s">
        <v>54</v>
      </c>
      <c r="B30" s="151" t="s">
        <v>53</v>
      </c>
      <c r="C30" s="151"/>
      <c r="D30" s="50" t="s">
        <v>25</v>
      </c>
      <c r="E30" s="56">
        <f t="shared" si="7"/>
        <v>0</v>
      </c>
      <c r="F30" s="57">
        <f t="shared" si="7"/>
        <v>0</v>
      </c>
      <c r="G30" s="57">
        <f t="shared" si="7"/>
        <v>0</v>
      </c>
      <c r="H30" s="81">
        <v>0</v>
      </c>
      <c r="I30" s="59">
        <f>SUM(N30,S30)</f>
        <v>0</v>
      </c>
      <c r="J30" s="74"/>
      <c r="K30" s="82"/>
      <c r="L30" s="82"/>
      <c r="M30" s="58"/>
      <c r="N30" s="246"/>
      <c r="O30" s="251"/>
      <c r="P30" s="82"/>
      <c r="Q30" s="82"/>
      <c r="R30" s="58"/>
      <c r="S30" s="246"/>
      <c r="T30" s="252"/>
      <c r="U30" s="83"/>
      <c r="V30" s="83"/>
      <c r="W30" s="58"/>
      <c r="X30" s="253"/>
    </row>
    <row r="31" spans="1:24" s="5" customFormat="1" ht="8.4" x14ac:dyDescent="0.2">
      <c r="A31" s="55" t="s">
        <v>55</v>
      </c>
      <c r="B31" s="66" t="s">
        <v>71</v>
      </c>
      <c r="C31" s="66"/>
      <c r="D31" s="50" t="s">
        <v>25</v>
      </c>
      <c r="E31" s="56">
        <f t="shared" si="7"/>
        <v>0</v>
      </c>
      <c r="F31" s="57">
        <f t="shared" si="7"/>
        <v>0</v>
      </c>
      <c r="G31" s="57">
        <f t="shared" si="7"/>
        <v>0</v>
      </c>
      <c r="H31" s="81">
        <v>0</v>
      </c>
      <c r="I31" s="59">
        <f>SUM(N31,S31)</f>
        <v>0</v>
      </c>
      <c r="J31" s="74"/>
      <c r="K31" s="84"/>
      <c r="L31" s="84"/>
      <c r="M31" s="58"/>
      <c r="N31" s="254"/>
      <c r="O31" s="255"/>
      <c r="P31" s="84"/>
      <c r="Q31" s="84"/>
      <c r="R31" s="58"/>
      <c r="S31" s="254"/>
      <c r="T31" s="256"/>
      <c r="U31" s="31"/>
      <c r="V31" s="31"/>
      <c r="W31" s="58"/>
      <c r="X31" s="257"/>
    </row>
    <row r="32" spans="1:24" s="5" customFormat="1" x14ac:dyDescent="0.15">
      <c r="A32" s="73" t="s">
        <v>56</v>
      </c>
      <c r="B32" s="154" t="s">
        <v>72</v>
      </c>
      <c r="C32" s="154"/>
      <c r="D32" s="50" t="s">
        <v>25</v>
      </c>
      <c r="E32" s="56">
        <f>SUM(J32,O32)</f>
        <v>0</v>
      </c>
      <c r="F32" s="57">
        <f>SUM(K32,P32)</f>
        <v>0</v>
      </c>
      <c r="G32" s="57">
        <f>SUM(L32,Q32)</f>
        <v>0</v>
      </c>
      <c r="H32" s="81">
        <v>0</v>
      </c>
      <c r="I32" s="59">
        <f>SUM(N32,S32)</f>
        <v>0</v>
      </c>
      <c r="J32" s="86"/>
      <c r="K32" s="31"/>
      <c r="L32" s="31"/>
      <c r="M32" s="58"/>
      <c r="N32" s="257"/>
      <c r="O32" s="256"/>
      <c r="P32" s="31"/>
      <c r="Q32" s="31"/>
      <c r="R32" s="58"/>
      <c r="S32" s="257"/>
      <c r="T32" s="256"/>
      <c r="U32" s="31"/>
      <c r="V32" s="31"/>
      <c r="W32" s="58"/>
      <c r="X32" s="257"/>
    </row>
    <row r="33" spans="1:24" s="5" customFormat="1" x14ac:dyDescent="0.15">
      <c r="A33" s="49" t="s">
        <v>57</v>
      </c>
      <c r="B33" s="153" t="s">
        <v>58</v>
      </c>
      <c r="C33" s="153"/>
      <c r="D33" s="50" t="s">
        <v>25</v>
      </c>
      <c r="E33" s="51">
        <f>E6-E11</f>
        <v>0</v>
      </c>
      <c r="F33" s="52">
        <f t="shared" ref="F33:G33" si="8">F6-F11</f>
        <v>97838.789999999106</v>
      </c>
      <c r="G33" s="52">
        <f t="shared" si="8"/>
        <v>168652.23000000045</v>
      </c>
      <c r="H33" s="89">
        <f t="shared" si="0"/>
        <v>172.37767351783683</v>
      </c>
      <c r="I33" s="53">
        <f t="shared" ref="I33:L33" si="9">I6-I11</f>
        <v>70193</v>
      </c>
      <c r="J33" s="51">
        <f t="shared" si="9"/>
        <v>0</v>
      </c>
      <c r="K33" s="52">
        <f t="shared" si="9"/>
        <v>0</v>
      </c>
      <c r="L33" s="52">
        <f t="shared" si="9"/>
        <v>168652.23000000045</v>
      </c>
      <c r="M33" s="4">
        <v>0</v>
      </c>
      <c r="N33" s="53">
        <f t="shared" ref="N33:Q33" si="10">N6-N11</f>
        <v>70193</v>
      </c>
      <c r="O33" s="51">
        <f t="shared" si="10"/>
        <v>0</v>
      </c>
      <c r="P33" s="52">
        <f t="shared" si="10"/>
        <v>0</v>
      </c>
      <c r="Q33" s="52">
        <f t="shared" si="10"/>
        <v>0</v>
      </c>
      <c r="R33" s="4">
        <v>0</v>
      </c>
      <c r="S33" s="53">
        <f t="shared" ref="S33:V33" si="11">S6-S11</f>
        <v>0</v>
      </c>
      <c r="T33" s="51">
        <f t="shared" si="11"/>
        <v>14210</v>
      </c>
      <c r="U33" s="52">
        <f t="shared" si="11"/>
        <v>19237</v>
      </c>
      <c r="V33" s="52">
        <f t="shared" si="11"/>
        <v>19237</v>
      </c>
      <c r="W33" s="58">
        <f t="shared" si="4"/>
        <v>100</v>
      </c>
      <c r="X33" s="53">
        <f>X6-X11</f>
        <v>30446</v>
      </c>
    </row>
    <row r="34" spans="1:24" s="6" customFormat="1" x14ac:dyDescent="0.15">
      <c r="A34" s="90" t="s">
        <v>59</v>
      </c>
      <c r="B34" s="1239" t="s">
        <v>24</v>
      </c>
      <c r="C34" s="1239"/>
      <c r="D34" s="91" t="s">
        <v>25</v>
      </c>
      <c r="E34" s="431">
        <v>32285</v>
      </c>
      <c r="F34" s="173">
        <v>33012</v>
      </c>
      <c r="G34" s="173">
        <v>34743</v>
      </c>
      <c r="H34" s="81">
        <f t="shared" si="0"/>
        <v>105.24354780079972</v>
      </c>
      <c r="I34" s="94">
        <v>33408</v>
      </c>
      <c r="J34" s="258">
        <v>0</v>
      </c>
      <c r="K34" s="96">
        <v>0</v>
      </c>
      <c r="L34" s="96">
        <v>0</v>
      </c>
      <c r="M34" s="58">
        <v>0</v>
      </c>
      <c r="N34" s="259">
        <v>0</v>
      </c>
      <c r="O34" s="258">
        <v>32285</v>
      </c>
      <c r="P34" s="96">
        <v>33012</v>
      </c>
      <c r="Q34" s="96">
        <v>34743</v>
      </c>
      <c r="R34" s="58">
        <f t="shared" si="3"/>
        <v>105.24354780079972</v>
      </c>
      <c r="S34" s="259">
        <v>33408</v>
      </c>
      <c r="T34" s="258">
        <v>0</v>
      </c>
      <c r="U34" s="96">
        <v>0</v>
      </c>
      <c r="V34" s="96">
        <v>0</v>
      </c>
      <c r="W34" s="58">
        <v>0</v>
      </c>
      <c r="X34" s="259">
        <v>0</v>
      </c>
    </row>
    <row r="35" spans="1:24" s="6" customFormat="1" x14ac:dyDescent="0.15">
      <c r="A35" s="99" t="s">
        <v>60</v>
      </c>
      <c r="B35" s="1240" t="s">
        <v>33</v>
      </c>
      <c r="C35" s="1240"/>
      <c r="D35" s="100" t="s">
        <v>26</v>
      </c>
      <c r="E35" s="298">
        <v>35.94</v>
      </c>
      <c r="F35" s="432">
        <v>36.43</v>
      </c>
      <c r="G35" s="433">
        <v>34.615099999999998</v>
      </c>
      <c r="H35" s="81">
        <f t="shared" si="0"/>
        <v>95.018116936590715</v>
      </c>
      <c r="I35" s="434">
        <v>32.6</v>
      </c>
      <c r="J35" s="258">
        <v>0</v>
      </c>
      <c r="K35" s="96">
        <v>0</v>
      </c>
      <c r="L35" s="96">
        <v>0</v>
      </c>
      <c r="M35" s="58">
        <v>0</v>
      </c>
      <c r="N35" s="259">
        <v>0</v>
      </c>
      <c r="O35" s="435">
        <v>35.94</v>
      </c>
      <c r="P35" s="243">
        <v>36.43</v>
      </c>
      <c r="Q35" s="436">
        <v>34.615099999999998</v>
      </c>
      <c r="R35" s="58">
        <f t="shared" si="3"/>
        <v>95.018116936590715</v>
      </c>
      <c r="S35" s="437">
        <v>32.6</v>
      </c>
      <c r="T35" s="258">
        <v>0</v>
      </c>
      <c r="U35" s="96">
        <v>0</v>
      </c>
      <c r="V35" s="96">
        <v>0</v>
      </c>
      <c r="W35" s="58">
        <v>0</v>
      </c>
      <c r="X35" s="259">
        <v>0</v>
      </c>
    </row>
    <row r="36" spans="1:24" s="6" customFormat="1" ht="8.4" thickBot="1" x14ac:dyDescent="0.2">
      <c r="A36" s="103" t="s">
        <v>61</v>
      </c>
      <c r="B36" s="1241" t="s">
        <v>27</v>
      </c>
      <c r="C36" s="1241"/>
      <c r="D36" s="104" t="s">
        <v>26</v>
      </c>
      <c r="E36" s="304">
        <v>36</v>
      </c>
      <c r="F36" s="438">
        <v>40</v>
      </c>
      <c r="G36" s="438">
        <v>40</v>
      </c>
      <c r="H36" s="107">
        <f t="shared" si="0"/>
        <v>100</v>
      </c>
      <c r="I36" s="108">
        <v>37</v>
      </c>
      <c r="J36" s="264">
        <v>0</v>
      </c>
      <c r="K36" s="110">
        <v>0</v>
      </c>
      <c r="L36" s="110">
        <v>0</v>
      </c>
      <c r="M36" s="111">
        <v>0</v>
      </c>
      <c r="N36" s="265">
        <v>0</v>
      </c>
      <c r="O36" s="264">
        <v>36</v>
      </c>
      <c r="P36" s="110">
        <v>40</v>
      </c>
      <c r="Q36" s="110">
        <v>40</v>
      </c>
      <c r="R36" s="111">
        <f t="shared" si="3"/>
        <v>100</v>
      </c>
      <c r="S36" s="265">
        <v>37</v>
      </c>
      <c r="T36" s="264">
        <v>0</v>
      </c>
      <c r="U36" s="110">
        <v>0</v>
      </c>
      <c r="V36" s="110">
        <v>0</v>
      </c>
      <c r="W36" s="111">
        <v>0</v>
      </c>
      <c r="X36" s="265">
        <v>0</v>
      </c>
    </row>
  </sheetData>
  <mergeCells count="39">
    <mergeCell ref="B26:C26"/>
    <mergeCell ref="B29:C29"/>
    <mergeCell ref="B34:C34"/>
    <mergeCell ref="B35:C35"/>
    <mergeCell ref="B36:C36"/>
    <mergeCell ref="B22:C22"/>
    <mergeCell ref="B8:C8"/>
    <mergeCell ref="B10:C10"/>
    <mergeCell ref="B11:C11"/>
    <mergeCell ref="B12:C12"/>
    <mergeCell ref="B13:C13"/>
    <mergeCell ref="B15:C15"/>
    <mergeCell ref="B16:C16"/>
    <mergeCell ref="B18:C18"/>
    <mergeCell ref="B19:C19"/>
    <mergeCell ref="B20:C20"/>
    <mergeCell ref="B21:C21"/>
    <mergeCell ref="B7:C7"/>
    <mergeCell ref="I4:I5"/>
    <mergeCell ref="J4:J5"/>
    <mergeCell ref="K4:M4"/>
    <mergeCell ref="N4:N5"/>
    <mergeCell ref="B6:C6"/>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s>
  <pageMargins left="0.23622047244094491" right="0.23622047244094491" top="0.74803149606299213" bottom="0.74803149606299213" header="0.31496062992125984" footer="0.31496062992125984"/>
  <pageSetup paperSize="9" scale="99" firstPageNumber="174" orientation="landscape" useFirstPageNumber="1" r:id="rId1"/>
  <headerFoot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zoomScaleNormal="100" workbookViewId="0">
      <selection activeCell="N17" sqref="N17"/>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323" customFormat="1" ht="17.399999999999999" x14ac:dyDescent="0.3">
      <c r="A1" s="323" t="s">
        <v>75</v>
      </c>
      <c r="B1" s="323" t="s">
        <v>577</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155" t="s">
        <v>25</v>
      </c>
      <c r="D5" s="1256" t="s">
        <v>103</v>
      </c>
      <c r="E5" s="1256"/>
      <c r="F5" s="1256"/>
      <c r="G5" s="1256"/>
      <c r="H5" s="1256"/>
      <c r="I5" s="1256"/>
    </row>
    <row r="6" spans="1:9" s="8" customFormat="1" ht="15" customHeight="1" x14ac:dyDescent="0.2">
      <c r="A6" s="1267" t="s">
        <v>104</v>
      </c>
      <c r="B6" s="1267"/>
      <c r="C6" s="113">
        <f>SUM(C7:C9)</f>
        <v>187889.23</v>
      </c>
      <c r="D6" s="1262"/>
      <c r="E6" s="1263"/>
      <c r="F6" s="1263"/>
      <c r="G6" s="1263"/>
      <c r="H6" s="1263"/>
      <c r="I6" s="1263"/>
    </row>
    <row r="7" spans="1:9" s="8" customFormat="1" ht="106.5" customHeight="1" x14ac:dyDescent="0.2">
      <c r="A7" s="1257" t="s">
        <v>77</v>
      </c>
      <c r="B7" s="1258"/>
      <c r="C7" s="114">
        <v>168652.23</v>
      </c>
      <c r="D7" s="1550" t="s">
        <v>578</v>
      </c>
      <c r="E7" s="1551"/>
      <c r="F7" s="1551"/>
      <c r="G7" s="1551"/>
      <c r="H7" s="1551"/>
      <c r="I7" s="1432"/>
    </row>
    <row r="8" spans="1:9" s="7" customFormat="1" ht="35.25" customHeight="1" x14ac:dyDescent="0.2">
      <c r="A8" s="1259" t="s">
        <v>78</v>
      </c>
      <c r="B8" s="1260"/>
      <c r="C8" s="115">
        <v>19237</v>
      </c>
      <c r="D8" s="1261" t="s">
        <v>579</v>
      </c>
      <c r="E8" s="1261"/>
      <c r="F8" s="1261"/>
      <c r="G8" s="1261"/>
      <c r="H8" s="1261"/>
      <c r="I8" s="1261"/>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9" customHeight="1" x14ac:dyDescent="0.2">
      <c r="C12" s="116"/>
      <c r="D12" s="117"/>
      <c r="E12" s="117"/>
      <c r="F12" s="117"/>
      <c r="G12" s="117"/>
      <c r="H12" s="117"/>
      <c r="I12" s="117"/>
    </row>
    <row r="13" spans="1:9" s="11" customFormat="1" ht="7.8" x14ac:dyDescent="0.15">
      <c r="A13" s="155" t="s">
        <v>76</v>
      </c>
      <c r="B13" s="155" t="s">
        <v>80</v>
      </c>
      <c r="C13" s="155" t="s">
        <v>25</v>
      </c>
      <c r="D13" s="118"/>
      <c r="E13" s="119"/>
      <c r="F13" s="119"/>
      <c r="G13" s="119"/>
      <c r="H13" s="119"/>
      <c r="I13" s="119"/>
    </row>
    <row r="14" spans="1:9" s="8" customFormat="1" ht="15" customHeight="1" x14ac:dyDescent="0.2">
      <c r="A14" s="12" t="s">
        <v>81</v>
      </c>
      <c r="B14" s="13"/>
      <c r="C14" s="120">
        <v>3609</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184280.23</v>
      </c>
      <c r="D16" s="126"/>
      <c r="E16" s="127"/>
      <c r="F16" s="127"/>
      <c r="G16" s="127"/>
      <c r="H16" s="127"/>
      <c r="I16" s="127"/>
    </row>
    <row r="17" spans="1:9" s="8" customFormat="1" ht="15" customHeight="1" x14ac:dyDescent="0.2">
      <c r="A17" s="1251"/>
      <c r="B17" s="15" t="s">
        <v>84</v>
      </c>
      <c r="C17" s="128">
        <v>0</v>
      </c>
      <c r="D17" s="129"/>
      <c r="E17" s="130"/>
      <c r="F17" s="130"/>
      <c r="G17" s="130"/>
      <c r="H17" s="130"/>
      <c r="I17" s="130"/>
    </row>
    <row r="18" spans="1:9" s="8" customFormat="1" ht="15" customHeight="1" x14ac:dyDescent="0.2">
      <c r="A18" s="158" t="s">
        <v>104</v>
      </c>
      <c r="B18" s="16"/>
      <c r="C18" s="131">
        <f>SUM(C14:C17)</f>
        <v>187889.23</v>
      </c>
      <c r="D18" s="132"/>
      <c r="E18" s="132"/>
      <c r="F18" s="132"/>
      <c r="G18" s="132"/>
      <c r="H18" s="132"/>
      <c r="I18" s="132"/>
    </row>
    <row r="19" spans="1:9" s="134" customFormat="1" ht="9" customHeight="1"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155" t="s">
        <v>80</v>
      </c>
      <c r="B22" s="155" t="s">
        <v>109</v>
      </c>
      <c r="C22" s="217" t="s">
        <v>110</v>
      </c>
      <c r="D22" s="155" t="s">
        <v>111</v>
      </c>
      <c r="E22" s="155" t="s">
        <v>112</v>
      </c>
      <c r="F22" s="1256" t="s">
        <v>113</v>
      </c>
      <c r="G22" s="1256"/>
      <c r="H22" s="1256"/>
      <c r="I22" s="1256"/>
    </row>
    <row r="23" spans="1:9" s="8" customFormat="1" ht="41.1" customHeight="1" x14ac:dyDescent="0.2">
      <c r="A23" s="17" t="s">
        <v>85</v>
      </c>
      <c r="B23" s="439">
        <v>617247.15599999996</v>
      </c>
      <c r="C23" s="440">
        <v>1012519.42</v>
      </c>
      <c r="D23" s="440">
        <v>587366.55000000005</v>
      </c>
      <c r="E23" s="440">
        <f>B23+C23-D23</f>
        <v>1042400.0259999998</v>
      </c>
      <c r="F23" s="1555" t="s">
        <v>580</v>
      </c>
      <c r="G23" s="1556"/>
      <c r="H23" s="1556"/>
      <c r="I23" s="1557"/>
    </row>
    <row r="24" spans="1:9" s="8" customFormat="1" ht="19.5" customHeight="1" x14ac:dyDescent="0.2">
      <c r="A24" s="14" t="s">
        <v>86</v>
      </c>
      <c r="B24" s="439">
        <v>51428</v>
      </c>
      <c r="C24" s="441">
        <v>1265284</v>
      </c>
      <c r="D24" s="441">
        <v>1215436</v>
      </c>
      <c r="E24" s="441">
        <f t="shared" ref="E24:E26" si="0">B24+C24-D24</f>
        <v>101276</v>
      </c>
      <c r="F24" s="1343" t="s">
        <v>581</v>
      </c>
      <c r="G24" s="1558"/>
      <c r="H24" s="1558"/>
      <c r="I24" s="1559"/>
    </row>
    <row r="25" spans="1:9" s="8" customFormat="1" ht="37.5" customHeight="1" x14ac:dyDescent="0.2">
      <c r="A25" s="14" t="s">
        <v>84</v>
      </c>
      <c r="B25" s="442">
        <v>36135.980000000003</v>
      </c>
      <c r="C25" s="441">
        <v>0</v>
      </c>
      <c r="D25" s="441">
        <v>3000</v>
      </c>
      <c r="E25" s="441">
        <f t="shared" si="0"/>
        <v>33135.980000000003</v>
      </c>
      <c r="F25" s="1343" t="s">
        <v>582</v>
      </c>
      <c r="G25" s="1558"/>
      <c r="H25" s="1558"/>
      <c r="I25" s="1559"/>
    </row>
    <row r="26" spans="1:9" s="8" customFormat="1" ht="27.75" customHeight="1" x14ac:dyDescent="0.2">
      <c r="A26" s="15" t="s">
        <v>87</v>
      </c>
      <c r="B26" s="442">
        <v>288124.02</v>
      </c>
      <c r="C26" s="443">
        <v>296409</v>
      </c>
      <c r="D26" s="443">
        <v>166546</v>
      </c>
      <c r="E26" s="441">
        <f t="shared" si="0"/>
        <v>417987.02</v>
      </c>
      <c r="F26" s="1552" t="s">
        <v>583</v>
      </c>
      <c r="G26" s="1553"/>
      <c r="H26" s="1553"/>
      <c r="I26" s="1554"/>
    </row>
    <row r="27" spans="1:9" s="7" customFormat="1" ht="12" x14ac:dyDescent="0.2">
      <c r="A27" s="10" t="s">
        <v>34</v>
      </c>
      <c r="B27" s="444">
        <v>992935.16</v>
      </c>
      <c r="C27" s="445">
        <f t="shared" ref="C27:E27" si="1">SUM(C23:C26)</f>
        <v>2574212.42</v>
      </c>
      <c r="D27" s="445">
        <f t="shared" si="1"/>
        <v>1972348.55</v>
      </c>
      <c r="E27" s="445">
        <f t="shared" si="1"/>
        <v>1594799.0259999998</v>
      </c>
      <c r="F27" s="1268"/>
      <c r="G27" s="1268"/>
      <c r="H27" s="1268"/>
      <c r="I27" s="1269"/>
    </row>
    <row r="28" spans="1:9" s="8" customFormat="1" ht="11.4" x14ac:dyDescent="0.2">
      <c r="B28" s="446"/>
      <c r="C28" s="116"/>
    </row>
    <row r="29" spans="1:9" s="8" customFormat="1" ht="10.199999999999999" x14ac:dyDescent="0.2">
      <c r="A29" s="1248" t="s">
        <v>118</v>
      </c>
      <c r="B29" s="1248"/>
      <c r="C29" s="1248"/>
      <c r="D29" s="1248"/>
      <c r="E29" s="1248"/>
      <c r="F29" s="1248"/>
      <c r="G29" s="1248"/>
      <c r="H29" s="1248"/>
      <c r="I29" s="1248"/>
    </row>
    <row r="30" spans="1:9" s="8" customFormat="1" ht="6.75" customHeight="1" x14ac:dyDescent="0.2">
      <c r="C30" s="116"/>
    </row>
    <row r="31" spans="1:9" s="8" customFormat="1" ht="10.199999999999999" x14ac:dyDescent="0.2">
      <c r="A31" s="155" t="s">
        <v>88</v>
      </c>
      <c r="B31" s="155" t="s">
        <v>25</v>
      </c>
      <c r="C31" s="217" t="s">
        <v>89</v>
      </c>
      <c r="D31" s="1256" t="s">
        <v>90</v>
      </c>
      <c r="E31" s="1256"/>
      <c r="F31" s="1256"/>
      <c r="G31" s="1256"/>
      <c r="H31" s="1256"/>
      <c r="I31" s="1256"/>
    </row>
    <row r="32" spans="1:9" s="8" customFormat="1" ht="15" customHeight="1" x14ac:dyDescent="0.2">
      <c r="A32" s="19" t="s">
        <v>584</v>
      </c>
      <c r="B32" s="139"/>
      <c r="C32" s="20"/>
      <c r="D32" s="1270"/>
      <c r="E32" s="1271"/>
      <c r="F32" s="1271"/>
      <c r="G32" s="1271"/>
      <c r="H32" s="1271"/>
      <c r="I32" s="1272"/>
    </row>
    <row r="33" spans="1:9" s="7" customFormat="1" ht="10.199999999999999" x14ac:dyDescent="0.2">
      <c r="A33" s="10" t="s">
        <v>34</v>
      </c>
      <c r="B33" s="113">
        <f>SUM(B32:B32)</f>
        <v>0</v>
      </c>
      <c r="C33" s="1276"/>
      <c r="D33" s="1277"/>
      <c r="E33" s="1277"/>
      <c r="F33" s="1277"/>
      <c r="G33" s="1277"/>
      <c r="H33" s="1277"/>
      <c r="I33" s="1278"/>
    </row>
    <row r="34" spans="1:9" s="8" customFormat="1" ht="8.25" customHeight="1" x14ac:dyDescent="0.2">
      <c r="C34" s="116"/>
    </row>
    <row r="35" spans="1:9" s="8" customFormat="1" ht="10.199999999999999" x14ac:dyDescent="0.2">
      <c r="A35" s="1248" t="s">
        <v>119</v>
      </c>
      <c r="B35" s="1248"/>
      <c r="C35" s="1248"/>
      <c r="D35" s="1248"/>
      <c r="E35" s="1248"/>
      <c r="F35" s="1248"/>
      <c r="G35" s="1248"/>
      <c r="H35" s="1248"/>
      <c r="I35" s="1248"/>
    </row>
    <row r="36" spans="1:9" s="8" customFormat="1" ht="6.75" customHeight="1" x14ac:dyDescent="0.2">
      <c r="C36" s="116"/>
    </row>
    <row r="37" spans="1:9" s="8" customFormat="1" ht="10.199999999999999" x14ac:dyDescent="0.2">
      <c r="A37" s="155" t="s">
        <v>88</v>
      </c>
      <c r="B37" s="155" t="s">
        <v>25</v>
      </c>
      <c r="C37" s="217" t="s">
        <v>89</v>
      </c>
      <c r="D37" s="1279" t="s">
        <v>90</v>
      </c>
      <c r="E37" s="1279"/>
      <c r="F37" s="1279"/>
      <c r="G37" s="1279"/>
      <c r="H37" s="1279"/>
      <c r="I37" s="1280"/>
    </row>
    <row r="38" spans="1:9" s="8" customFormat="1" ht="15" customHeight="1" x14ac:dyDescent="0.2">
      <c r="A38" s="19" t="s">
        <v>585</v>
      </c>
      <c r="B38" s="139"/>
      <c r="C38" s="20"/>
      <c r="D38" s="1242"/>
      <c r="E38" s="1281"/>
      <c r="F38" s="1281"/>
      <c r="G38" s="1281"/>
      <c r="H38" s="1281"/>
      <c r="I38" s="1282"/>
    </row>
    <row r="39" spans="1:9" s="7" customFormat="1" ht="10.199999999999999" x14ac:dyDescent="0.2">
      <c r="A39" s="10" t="s">
        <v>34</v>
      </c>
      <c r="B39" s="113">
        <f>SUM(B38:B38)</f>
        <v>0</v>
      </c>
      <c r="C39" s="1283"/>
      <c r="D39" s="1284"/>
      <c r="E39" s="1284"/>
      <c r="F39" s="1284"/>
      <c r="G39" s="1284"/>
      <c r="H39" s="1284"/>
      <c r="I39" s="1284"/>
    </row>
    <row r="40" spans="1:9" s="8" customFormat="1" ht="10.199999999999999" x14ac:dyDescent="0.2">
      <c r="C40" s="116"/>
    </row>
    <row r="41" spans="1:9" s="8" customFormat="1" ht="10.199999999999999" x14ac:dyDescent="0.2">
      <c r="A41" s="1248" t="s">
        <v>120</v>
      </c>
      <c r="B41" s="1248"/>
      <c r="C41" s="1248"/>
      <c r="D41" s="1248"/>
      <c r="E41" s="1248"/>
      <c r="F41" s="1248"/>
      <c r="G41" s="1248"/>
      <c r="H41" s="1248"/>
      <c r="I41" s="1248"/>
    </row>
    <row r="42" spans="1:9" s="8" customFormat="1" ht="6" customHeight="1" x14ac:dyDescent="0.2">
      <c r="C42" s="116"/>
    </row>
    <row r="43" spans="1:9" s="8" customFormat="1" ht="10.199999999999999" x14ac:dyDescent="0.2">
      <c r="A43" s="157" t="s">
        <v>25</v>
      </c>
      <c r="B43" s="156" t="s">
        <v>122</v>
      </c>
      <c r="C43" s="1285" t="s">
        <v>91</v>
      </c>
      <c r="D43" s="1285"/>
      <c r="E43" s="1285"/>
      <c r="F43" s="1285"/>
      <c r="G43" s="1285"/>
      <c r="H43" s="1285"/>
      <c r="I43" s="1286"/>
    </row>
    <row r="44" spans="1:9" s="8" customFormat="1" ht="19.5" customHeight="1" x14ac:dyDescent="0.2">
      <c r="A44" s="447" t="s">
        <v>586</v>
      </c>
      <c r="B44" s="140">
        <v>0</v>
      </c>
      <c r="C44" s="1287"/>
      <c r="D44" s="1287"/>
      <c r="E44" s="1287"/>
      <c r="F44" s="1287"/>
      <c r="G44" s="1287"/>
      <c r="H44" s="1287"/>
      <c r="I44" s="1287"/>
    </row>
    <row r="45" spans="1:9" s="7" customFormat="1" ht="10.199999999999999" x14ac:dyDescent="0.2">
      <c r="A45" s="113"/>
      <c r="B45" s="113">
        <v>0</v>
      </c>
      <c r="C45" s="1289" t="s">
        <v>34</v>
      </c>
      <c r="D45" s="1289"/>
      <c r="E45" s="1289"/>
      <c r="F45" s="1289"/>
      <c r="G45" s="1289"/>
      <c r="H45" s="1289"/>
      <c r="I45" s="1289"/>
    </row>
    <row r="46" spans="1:9" s="8" customFormat="1" ht="5.25" customHeight="1" x14ac:dyDescent="0.2">
      <c r="C46" s="116"/>
    </row>
    <row r="47" spans="1:9" s="8" customFormat="1" ht="10.199999999999999" x14ac:dyDescent="0.2">
      <c r="A47" s="1248" t="s">
        <v>123</v>
      </c>
      <c r="B47" s="1248"/>
      <c r="C47" s="1248"/>
      <c r="D47" s="1248"/>
      <c r="E47" s="1248"/>
      <c r="F47" s="1248"/>
      <c r="G47" s="1248"/>
      <c r="H47" s="1248"/>
      <c r="I47" s="1248"/>
    </row>
    <row r="48" spans="1:9" s="8" customFormat="1" ht="5.25" customHeight="1" x14ac:dyDescent="0.2">
      <c r="C48" s="116"/>
    </row>
    <row r="49" spans="1:5" s="23" customFormat="1" ht="10.199999999999999" x14ac:dyDescent="0.2">
      <c r="A49" s="1256" t="s">
        <v>92</v>
      </c>
      <c r="B49" s="1256"/>
      <c r="C49" s="217" t="s">
        <v>93</v>
      </c>
      <c r="D49" s="155" t="s">
        <v>94</v>
      </c>
      <c r="E49" s="155" t="s">
        <v>25</v>
      </c>
    </row>
    <row r="50" spans="1:5" s="8" customFormat="1" ht="11.25" customHeight="1" x14ac:dyDescent="0.2">
      <c r="A50" s="1562" t="s">
        <v>587</v>
      </c>
      <c r="B50" s="1563"/>
      <c r="C50" s="448">
        <v>43612</v>
      </c>
      <c r="D50" s="448">
        <v>43719</v>
      </c>
      <c r="E50" s="449">
        <v>29000</v>
      </c>
    </row>
    <row r="51" spans="1:5" s="8" customFormat="1" ht="11.25" customHeight="1" x14ac:dyDescent="0.2">
      <c r="A51" s="1560" t="s">
        <v>588</v>
      </c>
      <c r="B51" s="1561"/>
      <c r="C51" s="450">
        <v>43507</v>
      </c>
      <c r="D51" s="450">
        <v>43822</v>
      </c>
      <c r="E51" s="451">
        <v>15000</v>
      </c>
    </row>
    <row r="52" spans="1:5" s="8" customFormat="1" ht="11.25" customHeight="1" x14ac:dyDescent="0.2">
      <c r="A52" s="1560" t="s">
        <v>589</v>
      </c>
      <c r="B52" s="1561"/>
      <c r="C52" s="450">
        <v>43599</v>
      </c>
      <c r="D52" s="450">
        <v>43752</v>
      </c>
      <c r="E52" s="451">
        <v>48119.79</v>
      </c>
    </row>
    <row r="53" spans="1:5" s="8" customFormat="1" ht="11.25" customHeight="1" x14ac:dyDescent="0.2">
      <c r="A53" s="1560" t="s">
        <v>590</v>
      </c>
      <c r="B53" s="1561"/>
      <c r="C53" s="450">
        <v>43641</v>
      </c>
      <c r="D53" s="450">
        <v>43677</v>
      </c>
      <c r="E53" s="451">
        <v>3000</v>
      </c>
    </row>
    <row r="54" spans="1:5" s="8" customFormat="1" ht="11.25" customHeight="1" x14ac:dyDescent="0.2">
      <c r="A54" s="1560" t="s">
        <v>591</v>
      </c>
      <c r="B54" s="1561"/>
      <c r="C54" s="450">
        <v>43641</v>
      </c>
      <c r="D54" s="450">
        <v>43677</v>
      </c>
      <c r="E54" s="451">
        <v>1074</v>
      </c>
    </row>
    <row r="55" spans="1:5" s="8" customFormat="1" ht="11.25" customHeight="1" x14ac:dyDescent="0.2">
      <c r="A55" s="1560" t="s">
        <v>592</v>
      </c>
      <c r="B55" s="1561"/>
      <c r="C55" s="450">
        <v>43571</v>
      </c>
      <c r="D55" s="450">
        <v>43684</v>
      </c>
      <c r="E55" s="451">
        <v>415000</v>
      </c>
    </row>
    <row r="56" spans="1:5" s="8" customFormat="1" ht="11.25" customHeight="1" x14ac:dyDescent="0.2">
      <c r="A56" s="1560" t="s">
        <v>593</v>
      </c>
      <c r="B56" s="1561"/>
      <c r="C56" s="450">
        <v>43641</v>
      </c>
      <c r="D56" s="450">
        <v>43830</v>
      </c>
      <c r="E56" s="451">
        <v>150000</v>
      </c>
    </row>
    <row r="57" spans="1:5" s="8" customFormat="1" ht="11.25" customHeight="1" x14ac:dyDescent="0.2">
      <c r="A57" s="1560" t="s">
        <v>594</v>
      </c>
      <c r="B57" s="1561"/>
      <c r="C57" s="450">
        <v>43760</v>
      </c>
      <c r="D57" s="450">
        <v>43830</v>
      </c>
      <c r="E57" s="451">
        <v>10375</v>
      </c>
    </row>
    <row r="58" spans="1:5" s="8" customFormat="1" ht="11.25" customHeight="1" x14ac:dyDescent="0.2">
      <c r="A58" s="1560" t="s">
        <v>595</v>
      </c>
      <c r="B58" s="1561"/>
      <c r="C58" s="450">
        <v>43830</v>
      </c>
      <c r="D58" s="450">
        <v>43830</v>
      </c>
      <c r="E58" s="451">
        <v>-60000</v>
      </c>
    </row>
    <row r="59" spans="1:5" s="8" customFormat="1" ht="11.25" customHeight="1" x14ac:dyDescent="0.2">
      <c r="A59" s="1560" t="s">
        <v>596</v>
      </c>
      <c r="B59" s="1561"/>
      <c r="C59" s="450">
        <v>43830</v>
      </c>
      <c r="D59" s="450">
        <v>43830</v>
      </c>
      <c r="E59" s="451">
        <v>60000</v>
      </c>
    </row>
    <row r="60" spans="1:5" s="8" customFormat="1" ht="11.25" customHeight="1" x14ac:dyDescent="0.2">
      <c r="A60" s="1560" t="s">
        <v>597</v>
      </c>
      <c r="B60" s="1561"/>
      <c r="C60" s="450">
        <v>43830</v>
      </c>
      <c r="D60" s="450">
        <v>43830</v>
      </c>
      <c r="E60" s="451">
        <v>-25000</v>
      </c>
    </row>
    <row r="61" spans="1:5" s="8" customFormat="1" ht="11.25" customHeight="1" x14ac:dyDescent="0.2">
      <c r="A61" s="1560" t="s">
        <v>598</v>
      </c>
      <c r="B61" s="1561"/>
      <c r="C61" s="450">
        <v>43830</v>
      </c>
      <c r="D61" s="450">
        <v>43830</v>
      </c>
      <c r="E61" s="451">
        <v>25000</v>
      </c>
    </row>
    <row r="62" spans="1:5" s="8" customFormat="1" ht="11.25" customHeight="1" x14ac:dyDescent="0.2">
      <c r="A62" s="1567" t="s">
        <v>599</v>
      </c>
      <c r="B62" s="1568"/>
      <c r="C62" s="452"/>
      <c r="D62" s="452"/>
      <c r="E62" s="453">
        <v>671568.79</v>
      </c>
    </row>
    <row r="63" spans="1:5" s="8" customFormat="1" ht="11.25" customHeight="1" x14ac:dyDescent="0.2">
      <c r="A63" s="1569" t="s">
        <v>600</v>
      </c>
      <c r="B63" s="1294"/>
      <c r="C63" s="450">
        <v>43830</v>
      </c>
      <c r="D63" s="450">
        <v>43830</v>
      </c>
      <c r="E63" s="451">
        <v>74</v>
      </c>
    </row>
    <row r="64" spans="1:5" s="8" customFormat="1" ht="11.25" customHeight="1" x14ac:dyDescent="0.2">
      <c r="A64" s="1569" t="s">
        <v>601</v>
      </c>
      <c r="B64" s="1294"/>
      <c r="C64" s="450">
        <v>43830</v>
      </c>
      <c r="D64" s="450">
        <v>43830</v>
      </c>
      <c r="E64" s="451">
        <v>1831</v>
      </c>
    </row>
    <row r="65" spans="1:9" s="8" customFormat="1" ht="11.25" customHeight="1" x14ac:dyDescent="0.2">
      <c r="A65" s="1570" t="s">
        <v>602</v>
      </c>
      <c r="B65" s="1571"/>
      <c r="C65" s="450">
        <v>43830</v>
      </c>
      <c r="D65" s="450">
        <v>43830</v>
      </c>
      <c r="E65" s="451">
        <v>774</v>
      </c>
    </row>
    <row r="66" spans="1:9" s="8" customFormat="1" ht="11.25" customHeight="1" x14ac:dyDescent="0.2">
      <c r="A66" s="1570" t="s">
        <v>603</v>
      </c>
      <c r="B66" s="1571"/>
      <c r="C66" s="450">
        <v>43830</v>
      </c>
      <c r="D66" s="450">
        <v>43830</v>
      </c>
      <c r="E66" s="451">
        <v>48</v>
      </c>
    </row>
    <row r="67" spans="1:9" s="8" customFormat="1" ht="11.25" customHeight="1" x14ac:dyDescent="0.2">
      <c r="A67" s="1570" t="s">
        <v>604</v>
      </c>
      <c r="B67" s="1571"/>
      <c r="C67" s="450">
        <v>43830</v>
      </c>
      <c r="D67" s="450">
        <v>43830</v>
      </c>
      <c r="E67" s="451">
        <v>-24</v>
      </c>
    </row>
    <row r="68" spans="1:9" s="8" customFormat="1" ht="11.25" customHeight="1" x14ac:dyDescent="0.2">
      <c r="A68" s="1567" t="s">
        <v>605</v>
      </c>
      <c r="B68" s="1568"/>
      <c r="C68" s="452"/>
      <c r="D68" s="452"/>
      <c r="E68" s="453">
        <v>2703</v>
      </c>
    </row>
    <row r="69" spans="1:9" s="8" customFormat="1" ht="11.25" customHeight="1" x14ac:dyDescent="0.2">
      <c r="A69" s="147"/>
      <c r="B69" s="148"/>
      <c r="C69" s="149"/>
      <c r="D69" s="149"/>
      <c r="E69" s="150"/>
    </row>
    <row r="70" spans="1:9" s="8" customFormat="1" ht="10.199999999999999" x14ac:dyDescent="0.2">
      <c r="A70" s="1300" t="s">
        <v>154</v>
      </c>
      <c r="B70" s="1300"/>
      <c r="C70" s="1300"/>
      <c r="D70" s="1300"/>
      <c r="E70" s="1300"/>
      <c r="F70" s="1300"/>
      <c r="G70" s="1300"/>
      <c r="H70" s="1300"/>
      <c r="I70" s="1300"/>
    </row>
    <row r="71" spans="1:9" s="8" customFormat="1" ht="10.199999999999999" x14ac:dyDescent="0.2">
      <c r="A71" s="1564" t="s">
        <v>606</v>
      </c>
      <c r="B71" s="1565"/>
      <c r="C71" s="1565"/>
      <c r="D71" s="1565"/>
      <c r="E71" s="1565"/>
      <c r="F71" s="1565"/>
      <c r="G71" s="1565"/>
      <c r="H71" s="1565"/>
      <c r="I71" s="1566"/>
    </row>
    <row r="72" spans="1:9" s="8" customFormat="1" ht="24.75" customHeight="1" x14ac:dyDescent="0.2">
      <c r="A72" s="1573" t="s">
        <v>607</v>
      </c>
      <c r="B72" s="1574"/>
      <c r="C72" s="1574"/>
      <c r="D72" s="1574"/>
      <c r="E72" s="1574"/>
      <c r="F72" s="1574"/>
      <c r="G72" s="1574"/>
      <c r="H72" s="1574"/>
      <c r="I72" s="1575"/>
    </row>
    <row r="73" spans="1:9" s="8" customFormat="1" ht="12.75" customHeight="1" x14ac:dyDescent="0.2">
      <c r="A73" s="1573" t="s">
        <v>608</v>
      </c>
      <c r="B73" s="1576"/>
      <c r="C73" s="1576"/>
      <c r="D73" s="1576"/>
      <c r="E73" s="1576"/>
      <c r="F73" s="1576"/>
      <c r="G73" s="1576"/>
      <c r="H73" s="1576"/>
      <c r="I73" s="1577"/>
    </row>
    <row r="74" spans="1:9" s="8" customFormat="1" ht="10.199999999999999" x14ac:dyDescent="0.2"/>
    <row r="75" spans="1:9" s="8" customFormat="1" ht="0.75" customHeight="1" x14ac:dyDescent="0.2">
      <c r="A75" s="1297"/>
      <c r="B75" s="1298"/>
      <c r="C75" s="1298"/>
      <c r="D75" s="1298"/>
      <c r="E75" s="1298"/>
      <c r="F75" s="1298"/>
      <c r="G75" s="1298"/>
      <c r="H75" s="1298"/>
      <c r="I75" s="1299"/>
    </row>
    <row r="76" spans="1:9" s="8" customFormat="1" ht="10.199999999999999" hidden="1" x14ac:dyDescent="0.2"/>
    <row r="77" spans="1:9" s="7" customFormat="1" ht="10.199999999999999" x14ac:dyDescent="0.2">
      <c r="A77" s="1248" t="s">
        <v>156</v>
      </c>
      <c r="B77" s="1248"/>
      <c r="C77" s="1248"/>
      <c r="D77" s="1248"/>
      <c r="E77" s="1248"/>
      <c r="F77" s="1248"/>
      <c r="G77" s="1248"/>
      <c r="H77" s="1248"/>
      <c r="I77" s="1248"/>
    </row>
    <row r="78" spans="1:9" s="8" customFormat="1" ht="10.199999999999999" x14ac:dyDescent="0.2">
      <c r="A78" s="8" t="s">
        <v>95</v>
      </c>
    </row>
    <row r="79" spans="1:9" s="8" customFormat="1" ht="31.5" customHeight="1" x14ac:dyDescent="0.2">
      <c r="A79" s="1297" t="s">
        <v>609</v>
      </c>
      <c r="B79" s="1298"/>
      <c r="C79" s="1298"/>
      <c r="D79" s="1298"/>
      <c r="E79" s="1298"/>
      <c r="F79" s="1298"/>
      <c r="G79" s="1298"/>
      <c r="H79" s="1298"/>
      <c r="I79" s="1299"/>
    </row>
    <row r="80" spans="1:9" s="8" customFormat="1" ht="21" customHeight="1" x14ac:dyDescent="0.2">
      <c r="A80" s="1297" t="s">
        <v>610</v>
      </c>
      <c r="B80" s="1572"/>
      <c r="C80" s="1572"/>
      <c r="D80" s="1572"/>
      <c r="E80" s="1572"/>
      <c r="F80" s="1572"/>
      <c r="G80" s="1572"/>
      <c r="H80" s="1572"/>
      <c r="I80" s="1571"/>
    </row>
    <row r="81" spans="1:9" s="8" customFormat="1" ht="17.25" customHeight="1" x14ac:dyDescent="0.2">
      <c r="A81" s="1297" t="s">
        <v>611</v>
      </c>
      <c r="B81" s="1572"/>
      <c r="C81" s="1572"/>
      <c r="D81" s="1572"/>
      <c r="E81" s="1572"/>
      <c r="F81" s="1572"/>
      <c r="G81" s="1572"/>
      <c r="H81" s="1572"/>
      <c r="I81" s="1571"/>
    </row>
    <row r="83" spans="1:9" x14ac:dyDescent="0.25">
      <c r="A83" s="8" t="s">
        <v>612</v>
      </c>
    </row>
    <row r="84" spans="1:9" x14ac:dyDescent="0.25">
      <c r="A84" s="26"/>
    </row>
    <row r="85" spans="1:9" x14ac:dyDescent="0.25">
      <c r="A85" s="322" t="s">
        <v>613</v>
      </c>
      <c r="C85" s="8" t="s">
        <v>614</v>
      </c>
    </row>
  </sheetData>
  <mergeCells count="62">
    <mergeCell ref="A81:I81"/>
    <mergeCell ref="A72:I72"/>
    <mergeCell ref="A73:I73"/>
    <mergeCell ref="A75:I75"/>
    <mergeCell ref="A77:I77"/>
    <mergeCell ref="A79:I79"/>
    <mergeCell ref="A80:I80"/>
    <mergeCell ref="A71:I71"/>
    <mergeCell ref="A59:B59"/>
    <mergeCell ref="A60:B60"/>
    <mergeCell ref="A61:B61"/>
    <mergeCell ref="A62:B62"/>
    <mergeCell ref="A63:B63"/>
    <mergeCell ref="A64:B64"/>
    <mergeCell ref="A65:B65"/>
    <mergeCell ref="A66:B66"/>
    <mergeCell ref="A67:B67"/>
    <mergeCell ref="A68:B68"/>
    <mergeCell ref="A70:I70"/>
    <mergeCell ref="A58:B58"/>
    <mergeCell ref="C45:I45"/>
    <mergeCell ref="A47:I47"/>
    <mergeCell ref="A49:B49"/>
    <mergeCell ref="A50:B50"/>
    <mergeCell ref="A51:B51"/>
    <mergeCell ref="A52:B52"/>
    <mergeCell ref="A53:B53"/>
    <mergeCell ref="A54:B54"/>
    <mergeCell ref="A55:B55"/>
    <mergeCell ref="A56:B56"/>
    <mergeCell ref="A57:B57"/>
    <mergeCell ref="C44:I44"/>
    <mergeCell ref="F27:I27"/>
    <mergeCell ref="A29:I29"/>
    <mergeCell ref="D31:I31"/>
    <mergeCell ref="D32:I32"/>
    <mergeCell ref="C33:I33"/>
    <mergeCell ref="A35:I35"/>
    <mergeCell ref="D37:I37"/>
    <mergeCell ref="D38:I38"/>
    <mergeCell ref="C39:I39"/>
    <mergeCell ref="A41:I41"/>
    <mergeCell ref="C43:I43"/>
    <mergeCell ref="F26:I26"/>
    <mergeCell ref="A8:B8"/>
    <mergeCell ref="D8:I8"/>
    <mergeCell ref="A9:B9"/>
    <mergeCell ref="D9:I9"/>
    <mergeCell ref="A11:I11"/>
    <mergeCell ref="A15:A17"/>
    <mergeCell ref="A20:I20"/>
    <mergeCell ref="F22:I22"/>
    <mergeCell ref="F23:I23"/>
    <mergeCell ref="F24:I24"/>
    <mergeCell ref="F25:I25"/>
    <mergeCell ref="A7:B7"/>
    <mergeCell ref="D7:I7"/>
    <mergeCell ref="A3:I3"/>
    <mergeCell ref="A5:B5"/>
    <mergeCell ref="D5:I5"/>
    <mergeCell ref="A6:B6"/>
    <mergeCell ref="D6:I6"/>
  </mergeCells>
  <pageMargins left="0.70866141732283472" right="0.70866141732283472" top="0.78740157480314965" bottom="0.78740157480314965" header="0.31496062992125984" footer="0.31496062992125984"/>
  <pageSetup paperSize="9" firstPageNumber="175" orientation="landscape" useFirstPageNumber="1"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0"/>
  <sheetViews>
    <sheetView zoomScale="90" zoomScaleNormal="90" workbookViewId="0">
      <selection activeCell="J25" sqref="J25"/>
    </sheetView>
  </sheetViews>
  <sheetFormatPr defaultColWidth="6.3984375" defaultRowHeight="11.4" x14ac:dyDescent="0.15"/>
  <cols>
    <col min="1" max="1" width="8.3984375" style="454" customWidth="1"/>
    <col min="2" max="2" width="12.3984375" style="455" customWidth="1"/>
    <col min="3" max="3" width="69.3984375" style="455" customWidth="1"/>
    <col min="4" max="4" width="14.3984375" style="455" customWidth="1"/>
    <col min="5" max="5" width="18.3984375" style="455" customWidth="1"/>
    <col min="6" max="6" width="21.3984375" style="455" customWidth="1"/>
    <col min="7" max="7" width="22.3984375" style="455" customWidth="1"/>
    <col min="8" max="8" width="12.3984375" style="455" customWidth="1"/>
    <col min="9" max="9" width="19.19921875" style="455" customWidth="1"/>
    <col min="10" max="10" width="17.796875" style="455" customWidth="1"/>
    <col min="11" max="11" width="21.796875" style="455" customWidth="1"/>
    <col min="12" max="12" width="22.3984375" style="455" customWidth="1"/>
    <col min="13" max="13" width="11.3984375" style="455" customWidth="1"/>
    <col min="14" max="16" width="22.3984375" style="455" customWidth="1"/>
    <col min="17" max="17" width="23.3984375" style="455" customWidth="1"/>
    <col min="18" max="18" width="12.796875" style="455" customWidth="1"/>
    <col min="19" max="19" width="22.3984375" style="455" customWidth="1"/>
    <col min="20" max="20" width="17" style="455" customWidth="1"/>
    <col min="21" max="21" width="21" style="455" customWidth="1"/>
    <col min="22" max="22" width="20.796875" style="455" customWidth="1"/>
    <col min="23" max="24" width="19.19921875" style="455" customWidth="1"/>
    <col min="25" max="25" width="10.19921875" style="455" bestFit="1" customWidth="1"/>
    <col min="26" max="16384" width="6.3984375" style="455"/>
  </cols>
  <sheetData>
    <row r="2" spans="1:24" s="456" customFormat="1" ht="12" x14ac:dyDescent="0.25">
      <c r="A2" s="1578" t="s">
        <v>615</v>
      </c>
      <c r="B2" s="1578"/>
      <c r="C2" s="1578"/>
      <c r="D2" s="1578"/>
      <c r="E2" s="1578"/>
      <c r="F2" s="1578"/>
      <c r="G2" s="1578"/>
      <c r="H2" s="1578"/>
      <c r="I2" s="1578"/>
      <c r="J2" s="1578"/>
      <c r="K2" s="1578"/>
      <c r="L2" s="1578"/>
      <c r="M2" s="1578"/>
      <c r="N2" s="1578"/>
      <c r="O2" s="1578"/>
      <c r="P2" s="1578"/>
      <c r="Q2" s="1578"/>
      <c r="R2" s="1578"/>
      <c r="S2" s="1578"/>
      <c r="T2" s="1578"/>
      <c r="U2" s="1578"/>
      <c r="V2" s="1578"/>
      <c r="W2" s="1578"/>
      <c r="X2" s="1578"/>
    </row>
    <row r="3" spans="1:24" ht="12" thickBot="1" x14ac:dyDescent="0.2"/>
    <row r="4" spans="1:24" s="457" customFormat="1" ht="12" customHeight="1" x14ac:dyDescent="0.25">
      <c r="A4" s="1217" t="s">
        <v>40</v>
      </c>
      <c r="B4" s="1579" t="s">
        <v>41</v>
      </c>
      <c r="C4" s="1580"/>
      <c r="D4" s="1585" t="s">
        <v>42</v>
      </c>
      <c r="E4" s="1588" t="s">
        <v>162</v>
      </c>
      <c r="F4" s="1589"/>
      <c r="G4" s="1589"/>
      <c r="H4" s="1589"/>
      <c r="I4" s="1590"/>
      <c r="J4" s="1588" t="s">
        <v>616</v>
      </c>
      <c r="K4" s="1589"/>
      <c r="L4" s="1589"/>
      <c r="M4" s="1589"/>
      <c r="N4" s="1591"/>
      <c r="O4" s="1592" t="s">
        <v>617</v>
      </c>
      <c r="P4" s="1589"/>
      <c r="Q4" s="1589"/>
      <c r="R4" s="1589"/>
      <c r="S4" s="1591"/>
      <c r="T4" s="1588" t="s">
        <v>164</v>
      </c>
      <c r="U4" s="1589"/>
      <c r="V4" s="1589"/>
      <c r="W4" s="1589"/>
      <c r="X4" s="1591"/>
    </row>
    <row r="5" spans="1:24" s="458" customFormat="1" ht="12" x14ac:dyDescent="0.25">
      <c r="A5" s="1218"/>
      <c r="B5" s="1581"/>
      <c r="C5" s="1582"/>
      <c r="D5" s="1586"/>
      <c r="E5" s="1593" t="s">
        <v>165</v>
      </c>
      <c r="F5" s="1594" t="s">
        <v>100</v>
      </c>
      <c r="G5" s="1594"/>
      <c r="H5" s="1594"/>
      <c r="I5" s="1599" t="s">
        <v>101</v>
      </c>
      <c r="J5" s="1593" t="s">
        <v>165</v>
      </c>
      <c r="K5" s="1594" t="s">
        <v>100</v>
      </c>
      <c r="L5" s="1594"/>
      <c r="M5" s="1594"/>
      <c r="N5" s="1595" t="s">
        <v>101</v>
      </c>
      <c r="O5" s="1596" t="s">
        <v>165</v>
      </c>
      <c r="P5" s="1594" t="s">
        <v>100</v>
      </c>
      <c r="Q5" s="1594"/>
      <c r="R5" s="1594"/>
      <c r="S5" s="1595" t="s">
        <v>101</v>
      </c>
      <c r="T5" s="1593" t="s">
        <v>165</v>
      </c>
      <c r="U5" s="1594" t="s">
        <v>100</v>
      </c>
      <c r="V5" s="1594"/>
      <c r="W5" s="1594"/>
      <c r="X5" s="1595" t="s">
        <v>101</v>
      </c>
    </row>
    <row r="6" spans="1:24" s="459" customFormat="1" ht="12" x14ac:dyDescent="0.25">
      <c r="A6" s="1218"/>
      <c r="B6" s="1583"/>
      <c r="C6" s="1584"/>
      <c r="D6" s="1587"/>
      <c r="E6" s="1593"/>
      <c r="F6" s="466" t="s">
        <v>168</v>
      </c>
      <c r="G6" s="466" t="s">
        <v>36</v>
      </c>
      <c r="H6" s="466" t="s">
        <v>37</v>
      </c>
      <c r="I6" s="1599"/>
      <c r="J6" s="1593"/>
      <c r="K6" s="466" t="s">
        <v>168</v>
      </c>
      <c r="L6" s="466" t="s">
        <v>36</v>
      </c>
      <c r="M6" s="466" t="s">
        <v>37</v>
      </c>
      <c r="N6" s="1595"/>
      <c r="O6" s="1596"/>
      <c r="P6" s="466" t="s">
        <v>168</v>
      </c>
      <c r="Q6" s="466" t="s">
        <v>36</v>
      </c>
      <c r="R6" s="466" t="s">
        <v>37</v>
      </c>
      <c r="S6" s="1595"/>
      <c r="T6" s="1593"/>
      <c r="U6" s="466" t="s">
        <v>168</v>
      </c>
      <c r="V6" s="466" t="s">
        <v>36</v>
      </c>
      <c r="W6" s="466" t="s">
        <v>37</v>
      </c>
      <c r="X6" s="1595"/>
    </row>
    <row r="7" spans="1:24" s="457" customFormat="1" ht="12" x14ac:dyDescent="0.25">
      <c r="A7" s="467" t="s">
        <v>0</v>
      </c>
      <c r="B7" s="1600" t="s">
        <v>1</v>
      </c>
      <c r="C7" s="1600"/>
      <c r="D7" s="468" t="s">
        <v>25</v>
      </c>
      <c r="E7" s="469">
        <f>SUM(E8:E10)</f>
        <v>51810612</v>
      </c>
      <c r="F7" s="469">
        <f>SUM(F8:F10)</f>
        <v>52964553.100000001</v>
      </c>
      <c r="G7" s="470">
        <f>SUM(G8:G10)</f>
        <v>52814198.979999997</v>
      </c>
      <c r="H7" s="470">
        <f>G7/F7*100</f>
        <v>99.716123121597704</v>
      </c>
      <c r="I7" s="469">
        <f>SUM(I8:I10)</f>
        <v>47132955.329999998</v>
      </c>
      <c r="J7" s="469">
        <f>SUM(J8:J10)</f>
        <v>13650280</v>
      </c>
      <c r="K7" s="470">
        <f t="shared" ref="K7:L7" si="0">SUM(K8:K10)</f>
        <v>14804221.07</v>
      </c>
      <c r="L7" s="470">
        <f t="shared" si="0"/>
        <v>14716143.949999999</v>
      </c>
      <c r="M7" s="470">
        <f t="shared" ref="M7:M33" si="1">L7/K7*100</f>
        <v>99.405054007343324</v>
      </c>
      <c r="N7" s="471">
        <f>SUM(N8:N10)</f>
        <v>13757497.33</v>
      </c>
      <c r="O7" s="469">
        <f>SUM(O8:O10)</f>
        <v>38160332</v>
      </c>
      <c r="P7" s="469">
        <f t="shared" ref="P7:V7" si="2">SUM(P8:P10)</f>
        <v>38160332.030000001</v>
      </c>
      <c r="Q7" s="469">
        <f t="shared" si="2"/>
        <v>38098055.030000001</v>
      </c>
      <c r="R7" s="470">
        <f>Q7/P7*100</f>
        <v>99.836801734452834</v>
      </c>
      <c r="S7" s="469">
        <f t="shared" si="2"/>
        <v>33375458</v>
      </c>
      <c r="T7" s="469">
        <f t="shared" si="2"/>
        <v>1240000</v>
      </c>
      <c r="U7" s="469">
        <f t="shared" si="2"/>
        <v>1240000</v>
      </c>
      <c r="V7" s="469">
        <f t="shared" si="2"/>
        <v>1268017.19</v>
      </c>
      <c r="W7" s="470">
        <f t="shared" ref="W7:W33" si="3">V7/U7*100</f>
        <v>102.2594508064516</v>
      </c>
      <c r="X7" s="469">
        <f t="shared" ref="X7" si="4">SUM(X8:X10)</f>
        <v>1224683.24</v>
      </c>
    </row>
    <row r="8" spans="1:24" s="457" customFormat="1" ht="12" x14ac:dyDescent="0.25">
      <c r="A8" s="472" t="s">
        <v>2</v>
      </c>
      <c r="B8" s="1597" t="s">
        <v>46</v>
      </c>
      <c r="C8" s="1598"/>
      <c r="D8" s="473" t="s">
        <v>25</v>
      </c>
      <c r="E8" s="474">
        <f>SUM(J8,O8)</f>
        <v>7758000</v>
      </c>
      <c r="F8" s="475">
        <f t="shared" ref="E8:G11" si="5">SUM(K8,P8)</f>
        <v>7555000</v>
      </c>
      <c r="G8" s="475">
        <f>SUM(L8,Q8)</f>
        <v>7691923.9699999997</v>
      </c>
      <c r="H8" s="476">
        <f t="shared" ref="H8:H37" si="6">G8/F8*100</f>
        <v>101.812362276638</v>
      </c>
      <c r="I8" s="477">
        <f>SUM(N8,S8)</f>
        <v>7018202.5099999998</v>
      </c>
      <c r="J8" s="478">
        <v>7758000</v>
      </c>
      <c r="K8" s="479">
        <f>7758000-222000+9000+10000</f>
        <v>7555000</v>
      </c>
      <c r="L8" s="476">
        <v>7691923.9699999997</v>
      </c>
      <c r="M8" s="476">
        <f t="shared" si="1"/>
        <v>101.812362276638</v>
      </c>
      <c r="N8" s="476">
        <v>7018202.5099999998</v>
      </c>
      <c r="O8" s="479"/>
      <c r="P8" s="476"/>
      <c r="Q8" s="476"/>
      <c r="R8" s="476" t="e">
        <f>Q8/P8*100</f>
        <v>#DIV/0!</v>
      </c>
      <c r="S8" s="480"/>
      <c r="T8" s="478">
        <v>1240000</v>
      </c>
      <c r="U8" s="478">
        <v>1240000</v>
      </c>
      <c r="V8" s="476">
        <v>1268017.19</v>
      </c>
      <c r="W8" s="476">
        <f t="shared" si="3"/>
        <v>102.2594508064516</v>
      </c>
      <c r="X8" s="481">
        <v>1224683.24</v>
      </c>
    </row>
    <row r="9" spans="1:24" s="457" customFormat="1" ht="12" x14ac:dyDescent="0.25">
      <c r="A9" s="482" t="s">
        <v>3</v>
      </c>
      <c r="B9" s="1601" t="s">
        <v>47</v>
      </c>
      <c r="C9" s="1602"/>
      <c r="D9" s="483" t="s">
        <v>25</v>
      </c>
      <c r="E9" s="484">
        <f t="shared" si="5"/>
        <v>2000</v>
      </c>
      <c r="F9" s="485">
        <f t="shared" si="5"/>
        <v>2000</v>
      </c>
      <c r="G9" s="485">
        <f t="shared" si="5"/>
        <v>320.47000000000003</v>
      </c>
      <c r="H9" s="486">
        <f t="shared" si="6"/>
        <v>16.023500000000002</v>
      </c>
      <c r="I9" s="487">
        <f>SUM(N9,S9)</f>
        <v>294.82</v>
      </c>
      <c r="J9" s="488">
        <v>2000</v>
      </c>
      <c r="K9" s="489">
        <v>2000</v>
      </c>
      <c r="L9" s="490">
        <v>320.47000000000003</v>
      </c>
      <c r="M9" s="486">
        <f t="shared" si="1"/>
        <v>16.023500000000002</v>
      </c>
      <c r="N9" s="490">
        <v>294.82</v>
      </c>
      <c r="O9" s="489"/>
      <c r="P9" s="490"/>
      <c r="Q9" s="490"/>
      <c r="R9" s="486" t="e">
        <f t="shared" ref="R9:R33" si="7">Q9/P9*100</f>
        <v>#DIV/0!</v>
      </c>
      <c r="S9" s="480"/>
      <c r="T9" s="488"/>
      <c r="U9" s="491"/>
      <c r="V9" s="490"/>
      <c r="W9" s="486" t="e">
        <f t="shared" si="3"/>
        <v>#DIV/0!</v>
      </c>
      <c r="X9" s="492"/>
    </row>
    <row r="10" spans="1:24" s="457" customFormat="1" ht="12" x14ac:dyDescent="0.25">
      <c r="A10" s="493" t="s">
        <v>4</v>
      </c>
      <c r="B10" s="494" t="s">
        <v>62</v>
      </c>
      <c r="C10" s="495"/>
      <c r="D10" s="496" t="s">
        <v>25</v>
      </c>
      <c r="E10" s="497">
        <f>SUM(J10,O10)</f>
        <v>44050612</v>
      </c>
      <c r="F10" s="498">
        <f t="shared" si="5"/>
        <v>45407553.100000001</v>
      </c>
      <c r="G10" s="498">
        <f>SUM(L10,Q10)</f>
        <v>45121954.539999999</v>
      </c>
      <c r="H10" s="499">
        <f t="shared" si="6"/>
        <v>99.371032921833432</v>
      </c>
      <c r="I10" s="500">
        <f>SUM(N10,S10)</f>
        <v>40114458</v>
      </c>
      <c r="J10" s="501">
        <v>5890280</v>
      </c>
      <c r="K10" s="502">
        <v>7247221.0700000003</v>
      </c>
      <c r="L10" s="503">
        <f>6830655.6+193240+3.91</f>
        <v>7023899.5099999998</v>
      </c>
      <c r="M10" s="499">
        <f t="shared" si="1"/>
        <v>96.918521487850782</v>
      </c>
      <c r="N10" s="503">
        <v>6739000</v>
      </c>
      <c r="O10" s="502">
        <v>38160332</v>
      </c>
      <c r="P10" s="502">
        <f>36512255+1148277.03+499800</f>
        <v>38160332.030000001</v>
      </c>
      <c r="Q10" s="503">
        <f>36512255+1148277.03+499800-62277</f>
        <v>38098055.030000001</v>
      </c>
      <c r="R10" s="499">
        <f>Q10/P10*100</f>
        <v>99.836801734452834</v>
      </c>
      <c r="S10" s="504">
        <v>33375458</v>
      </c>
      <c r="T10" s="501"/>
      <c r="U10" s="504"/>
      <c r="V10" s="503"/>
      <c r="W10" s="499" t="e">
        <f t="shared" si="3"/>
        <v>#DIV/0!</v>
      </c>
      <c r="X10" s="505"/>
    </row>
    <row r="11" spans="1:24" s="457" customFormat="1" ht="12" x14ac:dyDescent="0.25">
      <c r="A11" s="467" t="s">
        <v>5</v>
      </c>
      <c r="B11" s="1600" t="s">
        <v>7</v>
      </c>
      <c r="C11" s="1600"/>
      <c r="D11" s="506" t="s">
        <v>25</v>
      </c>
      <c r="E11" s="507">
        <f t="shared" si="5"/>
        <v>0</v>
      </c>
      <c r="F11" s="508">
        <f t="shared" si="5"/>
        <v>0</v>
      </c>
      <c r="G11" s="507">
        <f t="shared" si="5"/>
        <v>0</v>
      </c>
      <c r="H11" s="470" t="e">
        <f t="shared" si="6"/>
        <v>#DIV/0!</v>
      </c>
      <c r="I11" s="509">
        <f>SUM(N11,S11)</f>
        <v>0</v>
      </c>
      <c r="J11" s="510"/>
      <c r="K11" s="511"/>
      <c r="L11" s="511"/>
      <c r="M11" s="512" t="e">
        <f t="shared" si="1"/>
        <v>#DIV/0!</v>
      </c>
      <c r="N11" s="509"/>
      <c r="O11" s="508"/>
      <c r="P11" s="508"/>
      <c r="Q11" s="508"/>
      <c r="R11" s="470" t="e">
        <f t="shared" si="7"/>
        <v>#DIV/0!</v>
      </c>
      <c r="S11" s="513"/>
      <c r="T11" s="507"/>
      <c r="U11" s="507"/>
      <c r="V11" s="508"/>
      <c r="W11" s="470" t="e">
        <f t="shared" si="3"/>
        <v>#DIV/0!</v>
      </c>
      <c r="X11" s="507"/>
    </row>
    <row r="12" spans="1:24" s="457" customFormat="1" ht="12" x14ac:dyDescent="0.25">
      <c r="A12" s="467" t="s">
        <v>6</v>
      </c>
      <c r="B12" s="1600" t="s">
        <v>9</v>
      </c>
      <c r="C12" s="1600"/>
      <c r="D12" s="506" t="s">
        <v>25</v>
      </c>
      <c r="E12" s="469">
        <f>SUM(E13:E32)</f>
        <v>51810612</v>
      </c>
      <c r="F12" s="470">
        <f>SUM(F13:F32)</f>
        <v>52849153.420000002</v>
      </c>
      <c r="G12" s="470">
        <f>SUM(G13:G33)</f>
        <v>52931639.879999988</v>
      </c>
      <c r="H12" s="470">
        <f t="shared" si="6"/>
        <v>100.15607905645045</v>
      </c>
      <c r="I12" s="471">
        <f>SUM(I13:I32)</f>
        <v>47152932.310000002</v>
      </c>
      <c r="J12" s="514">
        <f>SUM(J13:J32)</f>
        <v>13650280</v>
      </c>
      <c r="K12" s="512">
        <f>SUM(K13:K32)</f>
        <v>14688821.390000001</v>
      </c>
      <c r="L12" s="512">
        <f>SUM(L13:L33)</f>
        <v>14771307.85</v>
      </c>
      <c r="M12" s="512">
        <f t="shared" si="1"/>
        <v>100.56155941862126</v>
      </c>
      <c r="N12" s="515">
        <f>SUM(N13:N33)</f>
        <v>13777474.310000001</v>
      </c>
      <c r="O12" s="470">
        <f>SUM(O13:O32)</f>
        <v>38160332</v>
      </c>
      <c r="P12" s="470">
        <f>SUM(P13:P32)</f>
        <v>38160332.030000001</v>
      </c>
      <c r="Q12" s="470">
        <f>SUM(Q13:Q32)</f>
        <v>38160332.030000001</v>
      </c>
      <c r="R12" s="470">
        <f t="shared" si="7"/>
        <v>100</v>
      </c>
      <c r="S12" s="471">
        <f>SUM(S13:S32)</f>
        <v>33375458</v>
      </c>
      <c r="T12" s="469">
        <f>SUM(T13:T32)</f>
        <v>1222200</v>
      </c>
      <c r="U12" s="469">
        <f>SUM(U13:U32)</f>
        <v>1222200</v>
      </c>
      <c r="V12" s="470">
        <f>SUM(V13:V32)</f>
        <v>1033133.6499999999</v>
      </c>
      <c r="W12" s="470">
        <f t="shared" si="3"/>
        <v>84.530653739158893</v>
      </c>
      <c r="X12" s="469">
        <f>SUM(X13:X32)</f>
        <v>1077433.6499999999</v>
      </c>
    </row>
    <row r="13" spans="1:24" s="457" customFormat="1" ht="12" x14ac:dyDescent="0.25">
      <c r="A13" s="516" t="s">
        <v>8</v>
      </c>
      <c r="B13" s="1603" t="s">
        <v>28</v>
      </c>
      <c r="C13" s="1604"/>
      <c r="D13" s="517" t="s">
        <v>25</v>
      </c>
      <c r="E13" s="474">
        <f>SUM(J13,O13)</f>
        <v>6157015.4699999997</v>
      </c>
      <c r="F13" s="475">
        <f t="shared" ref="E13:I29" si="8">SUM(K13,P13)</f>
        <v>6234196.4699999997</v>
      </c>
      <c r="G13" s="475">
        <f>SUM(L13,Q13)</f>
        <v>6176672.7799999993</v>
      </c>
      <c r="H13" s="476">
        <f t="shared" si="6"/>
        <v>99.077287822467355</v>
      </c>
      <c r="I13" s="477">
        <f>SUM(N13,S13)</f>
        <v>5808174.8099999996</v>
      </c>
      <c r="J13" s="518">
        <v>5742420</v>
      </c>
      <c r="K13" s="519">
        <f>5815100+4501</f>
        <v>5819601</v>
      </c>
      <c r="L13" s="476">
        <v>5762077.3099999996</v>
      </c>
      <c r="M13" s="476">
        <f t="shared" si="1"/>
        <v>99.011552682048134</v>
      </c>
      <c r="N13" s="476">
        <v>5627637.8099999996</v>
      </c>
      <c r="O13" s="479">
        <v>414595.47</v>
      </c>
      <c r="P13" s="476">
        <f>289733.65+79014.92+45846.9</f>
        <v>414595.47000000003</v>
      </c>
      <c r="Q13" s="476">
        <f>289733.65+79014.92+45846.9</f>
        <v>414595.47000000003</v>
      </c>
      <c r="R13" s="476">
        <f t="shared" si="7"/>
        <v>100</v>
      </c>
      <c r="S13" s="476">
        <v>180537</v>
      </c>
      <c r="T13" s="478">
        <v>389500</v>
      </c>
      <c r="U13" s="478">
        <v>389500</v>
      </c>
      <c r="V13" s="476">
        <v>459716.51</v>
      </c>
      <c r="W13" s="476">
        <f t="shared" si="3"/>
        <v>118.02734531450578</v>
      </c>
      <c r="X13" s="481">
        <v>395755.04</v>
      </c>
    </row>
    <row r="14" spans="1:24" s="457" customFormat="1" ht="12" x14ac:dyDescent="0.25">
      <c r="A14" s="482" t="s">
        <v>10</v>
      </c>
      <c r="B14" s="1601" t="s">
        <v>29</v>
      </c>
      <c r="C14" s="1602"/>
      <c r="D14" s="483" t="s">
        <v>25</v>
      </c>
      <c r="E14" s="484">
        <f>SUM(J14,O14)</f>
        <v>2070000</v>
      </c>
      <c r="F14" s="485">
        <f t="shared" si="8"/>
        <v>2070000</v>
      </c>
      <c r="G14" s="485">
        <f t="shared" si="8"/>
        <v>1891277.81</v>
      </c>
      <c r="H14" s="486">
        <f t="shared" si="6"/>
        <v>91.366077777777775</v>
      </c>
      <c r="I14" s="487">
        <f t="shared" si="8"/>
        <v>1609693.21</v>
      </c>
      <c r="J14" s="488">
        <v>2070000</v>
      </c>
      <c r="K14" s="489">
        <v>2070000</v>
      </c>
      <c r="L14" s="490">
        <v>1891277.81</v>
      </c>
      <c r="M14" s="486">
        <f t="shared" si="1"/>
        <v>91.366077777777775</v>
      </c>
      <c r="N14" s="490">
        <v>1609693.21</v>
      </c>
      <c r="O14" s="489"/>
      <c r="P14" s="490"/>
      <c r="Q14" s="490"/>
      <c r="R14" s="486" t="e">
        <f t="shared" si="7"/>
        <v>#DIV/0!</v>
      </c>
      <c r="S14" s="490"/>
      <c r="T14" s="488">
        <v>420000</v>
      </c>
      <c r="U14" s="488">
        <v>420000</v>
      </c>
      <c r="V14" s="490">
        <v>184206.36</v>
      </c>
      <c r="W14" s="486">
        <f t="shared" si="3"/>
        <v>43.85865714285714</v>
      </c>
      <c r="X14" s="491">
        <v>338579.1</v>
      </c>
    </row>
    <row r="15" spans="1:24" s="457" customFormat="1" ht="12" x14ac:dyDescent="0.25">
      <c r="A15" s="482" t="s">
        <v>11</v>
      </c>
      <c r="B15" s="520" t="s">
        <v>63</v>
      </c>
      <c r="C15" s="521"/>
      <c r="D15" s="483" t="s">
        <v>25</v>
      </c>
      <c r="E15" s="484">
        <f t="shared" si="8"/>
        <v>0</v>
      </c>
      <c r="F15" s="485">
        <f t="shared" si="8"/>
        <v>0</v>
      </c>
      <c r="G15" s="485">
        <f t="shared" si="8"/>
        <v>0</v>
      </c>
      <c r="H15" s="486" t="e">
        <f t="shared" si="6"/>
        <v>#DIV/0!</v>
      </c>
      <c r="I15" s="487">
        <f t="shared" si="8"/>
        <v>0</v>
      </c>
      <c r="J15" s="488"/>
      <c r="K15" s="489"/>
      <c r="L15" s="490"/>
      <c r="M15" s="486" t="e">
        <f t="shared" si="1"/>
        <v>#DIV/0!</v>
      </c>
      <c r="N15" s="490"/>
      <c r="O15" s="489"/>
      <c r="P15" s="490"/>
      <c r="Q15" s="490"/>
      <c r="R15" s="486" t="e">
        <f t="shared" si="7"/>
        <v>#DIV/0!</v>
      </c>
      <c r="S15" s="490"/>
      <c r="T15" s="488"/>
      <c r="U15" s="488"/>
      <c r="V15" s="490"/>
      <c r="W15" s="486" t="e">
        <f t="shared" si="3"/>
        <v>#DIV/0!</v>
      </c>
      <c r="X15" s="491"/>
    </row>
    <row r="16" spans="1:24" s="457" customFormat="1" ht="12" x14ac:dyDescent="0.25">
      <c r="A16" s="482" t="s">
        <v>12</v>
      </c>
      <c r="B16" s="1601" t="s">
        <v>64</v>
      </c>
      <c r="C16" s="1602"/>
      <c r="D16" s="483" t="s">
        <v>25</v>
      </c>
      <c r="E16" s="484">
        <f>SUM(J16,O16)</f>
        <v>660320.37</v>
      </c>
      <c r="F16" s="485">
        <f t="shared" si="8"/>
        <v>1633240.4</v>
      </c>
      <c r="G16" s="485">
        <f t="shared" si="8"/>
        <v>2048779.8599999999</v>
      </c>
      <c r="H16" s="486">
        <f t="shared" si="6"/>
        <v>125.44263906281034</v>
      </c>
      <c r="I16" s="487">
        <f t="shared" si="8"/>
        <v>1883709.97</v>
      </c>
      <c r="J16" s="488">
        <v>600000</v>
      </c>
      <c r="K16" s="489">
        <f>1379680+193240</f>
        <v>1572920</v>
      </c>
      <c r="L16" s="490">
        <f>1795215.55+193240+3.91</f>
        <v>1988459.46</v>
      </c>
      <c r="M16" s="486">
        <f t="shared" si="1"/>
        <v>126.41834676906645</v>
      </c>
      <c r="N16" s="490">
        <v>1871137.97</v>
      </c>
      <c r="O16" s="489">
        <f>60320.4-0.03</f>
        <v>60320.37</v>
      </c>
      <c r="P16" s="490">
        <f>253564.31-193240-3.91</f>
        <v>60320.399999999994</v>
      </c>
      <c r="Q16" s="490">
        <f>253564.31-193240-3.91</f>
        <v>60320.399999999994</v>
      </c>
      <c r="R16" s="486">
        <f t="shared" si="7"/>
        <v>100</v>
      </c>
      <c r="S16" s="490">
        <v>12572</v>
      </c>
      <c r="T16" s="488">
        <v>40000</v>
      </c>
      <c r="U16" s="488">
        <v>40000</v>
      </c>
      <c r="V16" s="490">
        <v>20474.5</v>
      </c>
      <c r="W16" s="486">
        <f t="shared" si="3"/>
        <v>51.186250000000001</v>
      </c>
      <c r="X16" s="491">
        <v>27581.73</v>
      </c>
    </row>
    <row r="17" spans="1:24" s="457" customFormat="1" ht="12" x14ac:dyDescent="0.25">
      <c r="A17" s="482" t="s">
        <v>13</v>
      </c>
      <c r="B17" s="1601" t="s">
        <v>30</v>
      </c>
      <c r="C17" s="1602"/>
      <c r="D17" s="483" t="s">
        <v>25</v>
      </c>
      <c r="E17" s="484">
        <f t="shared" si="8"/>
        <v>49961</v>
      </c>
      <c r="F17" s="485">
        <f t="shared" si="8"/>
        <v>49961</v>
      </c>
      <c r="G17" s="485">
        <f t="shared" si="8"/>
        <v>45261</v>
      </c>
      <c r="H17" s="486">
        <f t="shared" si="6"/>
        <v>90.592662276575737</v>
      </c>
      <c r="I17" s="487">
        <f t="shared" si="8"/>
        <v>51464</v>
      </c>
      <c r="J17" s="488">
        <v>10000</v>
      </c>
      <c r="K17" s="489">
        <v>10000</v>
      </c>
      <c r="L17" s="490">
        <v>5300</v>
      </c>
      <c r="M17" s="486">
        <f t="shared" si="1"/>
        <v>53</v>
      </c>
      <c r="N17" s="490">
        <v>5069</v>
      </c>
      <c r="O17" s="489">
        <v>39961</v>
      </c>
      <c r="P17" s="490">
        <v>39961</v>
      </c>
      <c r="Q17" s="490">
        <v>39961</v>
      </c>
      <c r="R17" s="486">
        <f t="shared" si="7"/>
        <v>100</v>
      </c>
      <c r="S17" s="490">
        <v>46395</v>
      </c>
      <c r="T17" s="488">
        <v>100</v>
      </c>
      <c r="U17" s="488">
        <v>100</v>
      </c>
      <c r="V17" s="490"/>
      <c r="W17" s="486">
        <f t="shared" si="3"/>
        <v>0</v>
      </c>
      <c r="X17" s="491">
        <v>0</v>
      </c>
    </row>
    <row r="18" spans="1:24" s="457" customFormat="1" ht="12" x14ac:dyDescent="0.25">
      <c r="A18" s="482" t="s">
        <v>14</v>
      </c>
      <c r="B18" s="520" t="s">
        <v>48</v>
      </c>
      <c r="C18" s="521"/>
      <c r="D18" s="483" t="s">
        <v>25</v>
      </c>
      <c r="E18" s="484">
        <f t="shared" si="8"/>
        <v>5000</v>
      </c>
      <c r="F18" s="485">
        <f t="shared" si="8"/>
        <v>5000</v>
      </c>
      <c r="G18" s="485">
        <f t="shared" si="8"/>
        <v>3887</v>
      </c>
      <c r="H18" s="486">
        <f t="shared" si="6"/>
        <v>77.739999999999995</v>
      </c>
      <c r="I18" s="487">
        <f t="shared" si="8"/>
        <v>3195</v>
      </c>
      <c r="J18" s="488">
        <v>5000</v>
      </c>
      <c r="K18" s="489">
        <v>5000</v>
      </c>
      <c r="L18" s="490">
        <v>3887</v>
      </c>
      <c r="M18" s="486">
        <f t="shared" si="1"/>
        <v>77.739999999999995</v>
      </c>
      <c r="N18" s="490">
        <v>3195</v>
      </c>
      <c r="O18" s="489"/>
      <c r="P18" s="490"/>
      <c r="Q18" s="490"/>
      <c r="R18" s="486" t="e">
        <f t="shared" si="7"/>
        <v>#DIV/0!</v>
      </c>
      <c r="S18" s="490"/>
      <c r="T18" s="488"/>
      <c r="U18" s="488"/>
      <c r="V18" s="490"/>
      <c r="W18" s="486" t="e">
        <f t="shared" si="3"/>
        <v>#DIV/0!</v>
      </c>
      <c r="X18" s="491">
        <v>0</v>
      </c>
    </row>
    <row r="19" spans="1:24" s="457" customFormat="1" ht="12" x14ac:dyDescent="0.25">
      <c r="A19" s="482" t="s">
        <v>15</v>
      </c>
      <c r="B19" s="1601" t="s">
        <v>31</v>
      </c>
      <c r="C19" s="1602"/>
      <c r="D19" s="483" t="s">
        <v>25</v>
      </c>
      <c r="E19" s="484">
        <f>SUM(J19,O19)</f>
        <v>1191595.3</v>
      </c>
      <c r="F19" s="485">
        <f t="shared" si="8"/>
        <v>1191970.3</v>
      </c>
      <c r="G19" s="485">
        <f>SUM(L19,Q19)</f>
        <v>1234073.29</v>
      </c>
      <c r="H19" s="486">
        <f t="shared" si="6"/>
        <v>103.53221804268109</v>
      </c>
      <c r="I19" s="487">
        <f t="shared" si="8"/>
        <v>1042184.14</v>
      </c>
      <c r="J19" s="488">
        <v>806780</v>
      </c>
      <c r="K19" s="489">
        <v>807155</v>
      </c>
      <c r="L19" s="490">
        <v>849257.99</v>
      </c>
      <c r="M19" s="486">
        <f t="shared" si="1"/>
        <v>105.21622117189386</v>
      </c>
      <c r="N19" s="490">
        <v>807407.14</v>
      </c>
      <c r="O19" s="489">
        <v>384815.3</v>
      </c>
      <c r="P19" s="490">
        <f>60918+135117.6+188779.7</f>
        <v>384815.30000000005</v>
      </c>
      <c r="Q19" s="490">
        <f>60918+135117.6+188779.7</f>
        <v>384815.30000000005</v>
      </c>
      <c r="R19" s="486">
        <f>Q19/P19*100</f>
        <v>100</v>
      </c>
      <c r="S19" s="490">
        <v>234777</v>
      </c>
      <c r="T19" s="488">
        <v>16000</v>
      </c>
      <c r="U19" s="488">
        <v>16000</v>
      </c>
      <c r="V19" s="490">
        <v>15589.36</v>
      </c>
      <c r="W19" s="486">
        <f t="shared" si="3"/>
        <v>97.433500000000009</v>
      </c>
      <c r="X19" s="491">
        <v>15696.34</v>
      </c>
    </row>
    <row r="20" spans="1:24" s="460" customFormat="1" ht="12" x14ac:dyDescent="0.25">
      <c r="A20" s="482" t="s">
        <v>16</v>
      </c>
      <c r="B20" s="1601" t="s">
        <v>32</v>
      </c>
      <c r="C20" s="1602"/>
      <c r="D20" s="483" t="s">
        <v>25</v>
      </c>
      <c r="E20" s="484">
        <f>SUM(J20,O20)</f>
        <v>28968580</v>
      </c>
      <c r="F20" s="485">
        <f t="shared" si="8"/>
        <v>28808580</v>
      </c>
      <c r="G20" s="485">
        <f t="shared" si="8"/>
        <v>28766389</v>
      </c>
      <c r="H20" s="486">
        <f t="shared" si="6"/>
        <v>99.853547102981125</v>
      </c>
      <c r="I20" s="487">
        <f t="shared" si="8"/>
        <v>25444736</v>
      </c>
      <c r="J20" s="522">
        <v>1839880</v>
      </c>
      <c r="K20" s="523">
        <f>1839880-160000</f>
        <v>1679880</v>
      </c>
      <c r="L20" s="490">
        <v>1637689</v>
      </c>
      <c r="M20" s="486">
        <f t="shared" si="1"/>
        <v>97.488451556063524</v>
      </c>
      <c r="N20" s="490">
        <v>1560394</v>
      </c>
      <c r="O20" s="489">
        <v>27128700</v>
      </c>
      <c r="P20" s="489">
        <f>7423+286317+25820000+187000+123255+704705</f>
        <v>27128700</v>
      </c>
      <c r="Q20" s="490">
        <f>26423995+704705</f>
        <v>27128700</v>
      </c>
      <c r="R20" s="486">
        <f t="shared" si="7"/>
        <v>100</v>
      </c>
      <c r="S20" s="490">
        <v>23884342</v>
      </c>
      <c r="T20" s="522">
        <v>210000</v>
      </c>
      <c r="U20" s="522">
        <v>210000</v>
      </c>
      <c r="V20" s="524">
        <v>233982</v>
      </c>
      <c r="W20" s="486">
        <f t="shared" si="3"/>
        <v>111.42</v>
      </c>
      <c r="X20" s="525">
        <v>163062</v>
      </c>
    </row>
    <row r="21" spans="1:24" s="457" customFormat="1" ht="12" x14ac:dyDescent="0.25">
      <c r="A21" s="482" t="s">
        <v>17</v>
      </c>
      <c r="B21" s="1601" t="s">
        <v>49</v>
      </c>
      <c r="C21" s="1602"/>
      <c r="D21" s="483" t="s">
        <v>25</v>
      </c>
      <c r="E21" s="484">
        <f>SUM(J21,O21)</f>
        <v>9699786.2599999998</v>
      </c>
      <c r="F21" s="485">
        <f t="shared" si="8"/>
        <v>9640786.2599999998</v>
      </c>
      <c r="G21" s="485">
        <f t="shared" si="8"/>
        <v>9640721.0199999996</v>
      </c>
      <c r="H21" s="486">
        <f t="shared" si="6"/>
        <v>99.999323291708365</v>
      </c>
      <c r="I21" s="487">
        <f t="shared" si="8"/>
        <v>8513292.4199999999</v>
      </c>
      <c r="J21" s="488">
        <v>579600</v>
      </c>
      <c r="K21" s="489">
        <f>579600-59000</f>
        <v>520600</v>
      </c>
      <c r="L21" s="490">
        <v>520534.76</v>
      </c>
      <c r="M21" s="486">
        <f t="shared" si="1"/>
        <v>99.987468305801002</v>
      </c>
      <c r="N21" s="490">
        <v>489936.42</v>
      </c>
      <c r="O21" s="489">
        <v>9120186.2599999998</v>
      </c>
      <c r="P21" s="489">
        <f>2509+97347+8767424.7+103935.75+148969.81</f>
        <v>9120186.2599999998</v>
      </c>
      <c r="Q21" s="490">
        <f>8971216.45+148969.81</f>
        <v>9120186.2599999998</v>
      </c>
      <c r="R21" s="486">
        <f t="shared" si="7"/>
        <v>100</v>
      </c>
      <c r="S21" s="490">
        <v>8023356</v>
      </c>
      <c r="T21" s="488">
        <v>55400</v>
      </c>
      <c r="U21" s="488">
        <v>55400</v>
      </c>
      <c r="V21" s="490">
        <f>79031.03+811.08</f>
        <v>79842.11</v>
      </c>
      <c r="W21" s="486">
        <f t="shared" si="3"/>
        <v>144.11933212996391</v>
      </c>
      <c r="X21" s="491">
        <v>55902.48</v>
      </c>
    </row>
    <row r="22" spans="1:24" s="457" customFormat="1" ht="12" x14ac:dyDescent="0.25">
      <c r="A22" s="482" t="s">
        <v>18</v>
      </c>
      <c r="B22" s="1601" t="s">
        <v>50</v>
      </c>
      <c r="C22" s="1602"/>
      <c r="D22" s="483" t="s">
        <v>25</v>
      </c>
      <c r="E22" s="484">
        <f>SUM(J22,O22)</f>
        <v>599044.6</v>
      </c>
      <c r="F22" s="485">
        <f t="shared" si="8"/>
        <v>596044.6</v>
      </c>
      <c r="G22" s="485">
        <f t="shared" si="8"/>
        <v>590340.80999999994</v>
      </c>
      <c r="H22" s="486">
        <f t="shared" si="6"/>
        <v>99.043059864983249</v>
      </c>
      <c r="I22" s="487">
        <f t="shared" si="8"/>
        <v>563999.38</v>
      </c>
      <c r="J22" s="488">
        <v>65600</v>
      </c>
      <c r="K22" s="489">
        <v>62600</v>
      </c>
      <c r="L22" s="490">
        <v>56896.21</v>
      </c>
      <c r="M22" s="486">
        <f t="shared" si="1"/>
        <v>90.888514376996795</v>
      </c>
      <c r="N22" s="490">
        <v>35813.379999999997</v>
      </c>
      <c r="O22" s="489">
        <v>533444.6</v>
      </c>
      <c r="P22" s="489">
        <f>148+5726+519159.9+8410.7</f>
        <v>533444.6</v>
      </c>
      <c r="Q22" s="490">
        <f>525033.9+8410.7</f>
        <v>533444.6</v>
      </c>
      <c r="R22" s="486">
        <f t="shared" si="7"/>
        <v>100</v>
      </c>
      <c r="S22" s="490">
        <v>528186</v>
      </c>
      <c r="T22" s="488">
        <v>5200</v>
      </c>
      <c r="U22" s="488">
        <v>5200</v>
      </c>
      <c r="V22" s="490">
        <v>5020.21</v>
      </c>
      <c r="W22" s="486">
        <f t="shared" si="3"/>
        <v>96.542500000000004</v>
      </c>
      <c r="X22" s="491">
        <v>3408.24</v>
      </c>
    </row>
    <row r="23" spans="1:24" s="457" customFormat="1" ht="12" x14ac:dyDescent="0.25">
      <c r="A23" s="482" t="s">
        <v>19</v>
      </c>
      <c r="B23" s="1601" t="s">
        <v>65</v>
      </c>
      <c r="C23" s="1602"/>
      <c r="D23" s="483" t="s">
        <v>25</v>
      </c>
      <c r="E23" s="484">
        <f t="shared" si="8"/>
        <v>3000</v>
      </c>
      <c r="F23" s="485">
        <f t="shared" si="8"/>
        <v>3000</v>
      </c>
      <c r="G23" s="485">
        <f t="shared" si="8"/>
        <v>0</v>
      </c>
      <c r="H23" s="486">
        <f t="shared" si="6"/>
        <v>0</v>
      </c>
      <c r="I23" s="487">
        <f t="shared" si="8"/>
        <v>0</v>
      </c>
      <c r="J23" s="488">
        <v>3000</v>
      </c>
      <c r="K23" s="489">
        <v>3000</v>
      </c>
      <c r="L23" s="490">
        <v>0</v>
      </c>
      <c r="M23" s="486">
        <f t="shared" si="1"/>
        <v>0</v>
      </c>
      <c r="N23" s="490"/>
      <c r="O23" s="489"/>
      <c r="P23" s="489"/>
      <c r="Q23" s="490"/>
      <c r="R23" s="486" t="e">
        <f t="shared" si="7"/>
        <v>#DIV/0!</v>
      </c>
      <c r="S23" s="490"/>
      <c r="T23" s="488">
        <v>500</v>
      </c>
      <c r="U23" s="488">
        <v>500</v>
      </c>
      <c r="V23" s="490">
        <v>3000</v>
      </c>
      <c r="W23" s="486">
        <f t="shared" si="3"/>
        <v>600</v>
      </c>
      <c r="X23" s="491">
        <v>5500</v>
      </c>
    </row>
    <row r="24" spans="1:24" s="457" customFormat="1" ht="12" x14ac:dyDescent="0.25">
      <c r="A24" s="482" t="s">
        <v>20</v>
      </c>
      <c r="B24" s="520" t="s">
        <v>66</v>
      </c>
      <c r="C24" s="521"/>
      <c r="D24" s="483" t="s">
        <v>25</v>
      </c>
      <c r="E24" s="484">
        <f t="shared" si="8"/>
        <v>0</v>
      </c>
      <c r="F24" s="485">
        <f t="shared" si="8"/>
        <v>0</v>
      </c>
      <c r="G24" s="485">
        <f t="shared" si="8"/>
        <v>0</v>
      </c>
      <c r="H24" s="486" t="e">
        <f t="shared" si="6"/>
        <v>#DIV/0!</v>
      </c>
      <c r="I24" s="487">
        <f t="shared" si="8"/>
        <v>0</v>
      </c>
      <c r="J24" s="488"/>
      <c r="K24" s="489"/>
      <c r="L24" s="490"/>
      <c r="M24" s="486" t="e">
        <f t="shared" si="1"/>
        <v>#DIV/0!</v>
      </c>
      <c r="N24" s="490"/>
      <c r="O24" s="489"/>
      <c r="P24" s="489"/>
      <c r="Q24" s="490"/>
      <c r="R24" s="486" t="e">
        <f t="shared" si="7"/>
        <v>#DIV/0!</v>
      </c>
      <c r="S24" s="490"/>
      <c r="T24" s="488"/>
      <c r="U24" s="488"/>
      <c r="V24" s="490"/>
      <c r="W24" s="486" t="e">
        <f t="shared" si="3"/>
        <v>#DIV/0!</v>
      </c>
      <c r="X24" s="491"/>
    </row>
    <row r="25" spans="1:24" s="457" customFormat="1" ht="12" x14ac:dyDescent="0.25">
      <c r="A25" s="482" t="s">
        <v>21</v>
      </c>
      <c r="B25" s="520" t="s">
        <v>73</v>
      </c>
      <c r="C25" s="521"/>
      <c r="D25" s="483" t="s">
        <v>25</v>
      </c>
      <c r="E25" s="484">
        <f t="shared" si="8"/>
        <v>0</v>
      </c>
      <c r="F25" s="485">
        <f t="shared" si="8"/>
        <v>0</v>
      </c>
      <c r="G25" s="485">
        <f t="shared" si="8"/>
        <v>0</v>
      </c>
      <c r="H25" s="486" t="e">
        <f t="shared" si="6"/>
        <v>#DIV/0!</v>
      </c>
      <c r="I25" s="487">
        <f t="shared" si="8"/>
        <v>0</v>
      </c>
      <c r="J25" s="488"/>
      <c r="K25" s="489"/>
      <c r="L25" s="490"/>
      <c r="M25" s="486" t="e">
        <f t="shared" si="1"/>
        <v>#DIV/0!</v>
      </c>
      <c r="N25" s="490"/>
      <c r="O25" s="489"/>
      <c r="P25" s="489"/>
      <c r="Q25" s="490"/>
      <c r="R25" s="486" t="e">
        <f t="shared" si="7"/>
        <v>#DIV/0!</v>
      </c>
      <c r="S25" s="490"/>
      <c r="T25" s="488"/>
      <c r="U25" s="488"/>
      <c r="V25" s="490"/>
      <c r="W25" s="486" t="e">
        <f t="shared" si="3"/>
        <v>#DIV/0!</v>
      </c>
      <c r="X25" s="491"/>
    </row>
    <row r="26" spans="1:24" s="457" customFormat="1" ht="12" x14ac:dyDescent="0.25">
      <c r="A26" s="526" t="s">
        <v>22</v>
      </c>
      <c r="B26" s="527" t="s">
        <v>68</v>
      </c>
      <c r="C26" s="528"/>
      <c r="D26" s="483" t="s">
        <v>25</v>
      </c>
      <c r="E26" s="484">
        <f>SUM(J26,O26)</f>
        <v>3000</v>
      </c>
      <c r="F26" s="485">
        <f t="shared" si="8"/>
        <v>3000</v>
      </c>
      <c r="G26" s="485">
        <f t="shared" si="8"/>
        <v>0</v>
      </c>
      <c r="H26" s="486">
        <f t="shared" si="6"/>
        <v>0</v>
      </c>
      <c r="I26" s="487">
        <f t="shared" si="8"/>
        <v>5000</v>
      </c>
      <c r="J26" s="488">
        <v>3000</v>
      </c>
      <c r="K26" s="489">
        <v>3000</v>
      </c>
      <c r="L26" s="486">
        <v>0</v>
      </c>
      <c r="M26" s="486">
        <f t="shared" si="1"/>
        <v>0</v>
      </c>
      <c r="N26" s="486">
        <v>5000</v>
      </c>
      <c r="O26" s="529"/>
      <c r="P26" s="529"/>
      <c r="Q26" s="486"/>
      <c r="R26" s="486" t="e">
        <f t="shared" si="7"/>
        <v>#DIV/0!</v>
      </c>
      <c r="S26" s="486"/>
      <c r="T26" s="530"/>
      <c r="U26" s="530"/>
      <c r="V26" s="486"/>
      <c r="W26" s="486" t="e">
        <f t="shared" si="3"/>
        <v>#DIV/0!</v>
      </c>
      <c r="X26" s="531"/>
    </row>
    <row r="27" spans="1:24" s="461" customFormat="1" ht="12" x14ac:dyDescent="0.25">
      <c r="A27" s="482" t="s">
        <v>23</v>
      </c>
      <c r="B27" s="1601" t="s">
        <v>69</v>
      </c>
      <c r="C27" s="1602"/>
      <c r="D27" s="483" t="s">
        <v>25</v>
      </c>
      <c r="E27" s="484">
        <f>SUM(J27,O27)</f>
        <v>1500000</v>
      </c>
      <c r="F27" s="485">
        <f t="shared" si="8"/>
        <v>1516255</v>
      </c>
      <c r="G27" s="485">
        <f t="shared" si="8"/>
        <v>1491506.58</v>
      </c>
      <c r="H27" s="532">
        <f t="shared" si="6"/>
        <v>98.367793016346198</v>
      </c>
      <c r="I27" s="487">
        <f>SUM(N27,S27)</f>
        <v>1435950.51</v>
      </c>
      <c r="J27" s="488">
        <v>1500000</v>
      </c>
      <c r="K27" s="489">
        <f>1500000+6255+10000</f>
        <v>1516255</v>
      </c>
      <c r="L27" s="490">
        <v>1491506.58</v>
      </c>
      <c r="M27" s="486">
        <f t="shared" si="1"/>
        <v>98.367793016346198</v>
      </c>
      <c r="N27" s="490">
        <v>1435950.51</v>
      </c>
      <c r="O27" s="489"/>
      <c r="P27" s="490"/>
      <c r="Q27" s="490"/>
      <c r="R27" s="486" t="e">
        <f t="shared" si="7"/>
        <v>#DIV/0!</v>
      </c>
      <c r="S27" s="490"/>
      <c r="T27" s="533">
        <v>80000</v>
      </c>
      <c r="U27" s="533">
        <v>80000</v>
      </c>
      <c r="V27" s="534">
        <v>21280.42</v>
      </c>
      <c r="W27" s="486">
        <f t="shared" si="3"/>
        <v>26.600524999999998</v>
      </c>
      <c r="X27" s="491">
        <v>69098.490000000005</v>
      </c>
    </row>
    <row r="28" spans="1:24" s="462" customFormat="1" ht="12" x14ac:dyDescent="0.25">
      <c r="A28" s="482" t="s">
        <v>45</v>
      </c>
      <c r="B28" s="520" t="s">
        <v>70</v>
      </c>
      <c r="C28" s="521"/>
      <c r="D28" s="483" t="s">
        <v>25</v>
      </c>
      <c r="E28" s="484">
        <f>SUM(J28,O28)</f>
        <v>5000</v>
      </c>
      <c r="F28" s="485">
        <f t="shared" si="8"/>
        <v>5000</v>
      </c>
      <c r="G28" s="485">
        <f t="shared" si="8"/>
        <v>0</v>
      </c>
      <c r="H28" s="532">
        <f t="shared" si="6"/>
        <v>0</v>
      </c>
      <c r="I28" s="487">
        <f t="shared" si="8"/>
        <v>-646.19999999999982</v>
      </c>
      <c r="J28" s="488">
        <v>5000</v>
      </c>
      <c r="K28" s="489">
        <v>5000</v>
      </c>
      <c r="L28" s="490">
        <v>0</v>
      </c>
      <c r="M28" s="486">
        <f t="shared" si="1"/>
        <v>0</v>
      </c>
      <c r="N28" s="490">
        <f>-3067.2+2421</f>
        <v>-646.19999999999982</v>
      </c>
      <c r="O28" s="489"/>
      <c r="P28" s="490"/>
      <c r="Q28" s="490"/>
      <c r="R28" s="486" t="e">
        <f t="shared" si="7"/>
        <v>#DIV/0!</v>
      </c>
      <c r="S28" s="490"/>
      <c r="T28" s="533"/>
      <c r="U28" s="533"/>
      <c r="V28" s="534"/>
      <c r="W28" s="486" t="e">
        <f t="shared" si="3"/>
        <v>#DIV/0!</v>
      </c>
      <c r="X28" s="491"/>
    </row>
    <row r="29" spans="1:24" s="462" customFormat="1" ht="12" x14ac:dyDescent="0.25">
      <c r="A29" s="482" t="s">
        <v>51</v>
      </c>
      <c r="B29" s="520" t="s">
        <v>74</v>
      </c>
      <c r="C29" s="521"/>
      <c r="D29" s="483" t="s">
        <v>25</v>
      </c>
      <c r="E29" s="484">
        <f>SUM(J29,O29)</f>
        <v>848309</v>
      </c>
      <c r="F29" s="485">
        <f t="shared" si="8"/>
        <v>1048374.39</v>
      </c>
      <c r="G29" s="485">
        <f>SUM(L29,Q29)</f>
        <v>986972.83000000007</v>
      </c>
      <c r="H29" s="532">
        <f t="shared" si="6"/>
        <v>94.14316482874024</v>
      </c>
      <c r="I29" s="487">
        <f t="shared" si="8"/>
        <v>774251.29</v>
      </c>
      <c r="J29" s="488">
        <v>370000</v>
      </c>
      <c r="K29" s="489">
        <f>564566.39+5499</f>
        <v>570065.39</v>
      </c>
      <c r="L29" s="490">
        <v>508663.83</v>
      </c>
      <c r="M29" s="486">
        <f t="shared" si="1"/>
        <v>89.229032129103643</v>
      </c>
      <c r="N29" s="490">
        <v>308958.28999999998</v>
      </c>
      <c r="O29" s="489">
        <v>478309</v>
      </c>
      <c r="P29" s="490">
        <f>201397+72059+204853</f>
        <v>478309</v>
      </c>
      <c r="Q29" s="490">
        <f>201397+72059+204853</f>
        <v>478309</v>
      </c>
      <c r="R29" s="486">
        <f t="shared" si="7"/>
        <v>100</v>
      </c>
      <c r="S29" s="490">
        <v>465293</v>
      </c>
      <c r="T29" s="533">
        <v>4000</v>
      </c>
      <c r="U29" s="533">
        <v>4000</v>
      </c>
      <c r="V29" s="534">
        <v>9103.11</v>
      </c>
      <c r="W29" s="486">
        <f t="shared" si="3"/>
        <v>227.57775000000004</v>
      </c>
      <c r="X29" s="491">
        <v>2250.19</v>
      </c>
    </row>
    <row r="30" spans="1:24" s="461" customFormat="1" ht="12" x14ac:dyDescent="0.25">
      <c r="A30" s="482" t="s">
        <v>52</v>
      </c>
      <c r="B30" s="1601" t="s">
        <v>67</v>
      </c>
      <c r="C30" s="1602"/>
      <c r="D30" s="483" t="s">
        <v>25</v>
      </c>
      <c r="E30" s="484">
        <f t="shared" ref="E30:G32" si="9">SUM(J30,O30)</f>
        <v>50000</v>
      </c>
      <c r="F30" s="485">
        <f t="shared" si="9"/>
        <v>43745</v>
      </c>
      <c r="G30" s="485">
        <f t="shared" si="9"/>
        <v>55757.9</v>
      </c>
      <c r="H30" s="532">
        <f t="shared" si="6"/>
        <v>127.46119556520745</v>
      </c>
      <c r="I30" s="487">
        <f>SUM(N30,S30)</f>
        <v>17927.78</v>
      </c>
      <c r="J30" s="488">
        <v>50000</v>
      </c>
      <c r="K30" s="489">
        <v>43745</v>
      </c>
      <c r="L30" s="490">
        <v>55757.9</v>
      </c>
      <c r="M30" s="486">
        <f t="shared" si="1"/>
        <v>127.46119556520745</v>
      </c>
      <c r="N30" s="490">
        <v>17927.78</v>
      </c>
      <c r="O30" s="489"/>
      <c r="P30" s="490"/>
      <c r="Q30" s="490"/>
      <c r="R30" s="486" t="e">
        <f>Q30/P30*100</f>
        <v>#DIV/0!</v>
      </c>
      <c r="S30" s="491"/>
      <c r="T30" s="533">
        <v>1500</v>
      </c>
      <c r="U30" s="533">
        <v>1500</v>
      </c>
      <c r="V30" s="534">
        <v>919.07</v>
      </c>
      <c r="W30" s="486">
        <f t="shared" si="3"/>
        <v>61.271333333333331</v>
      </c>
      <c r="X30" s="491">
        <v>600.04</v>
      </c>
    </row>
    <row r="31" spans="1:24" s="457" customFormat="1" ht="12" x14ac:dyDescent="0.25">
      <c r="A31" s="482" t="s">
        <v>54</v>
      </c>
      <c r="B31" s="520" t="s">
        <v>53</v>
      </c>
      <c r="C31" s="521"/>
      <c r="D31" s="483" t="s">
        <v>25</v>
      </c>
      <c r="E31" s="484">
        <f t="shared" si="9"/>
        <v>0</v>
      </c>
      <c r="F31" s="485">
        <f t="shared" si="9"/>
        <v>0</v>
      </c>
      <c r="G31" s="490">
        <f t="shared" si="9"/>
        <v>0</v>
      </c>
      <c r="H31" s="532" t="e">
        <f t="shared" si="6"/>
        <v>#DIV/0!</v>
      </c>
      <c r="I31" s="487">
        <f>SUM(N31,S31)</f>
        <v>0</v>
      </c>
      <c r="J31" s="488"/>
      <c r="K31" s="490"/>
      <c r="L31" s="491"/>
      <c r="M31" s="486" t="e">
        <f t="shared" si="1"/>
        <v>#DIV/0!</v>
      </c>
      <c r="N31" s="535"/>
      <c r="O31" s="489"/>
      <c r="P31" s="490"/>
      <c r="Q31" s="490"/>
      <c r="R31" s="486" t="e">
        <f t="shared" si="7"/>
        <v>#DIV/0!</v>
      </c>
      <c r="S31" s="535"/>
      <c r="T31" s="536"/>
      <c r="U31" s="537"/>
      <c r="V31" s="538"/>
      <c r="W31" s="486" t="e">
        <f t="shared" si="3"/>
        <v>#DIV/0!</v>
      </c>
      <c r="X31" s="539"/>
    </row>
    <row r="32" spans="1:24" s="463" customFormat="1" ht="12" x14ac:dyDescent="0.25">
      <c r="A32" s="482" t="s">
        <v>55</v>
      </c>
      <c r="B32" s="520" t="s">
        <v>71</v>
      </c>
      <c r="C32" s="521"/>
      <c r="D32" s="483" t="s">
        <v>25</v>
      </c>
      <c r="E32" s="484">
        <f t="shared" si="9"/>
        <v>0</v>
      </c>
      <c r="F32" s="485">
        <f t="shared" si="9"/>
        <v>0</v>
      </c>
      <c r="G32" s="490">
        <f t="shared" si="9"/>
        <v>0</v>
      </c>
      <c r="H32" s="532" t="e">
        <f t="shared" si="6"/>
        <v>#DIV/0!</v>
      </c>
      <c r="I32" s="487">
        <f>SUM(N32,S32)</f>
        <v>0</v>
      </c>
      <c r="J32" s="488"/>
      <c r="K32" s="540"/>
      <c r="L32" s="541"/>
      <c r="M32" s="486" t="e">
        <f t="shared" si="1"/>
        <v>#DIV/0!</v>
      </c>
      <c r="N32" s="542"/>
      <c r="O32" s="543"/>
      <c r="P32" s="543"/>
      <c r="Q32" s="540"/>
      <c r="R32" s="486" t="e">
        <f t="shared" si="7"/>
        <v>#DIV/0!</v>
      </c>
      <c r="S32" s="542"/>
      <c r="T32" s="544"/>
      <c r="U32" s="545"/>
      <c r="V32" s="546"/>
      <c r="W32" s="486" t="e">
        <f t="shared" si="3"/>
        <v>#DIV/0!</v>
      </c>
      <c r="X32" s="547"/>
    </row>
    <row r="33" spans="1:24" s="463" customFormat="1" ht="12" x14ac:dyDescent="0.25">
      <c r="A33" s="548" t="s">
        <v>56</v>
      </c>
      <c r="B33" s="549" t="s">
        <v>72</v>
      </c>
      <c r="C33" s="550"/>
      <c r="D33" s="551" t="s">
        <v>25</v>
      </c>
      <c r="E33" s="497">
        <f>SUM(J33,O33)</f>
        <v>0</v>
      </c>
      <c r="F33" s="498">
        <f>SUM(K33,P33)</f>
        <v>0</v>
      </c>
      <c r="G33" s="498">
        <f>SUM(L33,Q33)</f>
        <v>0</v>
      </c>
      <c r="H33" s="552" t="e">
        <f t="shared" si="6"/>
        <v>#DIV/0!</v>
      </c>
      <c r="I33" s="500">
        <f>SUM(N33,S33)</f>
        <v>0</v>
      </c>
      <c r="J33" s="553"/>
      <c r="K33" s="554"/>
      <c r="L33" s="555"/>
      <c r="M33" s="499" t="e">
        <f t="shared" si="1"/>
        <v>#DIV/0!</v>
      </c>
      <c r="N33" s="556"/>
      <c r="O33" s="557"/>
      <c r="P33" s="554"/>
      <c r="Q33" s="554"/>
      <c r="R33" s="499" t="e">
        <f t="shared" si="7"/>
        <v>#DIV/0!</v>
      </c>
      <c r="S33" s="556"/>
      <c r="T33" s="558"/>
      <c r="U33" s="555"/>
      <c r="V33" s="554"/>
      <c r="W33" s="499" t="e">
        <f t="shared" si="3"/>
        <v>#DIV/0!</v>
      </c>
      <c r="X33" s="559"/>
    </row>
    <row r="34" spans="1:24" s="463" customFormat="1" ht="12" x14ac:dyDescent="0.25">
      <c r="A34" s="467" t="s">
        <v>57</v>
      </c>
      <c r="B34" s="560" t="s">
        <v>58</v>
      </c>
      <c r="C34" s="561"/>
      <c r="D34" s="468" t="s">
        <v>25</v>
      </c>
      <c r="E34" s="469">
        <f>E7-E12</f>
        <v>0</v>
      </c>
      <c r="F34" s="470">
        <f>F7-F12</f>
        <v>115399.6799999997</v>
      </c>
      <c r="G34" s="470">
        <f>G7-G12</f>
        <v>-117440.89999999106</v>
      </c>
      <c r="H34" s="562">
        <f t="shared" si="6"/>
        <v>-101.76882639535168</v>
      </c>
      <c r="I34" s="469">
        <f>I7-I12</f>
        <v>-19976.980000004172</v>
      </c>
      <c r="J34" s="469">
        <f>J7-J12</f>
        <v>0</v>
      </c>
      <c r="K34" s="470">
        <f>K7-K12</f>
        <v>115399.6799999997</v>
      </c>
      <c r="L34" s="470">
        <f>L7-L12</f>
        <v>-55163.900000000373</v>
      </c>
      <c r="M34" s="563">
        <f>L34/K34*100</f>
        <v>-47.802472242557791</v>
      </c>
      <c r="N34" s="469">
        <f>N7-N12</f>
        <v>-19976.980000000447</v>
      </c>
      <c r="O34" s="470">
        <f>O7-O12</f>
        <v>0</v>
      </c>
      <c r="P34" s="470">
        <f>P7-P12</f>
        <v>0</v>
      </c>
      <c r="Q34" s="470">
        <f>Q7-Q12</f>
        <v>-62277</v>
      </c>
      <c r="R34" s="563" t="e">
        <f>Q34/P34*100</f>
        <v>#DIV/0!</v>
      </c>
      <c r="S34" s="469">
        <f>S7-S12</f>
        <v>0</v>
      </c>
      <c r="T34" s="469">
        <f>T7-T12</f>
        <v>17800</v>
      </c>
      <c r="U34" s="469">
        <f>U7-U12</f>
        <v>17800</v>
      </c>
      <c r="V34" s="470">
        <f>V7-V12</f>
        <v>234883.54000000004</v>
      </c>
      <c r="W34" s="563">
        <f>V34/U34*100</f>
        <v>1319.5704494382023</v>
      </c>
      <c r="X34" s="469">
        <f>X7-X12</f>
        <v>147249.59000000008</v>
      </c>
    </row>
    <row r="35" spans="1:24" s="464" customFormat="1" ht="12" x14ac:dyDescent="0.25">
      <c r="A35" s="564" t="s">
        <v>59</v>
      </c>
      <c r="B35" s="1605" t="s">
        <v>24</v>
      </c>
      <c r="C35" s="1606"/>
      <c r="D35" s="565" t="s">
        <v>25</v>
      </c>
      <c r="E35" s="566">
        <v>30000</v>
      </c>
      <c r="F35" s="567">
        <v>30000</v>
      </c>
      <c r="G35" s="568">
        <v>29504</v>
      </c>
      <c r="H35" s="569">
        <f t="shared" si="6"/>
        <v>98.346666666666664</v>
      </c>
      <c r="I35" s="570">
        <v>27163</v>
      </c>
      <c r="J35" s="566"/>
      <c r="K35" s="571"/>
      <c r="L35" s="568"/>
      <c r="M35" s="569"/>
      <c r="N35" s="570"/>
      <c r="O35" s="566"/>
      <c r="P35" s="567"/>
      <c r="Q35" s="568"/>
      <c r="R35" s="569"/>
      <c r="S35" s="570"/>
      <c r="T35" s="566"/>
      <c r="U35" s="567"/>
      <c r="V35" s="568"/>
      <c r="W35" s="569"/>
      <c r="X35" s="570">
        <v>13700</v>
      </c>
    </row>
    <row r="36" spans="1:24" s="464" customFormat="1" ht="12" x14ac:dyDescent="0.25">
      <c r="A36" s="572" t="s">
        <v>60</v>
      </c>
      <c r="B36" s="1607" t="s">
        <v>33</v>
      </c>
      <c r="C36" s="1608"/>
      <c r="D36" s="573" t="s">
        <v>26</v>
      </c>
      <c r="E36" s="574">
        <v>75</v>
      </c>
      <c r="F36" s="575">
        <v>75</v>
      </c>
      <c r="G36" s="546">
        <v>68.020200000000003</v>
      </c>
      <c r="H36" s="532">
        <f t="shared" si="6"/>
        <v>90.693600000000004</v>
      </c>
      <c r="I36" s="576">
        <v>73</v>
      </c>
      <c r="J36" s="574"/>
      <c r="K36" s="574"/>
      <c r="L36" s="546"/>
      <c r="M36" s="532"/>
      <c r="N36" s="576"/>
      <c r="O36" s="574"/>
      <c r="P36" s="575"/>
      <c r="Q36" s="546"/>
      <c r="R36" s="532"/>
      <c r="S36" s="576"/>
      <c r="T36" s="574"/>
      <c r="U36" s="575"/>
      <c r="V36" s="546"/>
      <c r="W36" s="532"/>
      <c r="X36" s="576">
        <v>0.73</v>
      </c>
    </row>
    <row r="37" spans="1:24" s="464" customFormat="1" ht="12" x14ac:dyDescent="0.25">
      <c r="A37" s="577" t="s">
        <v>61</v>
      </c>
      <c r="B37" s="1609" t="s">
        <v>27</v>
      </c>
      <c r="C37" s="1610"/>
      <c r="D37" s="578" t="s">
        <v>26</v>
      </c>
      <c r="E37" s="579">
        <v>85</v>
      </c>
      <c r="F37" s="580">
        <v>85</v>
      </c>
      <c r="G37" s="554">
        <v>76</v>
      </c>
      <c r="H37" s="552">
        <f t="shared" si="6"/>
        <v>89.411764705882362</v>
      </c>
      <c r="I37" s="581">
        <v>72</v>
      </c>
      <c r="J37" s="579"/>
      <c r="K37" s="579"/>
      <c r="L37" s="554"/>
      <c r="M37" s="552"/>
      <c r="N37" s="581"/>
      <c r="O37" s="579"/>
      <c r="P37" s="580"/>
      <c r="Q37" s="554"/>
      <c r="R37" s="552"/>
      <c r="S37" s="581"/>
      <c r="T37" s="579"/>
      <c r="U37" s="580"/>
      <c r="V37" s="554"/>
      <c r="W37" s="552"/>
      <c r="X37" s="581">
        <v>17</v>
      </c>
    </row>
    <row r="38" spans="1:24" x14ac:dyDescent="0.15">
      <c r="E38" s="465"/>
      <c r="F38" s="465"/>
      <c r="G38" s="465"/>
      <c r="H38" s="465"/>
      <c r="I38" s="465"/>
    </row>
    <row r="40" spans="1:24" x14ac:dyDescent="0.15">
      <c r="O40" s="465"/>
    </row>
  </sheetData>
  <mergeCells count="39">
    <mergeCell ref="B27:C27"/>
    <mergeCell ref="B30:C30"/>
    <mergeCell ref="B35:C35"/>
    <mergeCell ref="B36:C36"/>
    <mergeCell ref="B37:C37"/>
    <mergeCell ref="B23:C23"/>
    <mergeCell ref="B9:C9"/>
    <mergeCell ref="B11:C11"/>
    <mergeCell ref="B12:C12"/>
    <mergeCell ref="B13:C13"/>
    <mergeCell ref="B14:C14"/>
    <mergeCell ref="B16:C16"/>
    <mergeCell ref="B17:C17"/>
    <mergeCell ref="B19:C19"/>
    <mergeCell ref="B20:C20"/>
    <mergeCell ref="B21:C21"/>
    <mergeCell ref="B22:C22"/>
    <mergeCell ref="B8:C8"/>
    <mergeCell ref="I5:I6"/>
    <mergeCell ref="J5:J6"/>
    <mergeCell ref="K5:M5"/>
    <mergeCell ref="N5:N6"/>
    <mergeCell ref="B7:C7"/>
    <mergeCell ref="A2:X2"/>
    <mergeCell ref="A4:A6"/>
    <mergeCell ref="B4:C6"/>
    <mergeCell ref="D4:D6"/>
    <mergeCell ref="E4:I4"/>
    <mergeCell ref="J4:N4"/>
    <mergeCell ref="O4:S4"/>
    <mergeCell ref="T4:X4"/>
    <mergeCell ref="E5:E6"/>
    <mergeCell ref="F5:H5"/>
    <mergeCell ref="S5:S6"/>
    <mergeCell ref="T5:T6"/>
    <mergeCell ref="U5:W5"/>
    <mergeCell ref="X5:X6"/>
    <mergeCell ref="O5:O6"/>
    <mergeCell ref="P5:R5"/>
  </mergeCells>
  <pageMargins left="0.23622047244094491" right="0.23622047244094491" top="0.74803149606299213" bottom="0.74803149606299213" header="0.31496062992125984" footer="0.31496062992125984"/>
  <pageSetup paperSize="9" scale="54" firstPageNumber="178" orientation="landscape" useFirstPageNumber="1"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zoomScaleNormal="100" workbookViewId="0">
      <selection activeCell="C9" activeCellId="1" sqref="C7 C9"/>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809" customFormat="1" ht="17.399999999999999" x14ac:dyDescent="0.3">
      <c r="A1" s="809" t="s">
        <v>75</v>
      </c>
      <c r="B1" s="809" t="s">
        <v>792</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804" t="s">
        <v>25</v>
      </c>
      <c r="D5" s="1256" t="s">
        <v>103</v>
      </c>
      <c r="E5" s="1256"/>
      <c r="F5" s="1256"/>
      <c r="G5" s="1256"/>
      <c r="H5" s="1256"/>
      <c r="I5" s="1256"/>
    </row>
    <row r="6" spans="1:9" s="8" customFormat="1" ht="15" customHeight="1" x14ac:dyDescent="0.2">
      <c r="A6" s="1267" t="s">
        <v>104</v>
      </c>
      <c r="B6" s="1267"/>
      <c r="C6" s="113">
        <f>SUM(C7:C9)</f>
        <v>117442.64000000001</v>
      </c>
      <c r="D6" s="1262"/>
      <c r="E6" s="1263"/>
      <c r="F6" s="1263"/>
      <c r="G6" s="1263"/>
      <c r="H6" s="1263"/>
      <c r="I6" s="1263"/>
    </row>
    <row r="7" spans="1:9" s="8" customFormat="1" ht="26.25" customHeight="1" x14ac:dyDescent="0.2">
      <c r="A7" s="1257" t="s">
        <v>77</v>
      </c>
      <c r="B7" s="1258"/>
      <c r="C7" s="114">
        <f>-55163.9</f>
        <v>-55163.9</v>
      </c>
      <c r="D7" s="1261" t="s">
        <v>793</v>
      </c>
      <c r="E7" s="1261"/>
      <c r="F7" s="1261"/>
      <c r="G7" s="1261"/>
      <c r="H7" s="1261"/>
      <c r="I7" s="1261"/>
    </row>
    <row r="8" spans="1:9" s="7" customFormat="1" ht="13.5" customHeight="1" x14ac:dyDescent="0.2">
      <c r="A8" s="1259" t="s">
        <v>78</v>
      </c>
      <c r="B8" s="1260"/>
      <c r="C8" s="115">
        <v>234883.54</v>
      </c>
      <c r="D8" s="1261" t="s">
        <v>794</v>
      </c>
      <c r="E8" s="1261"/>
      <c r="F8" s="1261"/>
      <c r="G8" s="1261"/>
      <c r="H8" s="1261"/>
      <c r="I8" s="1261"/>
    </row>
    <row r="9" spans="1:9" s="7" customFormat="1" ht="15" customHeight="1" x14ac:dyDescent="0.2">
      <c r="A9" s="1259" t="s">
        <v>79</v>
      </c>
      <c r="B9" s="1260"/>
      <c r="C9" s="115">
        <v>-62277</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804" t="s">
        <v>76</v>
      </c>
      <c r="B13" s="804" t="s">
        <v>80</v>
      </c>
      <c r="C13" s="804"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107442.64</v>
      </c>
      <c r="D16" s="126"/>
      <c r="E16" s="127"/>
      <c r="F16" s="127"/>
      <c r="G16" s="127"/>
      <c r="H16" s="127"/>
      <c r="I16" s="127"/>
    </row>
    <row r="17" spans="1:9" s="8" customFormat="1" ht="15" customHeight="1" x14ac:dyDescent="0.2">
      <c r="A17" s="1251"/>
      <c r="B17" s="15" t="s">
        <v>84</v>
      </c>
      <c r="C17" s="128">
        <v>10000</v>
      </c>
      <c r="D17" s="129"/>
      <c r="E17" s="130"/>
      <c r="F17" s="130"/>
      <c r="G17" s="130"/>
      <c r="H17" s="130"/>
      <c r="I17" s="130"/>
    </row>
    <row r="18" spans="1:9" s="8" customFormat="1" ht="15" customHeight="1" x14ac:dyDescent="0.2">
      <c r="A18" s="807" t="s">
        <v>104</v>
      </c>
      <c r="B18" s="16"/>
      <c r="C18" s="131">
        <f>SUM(C14:C17)</f>
        <v>117442.64</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804" t="s">
        <v>80</v>
      </c>
      <c r="B22" s="804" t="s">
        <v>109</v>
      </c>
      <c r="C22" s="808" t="s">
        <v>110</v>
      </c>
      <c r="D22" s="804" t="s">
        <v>111</v>
      </c>
      <c r="E22" s="804" t="s">
        <v>112</v>
      </c>
      <c r="F22" s="1256" t="s">
        <v>113</v>
      </c>
      <c r="G22" s="1256"/>
      <c r="H22" s="1256"/>
      <c r="I22" s="1256"/>
    </row>
    <row r="23" spans="1:9" s="8" customFormat="1" ht="21.75" customHeight="1" x14ac:dyDescent="0.2">
      <c r="A23" s="17" t="s">
        <v>85</v>
      </c>
      <c r="B23" s="139">
        <f>8170.54+21436.27</f>
        <v>29606.81</v>
      </c>
      <c r="C23" s="139">
        <f>127272.61+1379091.97</f>
        <v>1506364.58</v>
      </c>
      <c r="D23" s="139">
        <f>32200+53915</f>
        <v>86115</v>
      </c>
      <c r="E23" s="139">
        <f>B23+C23-D23</f>
        <v>1449856.3900000001</v>
      </c>
      <c r="F23" s="1253" t="s">
        <v>795</v>
      </c>
      <c r="G23" s="1254"/>
      <c r="H23" s="1254"/>
      <c r="I23" s="1255"/>
    </row>
    <row r="24" spans="1:9" s="8" customFormat="1" ht="10.199999999999999" x14ac:dyDescent="0.2">
      <c r="A24" s="14" t="s">
        <v>86</v>
      </c>
      <c r="B24" s="140">
        <v>471795.19</v>
      </c>
      <c r="C24" s="140">
        <v>1544987</v>
      </c>
      <c r="D24" s="140">
        <v>1784995</v>
      </c>
      <c r="E24" s="140">
        <f t="shared" ref="E24:E26" si="0">B24+C24-D24</f>
        <v>231787.18999999994</v>
      </c>
      <c r="F24" s="1242" t="s">
        <v>796</v>
      </c>
      <c r="G24" s="1243"/>
      <c r="H24" s="1243"/>
      <c r="I24" s="1244"/>
    </row>
    <row r="25" spans="1:9" s="8" customFormat="1" ht="10.199999999999999" x14ac:dyDescent="0.2">
      <c r="A25" s="14" t="s">
        <v>84</v>
      </c>
      <c r="B25" s="140">
        <v>19620.009999999998</v>
      </c>
      <c r="C25" s="140">
        <v>0</v>
      </c>
      <c r="D25" s="140">
        <v>14700</v>
      </c>
      <c r="E25" s="140">
        <f t="shared" si="0"/>
        <v>4920.0099999999984</v>
      </c>
      <c r="F25" s="1242" t="s">
        <v>797</v>
      </c>
      <c r="G25" s="1243"/>
      <c r="H25" s="1243"/>
      <c r="I25" s="1244"/>
    </row>
    <row r="26" spans="1:9" s="8" customFormat="1" ht="22.5" customHeight="1" x14ac:dyDescent="0.2">
      <c r="A26" s="15" t="s">
        <v>87</v>
      </c>
      <c r="B26" s="141">
        <v>235237.56</v>
      </c>
      <c r="C26" s="141">
        <v>567952.02</v>
      </c>
      <c r="D26" s="141">
        <v>469267</v>
      </c>
      <c r="E26" s="140">
        <f t="shared" si="0"/>
        <v>333922.58000000007</v>
      </c>
      <c r="F26" s="1245" t="s">
        <v>798</v>
      </c>
      <c r="G26" s="1246"/>
      <c r="H26" s="1246"/>
      <c r="I26" s="1247"/>
    </row>
    <row r="27" spans="1:9" s="7" customFormat="1" ht="10.199999999999999" x14ac:dyDescent="0.2">
      <c r="A27" s="10" t="s">
        <v>34</v>
      </c>
      <c r="B27" s="113">
        <f>SUM(B23:B26)</f>
        <v>756259.57000000007</v>
      </c>
      <c r="C27" s="113">
        <f t="shared" ref="C27:E27" si="1">SUM(C23:C26)</f>
        <v>3619303.6</v>
      </c>
      <c r="D27" s="113">
        <f t="shared" si="1"/>
        <v>2355077</v>
      </c>
      <c r="E27" s="113">
        <f t="shared" si="1"/>
        <v>2020486.1700000002</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804" t="s">
        <v>88</v>
      </c>
      <c r="B31" s="804" t="s">
        <v>25</v>
      </c>
      <c r="C31" s="808" t="s">
        <v>89</v>
      </c>
      <c r="D31" s="1256" t="s">
        <v>90</v>
      </c>
      <c r="E31" s="1256"/>
      <c r="F31" s="1256"/>
      <c r="G31" s="1256"/>
      <c r="H31" s="1256"/>
      <c r="I31" s="1256"/>
    </row>
    <row r="32" spans="1:9" s="8" customFormat="1" ht="10.199999999999999" x14ac:dyDescent="0.2">
      <c r="A32" s="19" t="s">
        <v>799</v>
      </c>
      <c r="B32" s="139"/>
      <c r="C32" s="20"/>
      <c r="D32" s="1270"/>
      <c r="E32" s="1271"/>
      <c r="F32" s="1271"/>
      <c r="G32" s="1271"/>
      <c r="H32" s="1271"/>
      <c r="I32" s="1272"/>
    </row>
    <row r="33" spans="1:9" s="8" customFormat="1" ht="10.199999999999999" x14ac:dyDescent="0.2">
      <c r="A33" s="18"/>
      <c r="B33" s="141"/>
      <c r="C33" s="33"/>
      <c r="D33" s="1273"/>
      <c r="E33" s="1274"/>
      <c r="F33" s="1274"/>
      <c r="G33" s="1274"/>
      <c r="H33" s="1274"/>
      <c r="I33" s="1275"/>
    </row>
    <row r="34" spans="1:9" s="7" customFormat="1" ht="10.199999999999999" x14ac:dyDescent="0.2">
      <c r="A34" s="10" t="s">
        <v>34</v>
      </c>
      <c r="B34" s="113">
        <f>SUM(B32:B33)</f>
        <v>0</v>
      </c>
      <c r="C34" s="1276"/>
      <c r="D34" s="1277"/>
      <c r="E34" s="1277"/>
      <c r="F34" s="1277"/>
      <c r="G34" s="1277"/>
      <c r="H34" s="1277"/>
      <c r="I34" s="1278"/>
    </row>
    <row r="35" spans="1:9" s="8" customFormat="1" ht="10.199999999999999" x14ac:dyDescent="0.2">
      <c r="C35" s="116"/>
    </row>
    <row r="36" spans="1:9" s="8" customFormat="1" ht="10.199999999999999" x14ac:dyDescent="0.2">
      <c r="A36" s="1248" t="s">
        <v>119</v>
      </c>
      <c r="B36" s="1248"/>
      <c r="C36" s="1248"/>
      <c r="D36" s="1248"/>
      <c r="E36" s="1248"/>
      <c r="F36" s="1248"/>
      <c r="G36" s="1248"/>
      <c r="H36" s="1248"/>
      <c r="I36" s="1248"/>
    </row>
    <row r="37" spans="1:9" s="8" customFormat="1" ht="10.199999999999999" x14ac:dyDescent="0.2">
      <c r="C37" s="116"/>
    </row>
    <row r="38" spans="1:9" s="8" customFormat="1" ht="10.199999999999999" x14ac:dyDescent="0.2">
      <c r="A38" s="804" t="s">
        <v>88</v>
      </c>
      <c r="B38" s="804" t="s">
        <v>25</v>
      </c>
      <c r="C38" s="808" t="s">
        <v>89</v>
      </c>
      <c r="D38" s="1279" t="s">
        <v>90</v>
      </c>
      <c r="E38" s="1279"/>
      <c r="F38" s="1279"/>
      <c r="G38" s="1279"/>
      <c r="H38" s="1279"/>
      <c r="I38" s="1280"/>
    </row>
    <row r="39" spans="1:9" s="8" customFormat="1" ht="10.199999999999999" x14ac:dyDescent="0.2">
      <c r="A39" s="19" t="s">
        <v>799</v>
      </c>
      <c r="B39" s="139"/>
      <c r="C39" s="20"/>
      <c r="D39" s="1242"/>
      <c r="E39" s="1281"/>
      <c r="F39" s="1281"/>
      <c r="G39" s="1281"/>
      <c r="H39" s="1281"/>
      <c r="I39" s="1282"/>
    </row>
    <row r="40" spans="1:9" s="8" customFormat="1" ht="10.199999999999999" x14ac:dyDescent="0.2">
      <c r="A40" s="21"/>
      <c r="B40" s="140"/>
      <c r="C40" s="22"/>
      <c r="D40" s="1242"/>
      <c r="E40" s="1281"/>
      <c r="F40" s="1281"/>
      <c r="G40" s="1281"/>
      <c r="H40" s="1281"/>
      <c r="I40" s="1282"/>
    </row>
    <row r="41" spans="1:9" s="7" customFormat="1" ht="10.199999999999999" x14ac:dyDescent="0.2">
      <c r="A41" s="10" t="s">
        <v>34</v>
      </c>
      <c r="B41" s="113">
        <f>SUM(B39:B40)</f>
        <v>0</v>
      </c>
      <c r="C41" s="1283"/>
      <c r="D41" s="1284"/>
      <c r="E41" s="1284"/>
      <c r="F41" s="1284"/>
      <c r="G41" s="1284"/>
      <c r="H41" s="1284"/>
      <c r="I41" s="1284"/>
    </row>
    <row r="42" spans="1:9" s="8" customFormat="1" ht="10.199999999999999" x14ac:dyDescent="0.2">
      <c r="C42" s="116"/>
    </row>
    <row r="43" spans="1:9" s="8" customFormat="1" ht="10.199999999999999" x14ac:dyDescent="0.2">
      <c r="A43" s="1248" t="s">
        <v>120</v>
      </c>
      <c r="B43" s="1248"/>
      <c r="C43" s="1248"/>
      <c r="D43" s="1248"/>
      <c r="E43" s="1248"/>
      <c r="F43" s="1248"/>
      <c r="G43" s="1248"/>
      <c r="H43" s="1248"/>
      <c r="I43" s="1248"/>
    </row>
    <row r="44" spans="1:9" s="8" customFormat="1" ht="10.199999999999999" x14ac:dyDescent="0.2">
      <c r="C44" s="116"/>
    </row>
    <row r="45" spans="1:9" s="8" customFormat="1" ht="10.199999999999999" x14ac:dyDescent="0.2">
      <c r="A45" s="806" t="s">
        <v>25</v>
      </c>
      <c r="B45" s="805" t="s">
        <v>122</v>
      </c>
      <c r="C45" s="1285" t="s">
        <v>91</v>
      </c>
      <c r="D45" s="1285"/>
      <c r="E45" s="1285"/>
      <c r="F45" s="1285"/>
      <c r="G45" s="1285"/>
      <c r="H45" s="1285"/>
      <c r="I45" s="1286"/>
    </row>
    <row r="46" spans="1:9" s="8" customFormat="1" ht="10.199999999999999" x14ac:dyDescent="0.2">
      <c r="A46" s="140">
        <v>16726</v>
      </c>
      <c r="B46" s="140">
        <v>16726</v>
      </c>
      <c r="C46" s="1287" t="s">
        <v>800</v>
      </c>
      <c r="D46" s="1287"/>
      <c r="E46" s="1287"/>
      <c r="F46" s="1287"/>
      <c r="G46" s="1287"/>
      <c r="H46" s="1287"/>
      <c r="I46" s="1287"/>
    </row>
    <row r="47" spans="1:9" s="8" customFormat="1" ht="10.199999999999999" x14ac:dyDescent="0.2">
      <c r="A47" s="140">
        <v>18387</v>
      </c>
      <c r="B47" s="140">
        <v>18387</v>
      </c>
      <c r="C47" s="1287" t="s">
        <v>801</v>
      </c>
      <c r="D47" s="1287"/>
      <c r="E47" s="1287"/>
      <c r="F47" s="1287"/>
      <c r="G47" s="1287"/>
      <c r="H47" s="1287"/>
      <c r="I47" s="1287"/>
    </row>
    <row r="48" spans="1:9" s="8" customFormat="1" ht="10.199999999999999" x14ac:dyDescent="0.2">
      <c r="A48" s="140">
        <v>6000</v>
      </c>
      <c r="B48" s="140">
        <v>0</v>
      </c>
      <c r="C48" s="1287" t="s">
        <v>802</v>
      </c>
      <c r="D48" s="1287"/>
      <c r="E48" s="1287"/>
      <c r="F48" s="1287"/>
      <c r="G48" s="1287"/>
      <c r="H48" s="1287"/>
      <c r="I48" s="1287"/>
    </row>
    <row r="49" spans="1:12" s="8" customFormat="1" ht="10.199999999999999" x14ac:dyDescent="0.2">
      <c r="A49" s="140">
        <v>10424</v>
      </c>
      <c r="B49" s="140">
        <v>8802</v>
      </c>
      <c r="C49" s="1287" t="s">
        <v>803</v>
      </c>
      <c r="D49" s="1287"/>
      <c r="E49" s="1287"/>
      <c r="F49" s="1287"/>
      <c r="G49" s="1287"/>
      <c r="H49" s="1287"/>
      <c r="I49" s="1287"/>
    </row>
    <row r="50" spans="1:12" s="8" customFormat="1" ht="10.199999999999999" x14ac:dyDescent="0.2">
      <c r="A50" s="141">
        <v>10000</v>
      </c>
      <c r="B50" s="141">
        <v>10000</v>
      </c>
      <c r="C50" s="1287" t="s">
        <v>804</v>
      </c>
      <c r="D50" s="1287"/>
      <c r="E50" s="1287"/>
      <c r="F50" s="1287"/>
      <c r="G50" s="1287"/>
      <c r="H50" s="1287"/>
      <c r="I50" s="1287"/>
    </row>
    <row r="51" spans="1:12" s="7" customFormat="1" ht="10.199999999999999" x14ac:dyDescent="0.2">
      <c r="A51" s="113">
        <f>A46+A49+A50</f>
        <v>37150</v>
      </c>
      <c r="B51" s="113">
        <f>B46+B49+B50</f>
        <v>35528</v>
      </c>
      <c r="C51" s="1289" t="s">
        <v>34</v>
      </c>
      <c r="D51" s="1289"/>
      <c r="E51" s="1289"/>
      <c r="F51" s="1289"/>
      <c r="G51" s="1289"/>
      <c r="H51" s="1289"/>
      <c r="I51" s="1289"/>
    </row>
    <row r="52" spans="1:12" s="8" customFormat="1" ht="10.199999999999999" x14ac:dyDescent="0.2">
      <c r="C52" s="116"/>
    </row>
    <row r="53" spans="1:12" s="8" customFormat="1" ht="10.199999999999999" x14ac:dyDescent="0.2">
      <c r="A53" s="1248" t="s">
        <v>123</v>
      </c>
      <c r="B53" s="1248"/>
      <c r="C53" s="1248"/>
      <c r="D53" s="1248"/>
      <c r="E53" s="1248"/>
      <c r="F53" s="1248"/>
      <c r="G53" s="1248"/>
      <c r="H53" s="1248"/>
      <c r="I53" s="1248"/>
    </row>
    <row r="54" spans="1:12" s="8" customFormat="1" ht="10.199999999999999" x14ac:dyDescent="0.2">
      <c r="C54" s="116"/>
    </row>
    <row r="55" spans="1:12" s="23" customFormat="1" ht="10.199999999999999" x14ac:dyDescent="0.2">
      <c r="A55" s="1256" t="s">
        <v>92</v>
      </c>
      <c r="B55" s="1256"/>
      <c r="C55" s="808" t="s">
        <v>93</v>
      </c>
      <c r="D55" s="804" t="s">
        <v>94</v>
      </c>
      <c r="E55" s="804" t="s">
        <v>25</v>
      </c>
      <c r="F55" s="8"/>
      <c r="G55" s="8"/>
      <c r="H55" s="8"/>
      <c r="I55" s="8"/>
      <c r="J55" s="8"/>
      <c r="K55" s="8"/>
      <c r="L55" s="8"/>
    </row>
    <row r="56" spans="1:12" s="8" customFormat="1" ht="24.75" customHeight="1" x14ac:dyDescent="0.2">
      <c r="A56" s="1613" t="s">
        <v>805</v>
      </c>
      <c r="B56" s="1614"/>
      <c r="C56" s="840" t="s">
        <v>806</v>
      </c>
      <c r="D56" s="840" t="s">
        <v>807</v>
      </c>
      <c r="E56" s="841">
        <v>112000</v>
      </c>
    </row>
    <row r="57" spans="1:12" s="8" customFormat="1" ht="24.75" customHeight="1" x14ac:dyDescent="0.2">
      <c r="A57" s="1611" t="s">
        <v>808</v>
      </c>
      <c r="B57" s="1612"/>
      <c r="C57" s="842" t="s">
        <v>809</v>
      </c>
      <c r="D57" s="842" t="s">
        <v>810</v>
      </c>
      <c r="E57" s="843">
        <v>6255</v>
      </c>
    </row>
    <row r="58" spans="1:12" s="8" customFormat="1" ht="24.75" customHeight="1" x14ac:dyDescent="0.2">
      <c r="A58" s="1611" t="s">
        <v>811</v>
      </c>
      <c r="B58" s="1612"/>
      <c r="C58" s="842" t="s">
        <v>809</v>
      </c>
      <c r="D58" s="842" t="s">
        <v>810</v>
      </c>
      <c r="E58" s="844">
        <v>600000</v>
      </c>
    </row>
    <row r="59" spans="1:12" s="8" customFormat="1" ht="24.75" customHeight="1" x14ac:dyDescent="0.2">
      <c r="A59" s="1611" t="s">
        <v>812</v>
      </c>
      <c r="B59" s="1612"/>
      <c r="C59" s="842" t="s">
        <v>813</v>
      </c>
      <c r="D59" s="842" t="s">
        <v>814</v>
      </c>
      <c r="E59" s="844">
        <v>47000</v>
      </c>
    </row>
    <row r="60" spans="1:12" s="8" customFormat="1" ht="10.199999999999999" x14ac:dyDescent="0.2">
      <c r="A60" s="1611" t="s">
        <v>815</v>
      </c>
      <c r="B60" s="1612"/>
      <c r="C60" s="842" t="s">
        <v>816</v>
      </c>
      <c r="D60" s="842" t="s">
        <v>816</v>
      </c>
      <c r="E60" s="844">
        <v>9000</v>
      </c>
      <c r="F60" s="7"/>
      <c r="G60" s="7"/>
    </row>
    <row r="61" spans="1:12" s="8" customFormat="1" ht="24.75" customHeight="1" x14ac:dyDescent="0.2">
      <c r="A61" s="1611" t="s">
        <v>817</v>
      </c>
      <c r="B61" s="1612"/>
      <c r="C61" s="842" t="s">
        <v>209</v>
      </c>
      <c r="D61" s="842" t="s">
        <v>209</v>
      </c>
      <c r="E61" s="844">
        <v>120000</v>
      </c>
    </row>
    <row r="62" spans="1:12" s="8" customFormat="1" ht="48" customHeight="1" x14ac:dyDescent="0.2">
      <c r="A62" s="1611" t="s">
        <v>818</v>
      </c>
      <c r="B62" s="1612"/>
      <c r="C62" s="842" t="s">
        <v>215</v>
      </c>
      <c r="D62" s="842" t="s">
        <v>819</v>
      </c>
      <c r="E62" s="844">
        <v>162326.07</v>
      </c>
    </row>
    <row r="63" spans="1:12" s="8" customFormat="1" ht="24.75" customHeight="1" x14ac:dyDescent="0.25">
      <c r="A63" s="1611" t="s">
        <v>820</v>
      </c>
      <c r="B63" s="1612"/>
      <c r="C63" s="842" t="s">
        <v>821</v>
      </c>
      <c r="D63" s="842" t="s">
        <v>822</v>
      </c>
      <c r="E63" s="844">
        <v>112000</v>
      </c>
      <c r="F63" s="44"/>
      <c r="G63" s="44"/>
      <c r="H63" s="44"/>
      <c r="I63" s="44"/>
      <c r="J63" s="44"/>
      <c r="K63" s="44"/>
      <c r="L63" s="44"/>
    </row>
    <row r="64" spans="1:12" s="8" customFormat="1" ht="34.5" customHeight="1" x14ac:dyDescent="0.25">
      <c r="A64" s="1611" t="s">
        <v>823</v>
      </c>
      <c r="B64" s="1612"/>
      <c r="C64" s="842" t="s">
        <v>824</v>
      </c>
      <c r="D64" s="842" t="s">
        <v>825</v>
      </c>
      <c r="E64" s="844">
        <v>10375</v>
      </c>
      <c r="F64" s="44"/>
      <c r="G64" s="44"/>
      <c r="H64" s="44"/>
      <c r="I64" s="44"/>
      <c r="J64" s="44"/>
      <c r="K64" s="44"/>
      <c r="L64" s="44"/>
    </row>
    <row r="65" spans="1:12" s="8" customFormat="1" x14ac:dyDescent="0.25">
      <c r="A65" s="1611" t="s">
        <v>826</v>
      </c>
      <c r="B65" s="1612"/>
      <c r="C65" s="842" t="s">
        <v>215</v>
      </c>
      <c r="D65" s="842" t="s">
        <v>819</v>
      </c>
      <c r="E65" s="844">
        <v>222000</v>
      </c>
      <c r="F65" s="44"/>
      <c r="G65" s="44"/>
      <c r="H65" s="44"/>
      <c r="I65" s="44"/>
      <c r="J65" s="44"/>
      <c r="K65" s="44"/>
      <c r="L65" s="44"/>
    </row>
    <row r="66" spans="1:12" s="8" customFormat="1" x14ac:dyDescent="0.25">
      <c r="A66" s="1611" t="s">
        <v>827</v>
      </c>
      <c r="B66" s="1612"/>
      <c r="C66" s="842" t="s">
        <v>215</v>
      </c>
      <c r="D66" s="842" t="s">
        <v>819</v>
      </c>
      <c r="E66" s="844">
        <v>10000</v>
      </c>
      <c r="F66" s="44"/>
      <c r="G66" s="44"/>
      <c r="H66" s="44"/>
      <c r="I66" s="44"/>
      <c r="J66" s="44"/>
      <c r="K66" s="44"/>
      <c r="L66" s="44"/>
    </row>
    <row r="67" spans="1:12" s="8" customFormat="1" x14ac:dyDescent="0.25">
      <c r="A67" s="1611" t="s">
        <v>828</v>
      </c>
      <c r="B67" s="1612"/>
      <c r="C67" s="842" t="s">
        <v>215</v>
      </c>
      <c r="D67" s="842" t="s">
        <v>829</v>
      </c>
      <c r="E67" s="844">
        <v>10000</v>
      </c>
      <c r="F67" s="44"/>
      <c r="G67" s="44"/>
      <c r="H67" s="44"/>
      <c r="I67" s="44"/>
      <c r="J67" s="44"/>
      <c r="K67" s="44"/>
      <c r="L67" s="44"/>
    </row>
    <row r="68" spans="1:12" s="8" customFormat="1" x14ac:dyDescent="0.25">
      <c r="A68" s="1613" t="s">
        <v>830</v>
      </c>
      <c r="B68" s="1614"/>
      <c r="C68" s="715"/>
      <c r="D68" s="715"/>
      <c r="E68" s="845">
        <v>193240</v>
      </c>
      <c r="F68" s="44"/>
      <c r="G68" s="44"/>
      <c r="H68" s="44"/>
      <c r="I68" s="44"/>
      <c r="J68" s="44"/>
      <c r="K68" s="44"/>
      <c r="L68" s="44"/>
    </row>
    <row r="69" spans="1:12" s="8" customFormat="1" ht="11.25" customHeight="1" x14ac:dyDescent="0.25">
      <c r="A69" s="147"/>
      <c r="B69" s="148"/>
      <c r="C69" s="149"/>
      <c r="D69" s="149"/>
      <c r="E69" s="150"/>
      <c r="F69" s="44"/>
      <c r="G69" s="44"/>
      <c r="H69" s="44"/>
      <c r="I69" s="44"/>
      <c r="J69" s="44"/>
      <c r="K69" s="44"/>
      <c r="L69" s="44"/>
    </row>
    <row r="70" spans="1:12" s="8" customFormat="1" x14ac:dyDescent="0.25">
      <c r="A70" s="803" t="s">
        <v>154</v>
      </c>
      <c r="B70" s="803"/>
      <c r="C70" s="803"/>
      <c r="D70" s="803"/>
      <c r="E70" s="803"/>
      <c r="F70" s="44"/>
      <c r="G70" s="44"/>
      <c r="H70" s="44"/>
      <c r="I70" s="44"/>
      <c r="J70" s="44"/>
      <c r="K70" s="44"/>
      <c r="L70" s="44"/>
    </row>
    <row r="71" spans="1:12" s="8" customFormat="1" x14ac:dyDescent="0.25">
      <c r="A71" s="8" t="s">
        <v>831</v>
      </c>
      <c r="F71" s="44"/>
      <c r="G71" s="44"/>
      <c r="H71" s="44"/>
      <c r="I71" s="44"/>
      <c r="J71" s="44"/>
      <c r="K71" s="44"/>
      <c r="L71" s="44"/>
    </row>
    <row r="72" spans="1:12" s="8" customFormat="1" x14ac:dyDescent="0.25">
      <c r="F72" s="44"/>
      <c r="G72" s="44"/>
      <c r="H72" s="44"/>
      <c r="I72" s="44"/>
      <c r="J72" s="44"/>
      <c r="K72" s="44"/>
      <c r="L72" s="44"/>
    </row>
    <row r="73" spans="1:12" s="8" customFormat="1" ht="0.75" customHeight="1" x14ac:dyDescent="0.25">
      <c r="A73" s="800"/>
      <c r="B73" s="801"/>
      <c r="C73" s="801"/>
      <c r="D73" s="801"/>
      <c r="E73" s="801"/>
      <c r="F73" s="44"/>
      <c r="G73" s="44"/>
      <c r="H73" s="44"/>
      <c r="I73" s="44"/>
      <c r="J73" s="44"/>
      <c r="K73" s="44"/>
      <c r="L73" s="44"/>
    </row>
    <row r="74" spans="1:12" s="8" customFormat="1" hidden="1" x14ac:dyDescent="0.25">
      <c r="F74" s="44"/>
      <c r="G74" s="44"/>
      <c r="H74" s="44"/>
      <c r="I74" s="44"/>
      <c r="J74" s="44"/>
      <c r="K74" s="44"/>
      <c r="L74" s="44"/>
    </row>
    <row r="75" spans="1:12" s="7" customFormat="1" x14ac:dyDescent="0.25">
      <c r="A75" s="802" t="s">
        <v>156</v>
      </c>
      <c r="B75" s="802"/>
      <c r="C75" s="802"/>
      <c r="D75" s="802"/>
      <c r="E75" s="802"/>
      <c r="F75" s="846"/>
      <c r="G75" s="44"/>
      <c r="H75" s="44"/>
      <c r="I75" s="44"/>
      <c r="J75" s="44"/>
      <c r="K75" s="44"/>
      <c r="L75" s="44"/>
    </row>
    <row r="76" spans="1:12" s="8" customFormat="1" x14ac:dyDescent="0.25">
      <c r="A76" s="8" t="s">
        <v>95</v>
      </c>
      <c r="F76" s="44"/>
      <c r="G76" s="44"/>
      <c r="H76" s="44"/>
      <c r="I76" s="44"/>
      <c r="J76" s="44"/>
      <c r="K76" s="44"/>
      <c r="L76" s="44"/>
    </row>
    <row r="77" spans="1:12" s="8" customFormat="1" ht="25.5" customHeight="1" x14ac:dyDescent="0.25">
      <c r="A77" s="1616" t="s">
        <v>832</v>
      </c>
      <c r="B77" s="1615"/>
      <c r="C77" s="1615"/>
      <c r="D77" s="1615"/>
      <c r="E77" s="1615"/>
      <c r="F77" s="1615"/>
      <c r="G77" s="44"/>
      <c r="H77" s="44"/>
      <c r="I77" s="44"/>
      <c r="J77" s="44"/>
      <c r="K77" s="44"/>
      <c r="L77" s="44"/>
    </row>
    <row r="78" spans="1:12" s="8" customFormat="1" ht="25.5" customHeight="1" x14ac:dyDescent="0.25">
      <c r="A78" s="1345" t="s">
        <v>833</v>
      </c>
      <c r="B78" s="1615"/>
      <c r="C78" s="1615"/>
      <c r="D78" s="1615"/>
      <c r="E78" s="1615"/>
      <c r="F78" s="1615"/>
      <c r="G78" s="44"/>
      <c r="H78" s="44"/>
      <c r="I78" s="44"/>
      <c r="J78" s="44"/>
      <c r="K78" s="44"/>
      <c r="L78" s="44"/>
    </row>
    <row r="79" spans="1:12" s="8" customFormat="1" ht="25.5" customHeight="1" x14ac:dyDescent="0.25">
      <c r="A79" s="1345" t="s">
        <v>834</v>
      </c>
      <c r="B79" s="1615"/>
      <c r="C79" s="1615"/>
      <c r="D79" s="1615"/>
      <c r="E79" s="1615"/>
      <c r="F79" s="1615"/>
      <c r="G79" s="44"/>
      <c r="H79" s="44"/>
      <c r="I79" s="44"/>
      <c r="J79" s="44"/>
      <c r="K79" s="44"/>
      <c r="L79" s="44"/>
    </row>
    <row r="81" spans="1:1" x14ac:dyDescent="0.25">
      <c r="A81" s="8" t="s">
        <v>835</v>
      </c>
    </row>
    <row r="82" spans="1:1" x14ac:dyDescent="0.25">
      <c r="A82" s="26"/>
    </row>
    <row r="83" spans="1:1" x14ac:dyDescent="0.25">
      <c r="A83" s="26"/>
    </row>
  </sheetData>
  <mergeCells count="55">
    <mergeCell ref="A79:F79"/>
    <mergeCell ref="A60:B60"/>
    <mergeCell ref="A61:B61"/>
    <mergeCell ref="A62:B62"/>
    <mergeCell ref="A63:B63"/>
    <mergeCell ref="A64:B64"/>
    <mergeCell ref="A65:B65"/>
    <mergeCell ref="A66:B66"/>
    <mergeCell ref="A67:B67"/>
    <mergeCell ref="A68:B68"/>
    <mergeCell ref="A77:F77"/>
    <mergeCell ref="A78:F78"/>
    <mergeCell ref="A59:B59"/>
    <mergeCell ref="C46:I46"/>
    <mergeCell ref="C47:I47"/>
    <mergeCell ref="C48:I48"/>
    <mergeCell ref="C49:I49"/>
    <mergeCell ref="C50:I50"/>
    <mergeCell ref="C51:I51"/>
    <mergeCell ref="A53:I53"/>
    <mergeCell ref="A55:B55"/>
    <mergeCell ref="A56:B56"/>
    <mergeCell ref="A57:B57"/>
    <mergeCell ref="A58:B58"/>
    <mergeCell ref="C45:I45"/>
    <mergeCell ref="F27:I27"/>
    <mergeCell ref="A29:I29"/>
    <mergeCell ref="D31:I31"/>
    <mergeCell ref="D32:I33"/>
    <mergeCell ref="C34:I34"/>
    <mergeCell ref="A36:I36"/>
    <mergeCell ref="D38:I38"/>
    <mergeCell ref="D39:I39"/>
    <mergeCell ref="D40:I40"/>
    <mergeCell ref="C41:I41"/>
    <mergeCell ref="A43:I43"/>
    <mergeCell ref="F26:I26"/>
    <mergeCell ref="A8:B8"/>
    <mergeCell ref="D8:I8"/>
    <mergeCell ref="A9:B9"/>
    <mergeCell ref="D9:I9"/>
    <mergeCell ref="A11:I11"/>
    <mergeCell ref="A15:A17"/>
    <mergeCell ref="A20:I20"/>
    <mergeCell ref="F22:I22"/>
    <mergeCell ref="F23:I23"/>
    <mergeCell ref="F24:I24"/>
    <mergeCell ref="F25:I25"/>
    <mergeCell ref="A7:B7"/>
    <mergeCell ref="D7:I7"/>
    <mergeCell ref="A3:I3"/>
    <mergeCell ref="A5:B5"/>
    <mergeCell ref="D5:I5"/>
    <mergeCell ref="A6:B6"/>
    <mergeCell ref="D6:I6"/>
  </mergeCells>
  <pageMargins left="0.70866141732283472" right="0.70866141732283472" top="0.78740157480314965" bottom="0.78740157480314965" header="0.31496062992125984" footer="0.31496062992125984"/>
  <pageSetup paperSize="9" firstPageNumber="179" orientation="landscape" useFirstPageNumber="1"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M13" sqref="M13"/>
    </sheetView>
  </sheetViews>
  <sheetFormatPr defaultColWidth="6.3984375" defaultRowHeight="7.8" x14ac:dyDescent="0.15"/>
  <cols>
    <col min="1" max="1" width="5.3984375" style="275"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618</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617"/>
      <c r="J3" s="1224" t="s">
        <v>39</v>
      </c>
      <c r="K3" s="1225"/>
      <c r="L3" s="1225"/>
      <c r="M3" s="1225"/>
      <c r="N3" s="1226"/>
      <c r="O3" s="1618" t="s">
        <v>43</v>
      </c>
      <c r="P3" s="1225"/>
      <c r="Q3" s="1225"/>
      <c r="R3" s="1225"/>
      <c r="S3" s="1617"/>
      <c r="T3" s="1224" t="s">
        <v>38</v>
      </c>
      <c r="U3" s="1225"/>
      <c r="V3" s="1225"/>
      <c r="W3" s="1225"/>
      <c r="X3" s="1226"/>
    </row>
    <row r="4" spans="1:24" s="35" customFormat="1" x14ac:dyDescent="0.15">
      <c r="A4" s="1218"/>
      <c r="B4" s="1221"/>
      <c r="C4" s="1221"/>
      <c r="D4" s="1223"/>
      <c r="E4" s="1228" t="s">
        <v>44</v>
      </c>
      <c r="F4" s="1229" t="s">
        <v>100</v>
      </c>
      <c r="G4" s="1229"/>
      <c r="H4" s="1229"/>
      <c r="I4" s="1619" t="s">
        <v>101</v>
      </c>
      <c r="J4" s="1228" t="s">
        <v>44</v>
      </c>
      <c r="K4" s="1229" t="s">
        <v>100</v>
      </c>
      <c r="L4" s="1229"/>
      <c r="M4" s="1229"/>
      <c r="N4" s="1230" t="s">
        <v>101</v>
      </c>
      <c r="O4" s="1231" t="s">
        <v>44</v>
      </c>
      <c r="P4" s="1229" t="s">
        <v>100</v>
      </c>
      <c r="Q4" s="1229"/>
      <c r="R4" s="1229"/>
      <c r="S4" s="1619"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619"/>
      <c r="J5" s="1228"/>
      <c r="K5" s="3" t="s">
        <v>35</v>
      </c>
      <c r="L5" s="3" t="s">
        <v>36</v>
      </c>
      <c r="M5" s="3" t="s">
        <v>37</v>
      </c>
      <c r="N5" s="1230"/>
      <c r="O5" s="1231"/>
      <c r="P5" s="3" t="s">
        <v>35</v>
      </c>
      <c r="Q5" s="3" t="s">
        <v>36</v>
      </c>
      <c r="R5" s="3" t="s">
        <v>37</v>
      </c>
      <c r="S5" s="1619"/>
      <c r="T5" s="1228"/>
      <c r="U5" s="3" t="s">
        <v>35</v>
      </c>
      <c r="V5" s="3" t="s">
        <v>36</v>
      </c>
      <c r="W5" s="3" t="s">
        <v>37</v>
      </c>
      <c r="X5" s="1230"/>
    </row>
    <row r="6" spans="1:24" s="34" customFormat="1" x14ac:dyDescent="0.15">
      <c r="A6" s="49" t="s">
        <v>0</v>
      </c>
      <c r="B6" s="1236" t="s">
        <v>1</v>
      </c>
      <c r="C6" s="1236"/>
      <c r="D6" s="50" t="s">
        <v>25</v>
      </c>
      <c r="E6" s="51">
        <f>SUM(E7:E9)</f>
        <v>60389086</v>
      </c>
      <c r="F6" s="52">
        <f>SUM(F7:F9)</f>
        <v>63532995</v>
      </c>
      <c r="G6" s="52">
        <f>SUM(G7:G9)</f>
        <v>63476694</v>
      </c>
      <c r="H6" s="4">
        <f t="shared" ref="H6:H36" si="0">G6/F6*100</f>
        <v>99.911383053797479</v>
      </c>
      <c r="I6" s="582">
        <f>SUM(I7:I9)</f>
        <v>56008885</v>
      </c>
      <c r="J6" s="51">
        <f>SUM(J7:J9)</f>
        <v>10480000</v>
      </c>
      <c r="K6" s="54">
        <f t="shared" ref="K6:V6" si="1">SUM(K7:K9)</f>
        <v>11634851</v>
      </c>
      <c r="L6" s="52">
        <f t="shared" si="1"/>
        <v>11586282</v>
      </c>
      <c r="M6" s="4">
        <f t="shared" ref="M6:M32" si="2">L6/K6*100</f>
        <v>99.582555891777218</v>
      </c>
      <c r="N6" s="53">
        <f t="shared" ref="N6:P6" si="3">SUM(N7:N9)</f>
        <v>11261186</v>
      </c>
      <c r="O6" s="54">
        <f t="shared" si="3"/>
        <v>49909086</v>
      </c>
      <c r="P6" s="52">
        <f t="shared" si="3"/>
        <v>51898144</v>
      </c>
      <c r="Q6" s="52">
        <f t="shared" si="1"/>
        <v>51890412</v>
      </c>
      <c r="R6" s="4">
        <f t="shared" ref="R6:R36" si="4">Q6/P6*100</f>
        <v>99.98510158667716</v>
      </c>
      <c r="S6" s="582">
        <f t="shared" ref="S6:U6" si="5">SUM(S7:S9)</f>
        <v>44747699</v>
      </c>
      <c r="T6" s="51">
        <f t="shared" si="5"/>
        <v>828000</v>
      </c>
      <c r="U6" s="54">
        <f t="shared" si="5"/>
        <v>828000</v>
      </c>
      <c r="V6" s="52">
        <f t="shared" si="1"/>
        <v>895584</v>
      </c>
      <c r="W6" s="4">
        <f t="shared" ref="W6:W33" si="6">V6/U6*100</f>
        <v>108.16231884057972</v>
      </c>
      <c r="X6" s="53">
        <f t="shared" ref="X6" si="7">SUM(X7:X9)</f>
        <v>898796</v>
      </c>
    </row>
    <row r="7" spans="1:24" s="34" customFormat="1" x14ac:dyDescent="0.15">
      <c r="A7" s="55" t="s">
        <v>2</v>
      </c>
      <c r="B7" s="1233" t="s">
        <v>46</v>
      </c>
      <c r="C7" s="1233"/>
      <c r="D7" s="50" t="s">
        <v>25</v>
      </c>
      <c r="E7" s="56">
        <f t="shared" ref="E7:G10" si="8">SUM(J7,O7)</f>
        <v>5001000</v>
      </c>
      <c r="F7" s="57">
        <f t="shared" si="8"/>
        <v>5557869</v>
      </c>
      <c r="G7" s="57">
        <f t="shared" si="8"/>
        <v>5533941</v>
      </c>
      <c r="H7" s="58">
        <f t="shared" si="0"/>
        <v>99.569475279104282</v>
      </c>
      <c r="I7" s="79">
        <f>SUM(N7,S7)</f>
        <v>5772281</v>
      </c>
      <c r="J7" s="60">
        <v>5001000</v>
      </c>
      <c r="K7" s="583">
        <v>5555704</v>
      </c>
      <c r="L7" s="61">
        <v>5531776</v>
      </c>
      <c r="M7" s="58">
        <f t="shared" si="2"/>
        <v>99.569307508103392</v>
      </c>
      <c r="N7" s="244">
        <v>5721928</v>
      </c>
      <c r="O7" s="62"/>
      <c r="P7" s="61">
        <v>2165</v>
      </c>
      <c r="Q7" s="61">
        <v>2165</v>
      </c>
      <c r="R7" s="58">
        <f t="shared" si="4"/>
        <v>100</v>
      </c>
      <c r="S7" s="584">
        <v>50353</v>
      </c>
      <c r="T7" s="245">
        <v>828000</v>
      </c>
      <c r="U7" s="62">
        <v>828000</v>
      </c>
      <c r="V7" s="61">
        <v>895584</v>
      </c>
      <c r="W7" s="58">
        <f t="shared" si="6"/>
        <v>108.16231884057972</v>
      </c>
      <c r="X7" s="244">
        <v>898796</v>
      </c>
    </row>
    <row r="8" spans="1:24" s="34" customFormat="1" x14ac:dyDescent="0.15">
      <c r="A8" s="63" t="s">
        <v>3</v>
      </c>
      <c r="B8" s="1237" t="s">
        <v>47</v>
      </c>
      <c r="C8" s="1237"/>
      <c r="D8" s="50" t="s">
        <v>25</v>
      </c>
      <c r="E8" s="56">
        <f t="shared" si="8"/>
        <v>2000</v>
      </c>
      <c r="F8" s="57">
        <f t="shared" si="8"/>
        <v>2500</v>
      </c>
      <c r="G8" s="57">
        <f t="shared" si="8"/>
        <v>2371</v>
      </c>
      <c r="H8" s="58">
        <f t="shared" si="0"/>
        <v>94.84</v>
      </c>
      <c r="I8" s="79">
        <f>SUM(N8,S8)</f>
        <v>2258</v>
      </c>
      <c r="J8" s="64">
        <v>2000</v>
      </c>
      <c r="K8" s="585">
        <v>2500</v>
      </c>
      <c r="L8" s="57">
        <v>2371</v>
      </c>
      <c r="M8" s="58">
        <f t="shared" si="2"/>
        <v>94.84</v>
      </c>
      <c r="N8" s="59">
        <v>2258</v>
      </c>
      <c r="O8" s="65"/>
      <c r="P8" s="57"/>
      <c r="Q8" s="57"/>
      <c r="R8" s="58">
        <v>0</v>
      </c>
      <c r="S8" s="79"/>
      <c r="T8" s="56"/>
      <c r="U8" s="65"/>
      <c r="V8" s="57"/>
      <c r="W8" s="58">
        <v>0</v>
      </c>
      <c r="X8" s="59"/>
    </row>
    <row r="9" spans="1:24" s="34" customFormat="1" ht="8.4" x14ac:dyDescent="0.2">
      <c r="A9" s="63" t="s">
        <v>4</v>
      </c>
      <c r="B9" s="66" t="s">
        <v>62</v>
      </c>
      <c r="C9" s="152"/>
      <c r="D9" s="50" t="s">
        <v>25</v>
      </c>
      <c r="E9" s="56">
        <f t="shared" si="8"/>
        <v>55386086</v>
      </c>
      <c r="F9" s="57">
        <f t="shared" si="8"/>
        <v>57972626</v>
      </c>
      <c r="G9" s="57">
        <f t="shared" si="8"/>
        <v>57940382</v>
      </c>
      <c r="H9" s="58">
        <f t="shared" si="0"/>
        <v>99.944380646134618</v>
      </c>
      <c r="I9" s="79">
        <f>SUM(N9,S9)</f>
        <v>50234346</v>
      </c>
      <c r="J9" s="64">
        <v>5477000</v>
      </c>
      <c r="K9" s="65">
        <v>6076647</v>
      </c>
      <c r="L9" s="57">
        <v>6052135</v>
      </c>
      <c r="M9" s="58">
        <f t="shared" si="2"/>
        <v>99.59661964896101</v>
      </c>
      <c r="N9" s="59">
        <v>5537000</v>
      </c>
      <c r="O9" s="65">
        <v>49909086</v>
      </c>
      <c r="P9" s="57">
        <v>51895979</v>
      </c>
      <c r="Q9" s="57">
        <v>51888247</v>
      </c>
      <c r="R9" s="58">
        <f t="shared" si="4"/>
        <v>99.985100965144142</v>
      </c>
      <c r="S9" s="79">
        <v>44697346</v>
      </c>
      <c r="T9" s="56"/>
      <c r="U9" s="65"/>
      <c r="V9" s="57"/>
      <c r="W9" s="58">
        <v>0</v>
      </c>
      <c r="X9" s="59"/>
    </row>
    <row r="10" spans="1:24" s="34" customFormat="1" x14ac:dyDescent="0.15">
      <c r="A10" s="49" t="s">
        <v>5</v>
      </c>
      <c r="B10" s="1236" t="s">
        <v>7</v>
      </c>
      <c r="C10" s="1236"/>
      <c r="D10" s="50" t="s">
        <v>25</v>
      </c>
      <c r="E10" s="68">
        <f t="shared" si="8"/>
        <v>0</v>
      </c>
      <c r="F10" s="69">
        <f t="shared" si="8"/>
        <v>114998</v>
      </c>
      <c r="G10" s="69">
        <f t="shared" si="8"/>
        <v>114998</v>
      </c>
      <c r="H10" s="4">
        <f t="shared" si="0"/>
        <v>100</v>
      </c>
      <c r="I10" s="586">
        <f>SUM(N10,S10)</f>
        <v>0</v>
      </c>
      <c r="J10" s="71">
        <v>0</v>
      </c>
      <c r="K10" s="72">
        <v>114998</v>
      </c>
      <c r="L10" s="69">
        <v>114998</v>
      </c>
      <c r="M10" s="4">
        <f t="shared" si="2"/>
        <v>100</v>
      </c>
      <c r="N10" s="70"/>
      <c r="O10" s="72"/>
      <c r="P10" s="69"/>
      <c r="Q10" s="69"/>
      <c r="R10" s="4">
        <v>0</v>
      </c>
      <c r="S10" s="586"/>
      <c r="T10" s="68"/>
      <c r="U10" s="72"/>
      <c r="V10" s="69"/>
      <c r="W10" s="4">
        <v>0</v>
      </c>
      <c r="X10" s="70"/>
    </row>
    <row r="11" spans="1:24" s="34" customFormat="1" x14ac:dyDescent="0.15">
      <c r="A11" s="49" t="s">
        <v>6</v>
      </c>
      <c r="B11" s="1236" t="s">
        <v>9</v>
      </c>
      <c r="C11" s="1236"/>
      <c r="D11" s="50" t="s">
        <v>25</v>
      </c>
      <c r="E11" s="51">
        <f>SUM(E12:E32)</f>
        <v>60389086</v>
      </c>
      <c r="F11" s="51">
        <f t="shared" ref="F11:G11" si="9">SUM(F12:F32)</f>
        <v>63532995</v>
      </c>
      <c r="G11" s="51">
        <f t="shared" si="9"/>
        <v>63463263</v>
      </c>
      <c r="H11" s="4">
        <f t="shared" si="0"/>
        <v>99.890242857274401</v>
      </c>
      <c r="I11" s="582">
        <f>SUM(I12:I32)</f>
        <v>56013115.229999997</v>
      </c>
      <c r="J11" s="51">
        <f>SUM(J12:J32)</f>
        <v>10480000</v>
      </c>
      <c r="K11" s="54">
        <f t="shared" ref="K11" si="10">SUM(K12:K32)</f>
        <v>11634851</v>
      </c>
      <c r="L11" s="52">
        <f>SUM(L12:L32)</f>
        <v>11572851</v>
      </c>
      <c r="M11" s="4">
        <f t="shared" si="2"/>
        <v>99.467118229532986</v>
      </c>
      <c r="N11" s="53">
        <f>SUM(N12:N32)</f>
        <v>11265416.229999999</v>
      </c>
      <c r="O11" s="54">
        <f>SUM(O12:O32)</f>
        <v>49909086</v>
      </c>
      <c r="P11" s="54">
        <f t="shared" ref="P11" si="11">SUM(P12:P32)</f>
        <v>51898144</v>
      </c>
      <c r="Q11" s="52">
        <f>SUM(Q12:Q31)</f>
        <v>51890412</v>
      </c>
      <c r="R11" s="4">
        <f t="shared" si="4"/>
        <v>99.98510158667716</v>
      </c>
      <c r="S11" s="582">
        <f>SUM(S12:S32)</f>
        <v>44747699</v>
      </c>
      <c r="T11" s="51">
        <f>SUM(T12:T32)</f>
        <v>705000</v>
      </c>
      <c r="U11" s="54">
        <f t="shared" ref="U11" si="12">SUM(U12:U32)</f>
        <v>705000</v>
      </c>
      <c r="V11" s="52">
        <f>SUM(V12:V31)</f>
        <v>653013</v>
      </c>
      <c r="W11" s="4">
        <f t="shared" si="6"/>
        <v>92.625957446808513</v>
      </c>
      <c r="X11" s="53">
        <f t="shared" ref="X11" si="13">SUM(X12:X32)</f>
        <v>664336</v>
      </c>
    </row>
    <row r="12" spans="1:24" s="34" customFormat="1" x14ac:dyDescent="0.15">
      <c r="A12" s="73" t="s">
        <v>8</v>
      </c>
      <c r="B12" s="1238" t="s">
        <v>28</v>
      </c>
      <c r="C12" s="1238"/>
      <c r="D12" s="50" t="s">
        <v>25</v>
      </c>
      <c r="E12" s="56">
        <f>SUM(J12,O12)</f>
        <v>5238057</v>
      </c>
      <c r="F12" s="57">
        <f t="shared" ref="E12:I28" si="14">SUM(K12,P12)</f>
        <v>5757307</v>
      </c>
      <c r="G12" s="57">
        <f t="shared" si="14"/>
        <v>5754766</v>
      </c>
      <c r="H12" s="58">
        <f t="shared" si="0"/>
        <v>99.955864781919743</v>
      </c>
      <c r="I12" s="79">
        <f t="shared" si="14"/>
        <v>5800327</v>
      </c>
      <c r="J12" s="74">
        <v>5068007</v>
      </c>
      <c r="K12" s="180">
        <v>5617707</v>
      </c>
      <c r="L12" s="75">
        <v>5615264</v>
      </c>
      <c r="M12" s="58">
        <f t="shared" si="2"/>
        <v>99.956512505903206</v>
      </c>
      <c r="N12" s="248">
        <v>5619566</v>
      </c>
      <c r="O12" s="180">
        <v>170050</v>
      </c>
      <c r="P12" s="180">
        <v>139600</v>
      </c>
      <c r="Q12" s="75">
        <v>139502</v>
      </c>
      <c r="R12" s="58">
        <f t="shared" si="4"/>
        <v>99.929799426934096</v>
      </c>
      <c r="S12" s="587">
        <v>180761</v>
      </c>
      <c r="T12" s="247">
        <v>39917</v>
      </c>
      <c r="U12" s="180">
        <v>51917</v>
      </c>
      <c r="V12" s="75">
        <v>51483</v>
      </c>
      <c r="W12" s="58">
        <f t="shared" si="6"/>
        <v>99.164050311073453</v>
      </c>
      <c r="X12" s="248">
        <v>65188</v>
      </c>
    </row>
    <row r="13" spans="1:24" s="34" customFormat="1" x14ac:dyDescent="0.15">
      <c r="A13" s="55" t="s">
        <v>10</v>
      </c>
      <c r="B13" s="1233" t="s">
        <v>29</v>
      </c>
      <c r="C13" s="1233"/>
      <c r="D13" s="50" t="s">
        <v>25</v>
      </c>
      <c r="E13" s="56">
        <f t="shared" si="14"/>
        <v>2636000</v>
      </c>
      <c r="F13" s="57">
        <f t="shared" si="14"/>
        <v>2236000</v>
      </c>
      <c r="G13" s="57">
        <f t="shared" si="14"/>
        <v>2188654</v>
      </c>
      <c r="H13" s="58">
        <f t="shared" si="0"/>
        <v>97.882558139534879</v>
      </c>
      <c r="I13" s="79">
        <f t="shared" si="14"/>
        <v>2057532.13</v>
      </c>
      <c r="J13" s="74">
        <v>2636000</v>
      </c>
      <c r="K13" s="588">
        <v>2236000</v>
      </c>
      <c r="L13" s="57">
        <v>2188654</v>
      </c>
      <c r="M13" s="58">
        <f t="shared" si="2"/>
        <v>97.882558139534879</v>
      </c>
      <c r="N13" s="59">
        <v>2057532.13</v>
      </c>
      <c r="O13" s="65"/>
      <c r="P13" s="65"/>
      <c r="Q13" s="57"/>
      <c r="R13" s="58">
        <v>0</v>
      </c>
      <c r="S13" s="79"/>
      <c r="T13" s="56">
        <v>354000</v>
      </c>
      <c r="U13" s="65">
        <v>342000</v>
      </c>
      <c r="V13" s="57">
        <v>298151</v>
      </c>
      <c r="W13" s="58">
        <f t="shared" si="6"/>
        <v>87.178654970760235</v>
      </c>
      <c r="X13" s="59">
        <v>279147</v>
      </c>
    </row>
    <row r="14" spans="1:24" s="34" customFormat="1" x14ac:dyDescent="0.15">
      <c r="A14" s="55" t="s">
        <v>11</v>
      </c>
      <c r="B14" s="151" t="s">
        <v>63</v>
      </c>
      <c r="C14" s="151"/>
      <c r="D14" s="50" t="s">
        <v>25</v>
      </c>
      <c r="E14" s="56">
        <f t="shared" si="14"/>
        <v>0</v>
      </c>
      <c r="F14" s="57">
        <f t="shared" si="14"/>
        <v>-51300</v>
      </c>
      <c r="G14" s="57">
        <f t="shared" si="14"/>
        <v>-51300</v>
      </c>
      <c r="H14" s="58">
        <f t="shared" si="0"/>
        <v>100</v>
      </c>
      <c r="I14" s="79">
        <f t="shared" si="14"/>
        <v>-10600</v>
      </c>
      <c r="J14" s="74"/>
      <c r="K14" s="588">
        <v>-51300</v>
      </c>
      <c r="L14" s="57">
        <v>-51300</v>
      </c>
      <c r="M14" s="58">
        <f t="shared" si="2"/>
        <v>100</v>
      </c>
      <c r="N14" s="246">
        <v>-10600</v>
      </c>
      <c r="O14" s="290"/>
      <c r="P14" s="290"/>
      <c r="Q14" s="57"/>
      <c r="R14" s="58">
        <v>0</v>
      </c>
      <c r="S14" s="589"/>
      <c r="T14" s="251"/>
      <c r="U14" s="290"/>
      <c r="V14" s="57"/>
      <c r="W14" s="58">
        <v>0</v>
      </c>
      <c r="X14" s="246"/>
    </row>
    <row r="15" spans="1:24" s="34" customFormat="1" x14ac:dyDescent="0.15">
      <c r="A15" s="55" t="s">
        <v>12</v>
      </c>
      <c r="B15" s="1233" t="s">
        <v>64</v>
      </c>
      <c r="C15" s="1233"/>
      <c r="D15" s="50" t="s">
        <v>25</v>
      </c>
      <c r="E15" s="590">
        <f t="shared" si="14"/>
        <v>656000</v>
      </c>
      <c r="F15" s="591">
        <f t="shared" si="14"/>
        <v>1216000</v>
      </c>
      <c r="G15" s="591">
        <f t="shared" si="14"/>
        <v>1213977</v>
      </c>
      <c r="H15" s="592">
        <f t="shared" si="0"/>
        <v>99.833634868421058</v>
      </c>
      <c r="I15" s="593">
        <f t="shared" si="14"/>
        <v>811915</v>
      </c>
      <c r="J15" s="594">
        <v>656000</v>
      </c>
      <c r="K15" s="595">
        <v>1216000</v>
      </c>
      <c r="L15" s="591">
        <v>1213977</v>
      </c>
      <c r="M15" s="592">
        <f t="shared" si="2"/>
        <v>99.833634868421058</v>
      </c>
      <c r="N15" s="596">
        <v>811915</v>
      </c>
      <c r="O15" s="597"/>
      <c r="P15" s="597"/>
      <c r="Q15" s="591"/>
      <c r="R15" s="592">
        <v>0</v>
      </c>
      <c r="S15" s="593"/>
      <c r="T15" s="590">
        <v>57000</v>
      </c>
      <c r="U15" s="597">
        <v>87000</v>
      </c>
      <c r="V15" s="591">
        <v>86897</v>
      </c>
      <c r="W15" s="592">
        <f t="shared" si="6"/>
        <v>99.881609195402305</v>
      </c>
      <c r="X15" s="596">
        <v>83197</v>
      </c>
    </row>
    <row r="16" spans="1:24" s="34" customFormat="1" x14ac:dyDescent="0.15">
      <c r="A16" s="55" t="s">
        <v>13</v>
      </c>
      <c r="B16" s="1233" t="s">
        <v>30</v>
      </c>
      <c r="C16" s="1233"/>
      <c r="D16" s="50" t="s">
        <v>25</v>
      </c>
      <c r="E16" s="56">
        <f t="shared" si="14"/>
        <v>128000</v>
      </c>
      <c r="F16" s="57">
        <f t="shared" si="14"/>
        <v>125387</v>
      </c>
      <c r="G16" s="57">
        <f t="shared" si="14"/>
        <v>125387</v>
      </c>
      <c r="H16" s="58">
        <f t="shared" si="0"/>
        <v>100</v>
      </c>
      <c r="I16" s="79">
        <f t="shared" si="14"/>
        <v>123892</v>
      </c>
      <c r="J16" s="74">
        <v>8000</v>
      </c>
      <c r="K16" s="588">
        <v>10004</v>
      </c>
      <c r="L16" s="57">
        <v>10004</v>
      </c>
      <c r="M16" s="58">
        <f t="shared" si="2"/>
        <v>100</v>
      </c>
      <c r="N16" s="59">
        <v>6275</v>
      </c>
      <c r="O16" s="65">
        <v>120000</v>
      </c>
      <c r="P16" s="65">
        <v>115383</v>
      </c>
      <c r="Q16" s="57">
        <v>115383</v>
      </c>
      <c r="R16" s="58">
        <f t="shared" si="4"/>
        <v>100</v>
      </c>
      <c r="S16" s="79">
        <v>117617</v>
      </c>
      <c r="T16" s="56"/>
      <c r="U16" s="65"/>
      <c r="V16" s="57"/>
      <c r="W16" s="58">
        <v>0</v>
      </c>
      <c r="X16" s="59"/>
    </row>
    <row r="17" spans="1:24" s="34" customFormat="1" x14ac:dyDescent="0.15">
      <c r="A17" s="55" t="s">
        <v>14</v>
      </c>
      <c r="B17" s="151" t="s">
        <v>48</v>
      </c>
      <c r="C17" s="151"/>
      <c r="D17" s="50" t="s">
        <v>25</v>
      </c>
      <c r="E17" s="56">
        <f t="shared" si="14"/>
        <v>8000</v>
      </c>
      <c r="F17" s="57">
        <f t="shared" si="14"/>
        <v>8900</v>
      </c>
      <c r="G17" s="57">
        <f t="shared" si="14"/>
        <v>8837</v>
      </c>
      <c r="H17" s="58">
        <f t="shared" si="0"/>
        <v>99.292134831460672</v>
      </c>
      <c r="I17" s="79">
        <f t="shared" si="14"/>
        <v>8224</v>
      </c>
      <c r="J17" s="74">
        <v>8000</v>
      </c>
      <c r="K17" s="588">
        <v>8900</v>
      </c>
      <c r="L17" s="57">
        <v>8837</v>
      </c>
      <c r="M17" s="58">
        <f t="shared" si="2"/>
        <v>99.292134831460672</v>
      </c>
      <c r="N17" s="59">
        <v>8224</v>
      </c>
      <c r="O17" s="65"/>
      <c r="P17" s="65"/>
      <c r="Q17" s="57"/>
      <c r="R17" s="58">
        <v>0</v>
      </c>
      <c r="S17" s="79"/>
      <c r="T17" s="56"/>
      <c r="U17" s="65"/>
      <c r="V17" s="57"/>
      <c r="W17" s="58">
        <v>0</v>
      </c>
      <c r="X17" s="59"/>
    </row>
    <row r="18" spans="1:24" s="34" customFormat="1" x14ac:dyDescent="0.15">
      <c r="A18" s="55" t="s">
        <v>15</v>
      </c>
      <c r="B18" s="1233" t="s">
        <v>31</v>
      </c>
      <c r="C18" s="1233"/>
      <c r="D18" s="50" t="s">
        <v>25</v>
      </c>
      <c r="E18" s="56">
        <f t="shared" si="14"/>
        <v>749200</v>
      </c>
      <c r="F18" s="57">
        <f t="shared" si="14"/>
        <v>668526</v>
      </c>
      <c r="G18" s="57">
        <f t="shared" si="14"/>
        <v>667812</v>
      </c>
      <c r="H18" s="58">
        <f t="shared" si="0"/>
        <v>99.893197871137403</v>
      </c>
      <c r="I18" s="79">
        <f t="shared" si="14"/>
        <v>768069</v>
      </c>
      <c r="J18" s="74">
        <v>649200</v>
      </c>
      <c r="K18" s="588">
        <v>559575</v>
      </c>
      <c r="L18" s="57">
        <v>558862</v>
      </c>
      <c r="M18" s="58">
        <f t="shared" si="2"/>
        <v>99.872581870169327</v>
      </c>
      <c r="N18" s="59">
        <v>664510</v>
      </c>
      <c r="O18" s="65">
        <v>100000</v>
      </c>
      <c r="P18" s="65">
        <v>108951</v>
      </c>
      <c r="Q18" s="57">
        <v>108950</v>
      </c>
      <c r="R18" s="58">
        <f t="shared" si="4"/>
        <v>99.999082156198654</v>
      </c>
      <c r="S18" s="79">
        <v>103559</v>
      </c>
      <c r="T18" s="56">
        <v>65000</v>
      </c>
      <c r="U18" s="65">
        <v>37000</v>
      </c>
      <c r="V18" s="57">
        <v>36603</v>
      </c>
      <c r="W18" s="58">
        <f t="shared" si="6"/>
        <v>98.927027027027023</v>
      </c>
      <c r="X18" s="59">
        <v>45760</v>
      </c>
    </row>
    <row r="19" spans="1:24" s="37" customFormat="1" x14ac:dyDescent="0.15">
      <c r="A19" s="55" t="s">
        <v>16</v>
      </c>
      <c r="B19" s="1233" t="s">
        <v>32</v>
      </c>
      <c r="C19" s="1233"/>
      <c r="D19" s="50" t="s">
        <v>25</v>
      </c>
      <c r="E19" s="590">
        <f t="shared" si="14"/>
        <v>36551910</v>
      </c>
      <c r="F19" s="591">
        <f t="shared" si="14"/>
        <v>38087773</v>
      </c>
      <c r="G19" s="591">
        <f t="shared" si="14"/>
        <v>38077681</v>
      </c>
      <c r="H19" s="592">
        <f t="shared" si="0"/>
        <v>99.973503307741311</v>
      </c>
      <c r="I19" s="593">
        <f t="shared" si="14"/>
        <v>32845536</v>
      </c>
      <c r="J19" s="598">
        <v>268510</v>
      </c>
      <c r="K19" s="599">
        <v>309810</v>
      </c>
      <c r="L19" s="591">
        <v>300800</v>
      </c>
      <c r="M19" s="592">
        <f t="shared" si="2"/>
        <v>97.091765921048392</v>
      </c>
      <c r="N19" s="596">
        <v>292122</v>
      </c>
      <c r="O19" s="597">
        <v>36283400</v>
      </c>
      <c r="P19" s="591">
        <v>37777963</v>
      </c>
      <c r="Q19" s="591">
        <v>37776881</v>
      </c>
      <c r="R19" s="592">
        <f t="shared" si="4"/>
        <v>99.997135896395477</v>
      </c>
      <c r="S19" s="593">
        <v>32553414</v>
      </c>
      <c r="T19" s="600">
        <v>72000</v>
      </c>
      <c r="U19" s="601">
        <v>69036</v>
      </c>
      <c r="V19" s="602">
        <v>68748</v>
      </c>
      <c r="W19" s="592">
        <f t="shared" si="6"/>
        <v>99.582826351468796</v>
      </c>
      <c r="X19" s="603">
        <v>78838</v>
      </c>
    </row>
    <row r="20" spans="1:24" s="34" customFormat="1" x14ac:dyDescent="0.15">
      <c r="A20" s="55" t="s">
        <v>17</v>
      </c>
      <c r="B20" s="1233" t="s">
        <v>49</v>
      </c>
      <c r="C20" s="1233"/>
      <c r="D20" s="50" t="s">
        <v>25</v>
      </c>
      <c r="E20" s="590">
        <f t="shared" si="14"/>
        <v>12450836</v>
      </c>
      <c r="F20" s="591">
        <f t="shared" si="14"/>
        <v>12884014</v>
      </c>
      <c r="G20" s="591">
        <f t="shared" si="14"/>
        <v>12878299</v>
      </c>
      <c r="H20" s="592">
        <f t="shared" si="0"/>
        <v>99.955642705759246</v>
      </c>
      <c r="I20" s="593">
        <f t="shared" si="14"/>
        <v>11139455</v>
      </c>
      <c r="J20" s="594">
        <v>24200</v>
      </c>
      <c r="K20" s="595">
        <v>42500</v>
      </c>
      <c r="L20" s="591">
        <v>42399</v>
      </c>
      <c r="M20" s="592">
        <f t="shared" si="2"/>
        <v>99.762352941176474</v>
      </c>
      <c r="N20" s="596">
        <v>58410</v>
      </c>
      <c r="O20" s="597">
        <v>12426636</v>
      </c>
      <c r="P20" s="591">
        <v>12841514</v>
      </c>
      <c r="Q20" s="591">
        <v>12835900</v>
      </c>
      <c r="R20" s="592">
        <f t="shared" si="4"/>
        <v>99.956282413428823</v>
      </c>
      <c r="S20" s="593">
        <v>11081045</v>
      </c>
      <c r="T20" s="590"/>
      <c r="U20" s="597">
        <v>911</v>
      </c>
      <c r="V20" s="591">
        <v>897</v>
      </c>
      <c r="W20" s="592">
        <f t="shared" si="6"/>
        <v>98.463227222832046</v>
      </c>
      <c r="X20" s="596">
        <v>227</v>
      </c>
    </row>
    <row r="21" spans="1:24" s="34" customFormat="1" x14ac:dyDescent="0.15">
      <c r="A21" s="55" t="s">
        <v>18</v>
      </c>
      <c r="B21" s="1233" t="s">
        <v>50</v>
      </c>
      <c r="C21" s="1233"/>
      <c r="D21" s="50" t="s">
        <v>25</v>
      </c>
      <c r="E21" s="590">
        <f t="shared" si="14"/>
        <v>780500</v>
      </c>
      <c r="F21" s="591">
        <f t="shared" si="14"/>
        <v>818960</v>
      </c>
      <c r="G21" s="591">
        <f t="shared" si="14"/>
        <v>817951</v>
      </c>
      <c r="H21" s="592">
        <f t="shared" si="0"/>
        <v>99.876794959460781</v>
      </c>
      <c r="I21" s="593">
        <f t="shared" si="14"/>
        <v>708484.1</v>
      </c>
      <c r="J21" s="594">
        <v>13500</v>
      </c>
      <c r="K21" s="595">
        <v>10900</v>
      </c>
      <c r="L21" s="591">
        <v>10828</v>
      </c>
      <c r="M21" s="592">
        <f t="shared" si="2"/>
        <v>99.339449541284409</v>
      </c>
      <c r="N21" s="596">
        <v>12571.1</v>
      </c>
      <c r="O21" s="597">
        <v>767000</v>
      </c>
      <c r="P21" s="591">
        <v>808060</v>
      </c>
      <c r="Q21" s="591">
        <v>807123</v>
      </c>
      <c r="R21" s="592">
        <f t="shared" si="4"/>
        <v>99.884043264114055</v>
      </c>
      <c r="S21" s="593">
        <v>695913</v>
      </c>
      <c r="T21" s="590"/>
      <c r="U21" s="597">
        <v>53</v>
      </c>
      <c r="V21" s="591">
        <v>52</v>
      </c>
      <c r="W21" s="592">
        <f t="shared" si="6"/>
        <v>98.113207547169807</v>
      </c>
      <c r="X21" s="596">
        <v>13</v>
      </c>
    </row>
    <row r="22" spans="1:24" s="34" customFormat="1" x14ac:dyDescent="0.15">
      <c r="A22" s="55" t="s">
        <v>19</v>
      </c>
      <c r="B22" s="1233" t="s">
        <v>65</v>
      </c>
      <c r="C22" s="1233"/>
      <c r="D22" s="50" t="s">
        <v>25</v>
      </c>
      <c r="E22" s="56">
        <f t="shared" si="14"/>
        <v>0</v>
      </c>
      <c r="F22" s="57">
        <f t="shared" si="14"/>
        <v>0</v>
      </c>
      <c r="G22" s="57">
        <f t="shared" si="14"/>
        <v>0</v>
      </c>
      <c r="H22" s="58">
        <v>0</v>
      </c>
      <c r="I22" s="79">
        <f t="shared" si="14"/>
        <v>0</v>
      </c>
      <c r="J22" s="74"/>
      <c r="K22" s="588"/>
      <c r="L22" s="57"/>
      <c r="M22" s="58">
        <v>0</v>
      </c>
      <c r="N22" s="59"/>
      <c r="O22" s="65"/>
      <c r="P22" s="57"/>
      <c r="Q22" s="57"/>
      <c r="R22" s="58">
        <v>0</v>
      </c>
      <c r="S22" s="79"/>
      <c r="T22" s="56"/>
      <c r="U22" s="65"/>
      <c r="V22" s="57"/>
      <c r="W22" s="58">
        <v>0</v>
      </c>
      <c r="X22" s="59"/>
    </row>
    <row r="23" spans="1:24" s="34" customFormat="1" x14ac:dyDescent="0.15">
      <c r="A23" s="55" t="s">
        <v>20</v>
      </c>
      <c r="B23" s="151" t="s">
        <v>66</v>
      </c>
      <c r="C23" s="151"/>
      <c r="D23" s="50" t="s">
        <v>25</v>
      </c>
      <c r="E23" s="56">
        <f t="shared" si="14"/>
        <v>0</v>
      </c>
      <c r="F23" s="57">
        <f t="shared" si="14"/>
        <v>0</v>
      </c>
      <c r="G23" s="57">
        <f t="shared" si="14"/>
        <v>0</v>
      </c>
      <c r="H23" s="58">
        <v>0</v>
      </c>
      <c r="I23" s="79">
        <f t="shared" si="14"/>
        <v>0</v>
      </c>
      <c r="J23" s="74"/>
      <c r="K23" s="588"/>
      <c r="L23" s="57"/>
      <c r="M23" s="58">
        <v>0</v>
      </c>
      <c r="N23" s="59"/>
      <c r="O23" s="65"/>
      <c r="P23" s="57"/>
      <c r="Q23" s="57"/>
      <c r="R23" s="58">
        <v>0</v>
      </c>
      <c r="S23" s="79"/>
      <c r="T23" s="56"/>
      <c r="U23" s="65"/>
      <c r="V23" s="57"/>
      <c r="W23" s="58">
        <v>0</v>
      </c>
      <c r="X23" s="59"/>
    </row>
    <row r="24" spans="1:24" s="34" customFormat="1" x14ac:dyDescent="0.15">
      <c r="A24" s="55" t="s">
        <v>21</v>
      </c>
      <c r="B24" s="151" t="s">
        <v>73</v>
      </c>
      <c r="C24" s="151"/>
      <c r="D24" s="50" t="s">
        <v>25</v>
      </c>
      <c r="E24" s="56">
        <f t="shared" si="14"/>
        <v>0</v>
      </c>
      <c r="F24" s="57">
        <f t="shared" si="14"/>
        <v>0</v>
      </c>
      <c r="G24" s="57">
        <f t="shared" si="14"/>
        <v>0</v>
      </c>
      <c r="H24" s="58">
        <v>0</v>
      </c>
      <c r="I24" s="79">
        <f t="shared" si="14"/>
        <v>0</v>
      </c>
      <c r="J24" s="74"/>
      <c r="K24" s="588"/>
      <c r="L24" s="57"/>
      <c r="M24" s="58">
        <v>0</v>
      </c>
      <c r="N24" s="59"/>
      <c r="O24" s="65"/>
      <c r="P24" s="57"/>
      <c r="Q24" s="57"/>
      <c r="R24" s="58">
        <v>0</v>
      </c>
      <c r="S24" s="79"/>
      <c r="T24" s="56"/>
      <c r="U24" s="65"/>
      <c r="V24" s="57"/>
      <c r="W24" s="58">
        <v>0</v>
      </c>
      <c r="X24" s="59"/>
    </row>
    <row r="25" spans="1:24" s="34" customFormat="1" x14ac:dyDescent="0.15">
      <c r="A25" s="73" t="s">
        <v>22</v>
      </c>
      <c r="B25" s="154" t="s">
        <v>68</v>
      </c>
      <c r="C25" s="154"/>
      <c r="D25" s="50" t="s">
        <v>25</v>
      </c>
      <c r="E25" s="56">
        <f t="shared" si="14"/>
        <v>25000</v>
      </c>
      <c r="F25" s="57">
        <f t="shared" si="14"/>
        <v>19600</v>
      </c>
      <c r="G25" s="57">
        <f t="shared" si="14"/>
        <v>19550</v>
      </c>
      <c r="H25" s="58">
        <f t="shared" si="0"/>
        <v>99.744897959183675</v>
      </c>
      <c r="I25" s="79">
        <f t="shared" si="14"/>
        <v>27285</v>
      </c>
      <c r="J25" s="74">
        <v>25000</v>
      </c>
      <c r="K25" s="588">
        <v>19600</v>
      </c>
      <c r="L25" s="75">
        <v>19550</v>
      </c>
      <c r="M25" s="58">
        <f t="shared" si="2"/>
        <v>99.744897959183675</v>
      </c>
      <c r="N25" s="248">
        <v>27285</v>
      </c>
      <c r="O25" s="180"/>
      <c r="P25" s="75"/>
      <c r="Q25" s="75"/>
      <c r="R25" s="58">
        <v>0</v>
      </c>
      <c r="S25" s="587"/>
      <c r="T25" s="247"/>
      <c r="U25" s="180"/>
      <c r="V25" s="75"/>
      <c r="W25" s="58">
        <v>0</v>
      </c>
      <c r="X25" s="248"/>
    </row>
    <row r="26" spans="1:24" s="38" customFormat="1" x14ac:dyDescent="0.15">
      <c r="A26" s="55" t="s">
        <v>23</v>
      </c>
      <c r="B26" s="1233" t="s">
        <v>69</v>
      </c>
      <c r="C26" s="1233"/>
      <c r="D26" s="50" t="s">
        <v>25</v>
      </c>
      <c r="E26" s="590">
        <f t="shared" si="14"/>
        <v>1044983</v>
      </c>
      <c r="F26" s="591">
        <f t="shared" si="14"/>
        <v>1095253</v>
      </c>
      <c r="G26" s="591">
        <f t="shared" si="14"/>
        <v>1095253</v>
      </c>
      <c r="H26" s="604">
        <f t="shared" si="0"/>
        <v>100</v>
      </c>
      <c r="I26" s="593">
        <f t="shared" si="14"/>
        <v>1060403</v>
      </c>
      <c r="J26" s="594">
        <v>1044983</v>
      </c>
      <c r="K26" s="597">
        <v>1095253</v>
      </c>
      <c r="L26" s="591">
        <v>1095253</v>
      </c>
      <c r="M26" s="592">
        <f t="shared" si="2"/>
        <v>100</v>
      </c>
      <c r="N26" s="596">
        <v>1060403</v>
      </c>
      <c r="O26" s="597"/>
      <c r="P26" s="591"/>
      <c r="Q26" s="591"/>
      <c r="R26" s="592">
        <v>0</v>
      </c>
      <c r="S26" s="593"/>
      <c r="T26" s="605">
        <v>117083</v>
      </c>
      <c r="U26" s="606">
        <v>117083</v>
      </c>
      <c r="V26" s="607">
        <v>110182</v>
      </c>
      <c r="W26" s="592">
        <f>V26/U26*100</f>
        <v>94.105890692927247</v>
      </c>
      <c r="X26" s="608">
        <v>108945</v>
      </c>
    </row>
    <row r="27" spans="1:24" s="39" customFormat="1" x14ac:dyDescent="0.15">
      <c r="A27" s="55" t="s">
        <v>45</v>
      </c>
      <c r="B27" s="151" t="s">
        <v>70</v>
      </c>
      <c r="C27" s="151"/>
      <c r="D27" s="50" t="s">
        <v>25</v>
      </c>
      <c r="E27" s="56">
        <f t="shared" si="14"/>
        <v>0</v>
      </c>
      <c r="F27" s="57">
        <f t="shared" si="14"/>
        <v>0</v>
      </c>
      <c r="G27" s="57">
        <f t="shared" si="14"/>
        <v>0</v>
      </c>
      <c r="H27" s="81">
        <v>0</v>
      </c>
      <c r="I27" s="79">
        <f t="shared" si="14"/>
        <v>0</v>
      </c>
      <c r="J27" s="74"/>
      <c r="K27" s="290"/>
      <c r="L27" s="82"/>
      <c r="M27" s="58">
        <v>0</v>
      </c>
      <c r="N27" s="246"/>
      <c r="O27" s="290"/>
      <c r="P27" s="82"/>
      <c r="Q27" s="82"/>
      <c r="R27" s="58">
        <v>0</v>
      </c>
      <c r="S27" s="589"/>
      <c r="T27" s="252"/>
      <c r="U27" s="609"/>
      <c r="V27" s="83"/>
      <c r="W27" s="58">
        <v>0</v>
      </c>
      <c r="X27" s="253"/>
    </row>
    <row r="28" spans="1:24" s="39" customFormat="1" x14ac:dyDescent="0.15">
      <c r="A28" s="55" t="s">
        <v>51</v>
      </c>
      <c r="B28" s="151" t="s">
        <v>74</v>
      </c>
      <c r="C28" s="151"/>
      <c r="D28" s="50" t="s">
        <v>25</v>
      </c>
      <c r="E28" s="590">
        <f t="shared" si="14"/>
        <v>119000</v>
      </c>
      <c r="F28" s="591">
        <f t="shared" si="14"/>
        <v>644173</v>
      </c>
      <c r="G28" s="591">
        <f t="shared" si="14"/>
        <v>644121</v>
      </c>
      <c r="H28" s="604">
        <f t="shared" si="0"/>
        <v>99.991927634346681</v>
      </c>
      <c r="I28" s="593">
        <f t="shared" si="14"/>
        <v>612709</v>
      </c>
      <c r="J28" s="594">
        <v>77000</v>
      </c>
      <c r="K28" s="595">
        <v>537500</v>
      </c>
      <c r="L28" s="591">
        <v>537448</v>
      </c>
      <c r="M28" s="592">
        <f t="shared" si="2"/>
        <v>99.990325581395339</v>
      </c>
      <c r="N28" s="596">
        <v>597319</v>
      </c>
      <c r="O28" s="597">
        <v>42000</v>
      </c>
      <c r="P28" s="591">
        <v>106673</v>
      </c>
      <c r="Q28" s="591">
        <v>106673</v>
      </c>
      <c r="R28" s="592">
        <f t="shared" si="4"/>
        <v>100</v>
      </c>
      <c r="S28" s="593">
        <v>15390</v>
      </c>
      <c r="T28" s="610"/>
      <c r="U28" s="611"/>
      <c r="V28" s="612"/>
      <c r="W28" s="592">
        <v>0</v>
      </c>
      <c r="X28" s="608">
        <v>3021</v>
      </c>
    </row>
    <row r="29" spans="1:24" s="38" customFormat="1" x14ac:dyDescent="0.15">
      <c r="A29" s="55" t="s">
        <v>52</v>
      </c>
      <c r="B29" s="1233" t="s">
        <v>67</v>
      </c>
      <c r="C29" s="1233"/>
      <c r="D29" s="50" t="s">
        <v>25</v>
      </c>
      <c r="E29" s="56">
        <f t="shared" ref="E29:G31" si="15">SUM(J29,O29)</f>
        <v>1600</v>
      </c>
      <c r="F29" s="57">
        <f t="shared" si="15"/>
        <v>21902</v>
      </c>
      <c r="G29" s="57">
        <f t="shared" si="15"/>
        <v>21825</v>
      </c>
      <c r="H29" s="81">
        <f t="shared" si="0"/>
        <v>99.648433932974157</v>
      </c>
      <c r="I29" s="79">
        <f t="shared" ref="I29:I32" si="16">SUM(N29,S29)</f>
        <v>59455</v>
      </c>
      <c r="J29" s="74">
        <v>1600</v>
      </c>
      <c r="K29" s="588">
        <v>21902</v>
      </c>
      <c r="L29" s="82">
        <v>21825</v>
      </c>
      <c r="M29" s="58">
        <f t="shared" si="2"/>
        <v>99.648433932974157</v>
      </c>
      <c r="N29" s="246">
        <v>59455</v>
      </c>
      <c r="O29" s="290"/>
      <c r="P29" s="82"/>
      <c r="Q29" s="82"/>
      <c r="R29" s="58">
        <v>0</v>
      </c>
      <c r="S29" s="589"/>
      <c r="T29" s="252"/>
      <c r="U29" s="609"/>
      <c r="V29" s="83"/>
      <c r="W29" s="58">
        <v>0</v>
      </c>
      <c r="X29" s="613"/>
    </row>
    <row r="30" spans="1:24" s="34" customFormat="1" x14ac:dyDescent="0.15">
      <c r="A30" s="55" t="s">
        <v>54</v>
      </c>
      <c r="B30" s="151" t="s">
        <v>53</v>
      </c>
      <c r="C30" s="151"/>
      <c r="D30" s="50" t="s">
        <v>25</v>
      </c>
      <c r="E30" s="56">
        <f t="shared" si="15"/>
        <v>0</v>
      </c>
      <c r="F30" s="57">
        <f t="shared" si="15"/>
        <v>0</v>
      </c>
      <c r="G30" s="57">
        <f t="shared" si="15"/>
        <v>0</v>
      </c>
      <c r="H30" s="81">
        <v>0</v>
      </c>
      <c r="I30" s="79">
        <f t="shared" si="16"/>
        <v>0</v>
      </c>
      <c r="J30" s="74"/>
      <c r="K30" s="290"/>
      <c r="L30" s="82"/>
      <c r="M30" s="58">
        <v>0</v>
      </c>
      <c r="N30" s="246"/>
      <c r="O30" s="290"/>
      <c r="P30" s="82"/>
      <c r="Q30" s="82"/>
      <c r="R30" s="58">
        <v>0</v>
      </c>
      <c r="S30" s="589"/>
      <c r="T30" s="252"/>
      <c r="U30" s="609"/>
      <c r="V30" s="83"/>
      <c r="W30" s="58">
        <v>0</v>
      </c>
      <c r="X30" s="613"/>
    </row>
    <row r="31" spans="1:24" s="5" customFormat="1" ht="8.4" x14ac:dyDescent="0.2">
      <c r="A31" s="55" t="s">
        <v>55</v>
      </c>
      <c r="B31" s="66" t="s">
        <v>71</v>
      </c>
      <c r="C31" s="66"/>
      <c r="D31" s="50" t="s">
        <v>25</v>
      </c>
      <c r="E31" s="56">
        <f t="shared" si="15"/>
        <v>0</v>
      </c>
      <c r="F31" s="57">
        <f t="shared" si="15"/>
        <v>0</v>
      </c>
      <c r="G31" s="57">
        <f t="shared" si="15"/>
        <v>0</v>
      </c>
      <c r="H31" s="81">
        <v>0</v>
      </c>
      <c r="I31" s="79">
        <f t="shared" si="16"/>
        <v>0</v>
      </c>
      <c r="J31" s="74"/>
      <c r="K31" s="85"/>
      <c r="L31" s="84"/>
      <c r="M31" s="58">
        <v>0</v>
      </c>
      <c r="N31" s="254"/>
      <c r="O31" s="85"/>
      <c r="P31" s="84"/>
      <c r="Q31" s="84"/>
      <c r="R31" s="58">
        <v>0</v>
      </c>
      <c r="S31" s="614"/>
      <c r="T31" s="256"/>
      <c r="U31" s="87"/>
      <c r="V31" s="31"/>
      <c r="W31" s="58">
        <v>0</v>
      </c>
      <c r="X31" s="257"/>
    </row>
    <row r="32" spans="1:24" s="5" customFormat="1" x14ac:dyDescent="0.15">
      <c r="A32" s="73" t="s">
        <v>56</v>
      </c>
      <c r="B32" s="154" t="s">
        <v>72</v>
      </c>
      <c r="C32" s="154"/>
      <c r="D32" s="50" t="s">
        <v>25</v>
      </c>
      <c r="E32" s="56">
        <f>SUM(J32,O32)</f>
        <v>0</v>
      </c>
      <c r="F32" s="57">
        <f>SUM(K32,P32)</f>
        <v>500</v>
      </c>
      <c r="G32" s="57">
        <f>SUM(L32,Q32)</f>
        <v>450</v>
      </c>
      <c r="H32" s="81">
        <f t="shared" si="0"/>
        <v>90</v>
      </c>
      <c r="I32" s="79">
        <f t="shared" si="16"/>
        <v>429</v>
      </c>
      <c r="J32" s="86"/>
      <c r="K32" s="87">
        <v>500</v>
      </c>
      <c r="L32" s="31">
        <v>450</v>
      </c>
      <c r="M32" s="58">
        <f t="shared" si="2"/>
        <v>90</v>
      </c>
      <c r="N32" s="257">
        <v>429</v>
      </c>
      <c r="O32" s="87"/>
      <c r="P32" s="31"/>
      <c r="Q32" s="31"/>
      <c r="R32" s="58">
        <v>0</v>
      </c>
      <c r="S32" s="615"/>
      <c r="T32" s="256"/>
      <c r="U32" s="87"/>
      <c r="V32" s="31"/>
      <c r="W32" s="58">
        <v>0</v>
      </c>
      <c r="X32" s="257"/>
    </row>
    <row r="33" spans="1:24" s="5" customFormat="1" x14ac:dyDescent="0.15">
      <c r="A33" s="49" t="s">
        <v>57</v>
      </c>
      <c r="B33" s="153" t="s">
        <v>58</v>
      </c>
      <c r="C33" s="153"/>
      <c r="D33" s="50" t="s">
        <v>25</v>
      </c>
      <c r="E33" s="51">
        <f>E6-E11</f>
        <v>0</v>
      </c>
      <c r="F33" s="52">
        <f t="shared" ref="F33:G33" si="17">F6-F11</f>
        <v>0</v>
      </c>
      <c r="G33" s="52">
        <f t="shared" si="17"/>
        <v>13431</v>
      </c>
      <c r="H33" s="89">
        <v>0</v>
      </c>
      <c r="I33" s="582">
        <f t="shared" ref="I33:L33" si="18">I6-I11</f>
        <v>-4230.2299999967217</v>
      </c>
      <c r="J33" s="51">
        <f>J6-J11</f>
        <v>0</v>
      </c>
      <c r="K33" s="54">
        <f>K6-K11</f>
        <v>0</v>
      </c>
      <c r="L33" s="52">
        <f t="shared" si="18"/>
        <v>13431</v>
      </c>
      <c r="M33" s="4">
        <v>0</v>
      </c>
      <c r="N33" s="53">
        <f t="shared" ref="N33" si="19">N6-N11</f>
        <v>-4230.2299999985844</v>
      </c>
      <c r="O33" s="54">
        <f>O6-O11</f>
        <v>0</v>
      </c>
      <c r="P33" s="52">
        <f>P6-P11</f>
        <v>0</v>
      </c>
      <c r="Q33" s="52">
        <f t="shared" ref="Q33" si="20">Q6-Q11</f>
        <v>0</v>
      </c>
      <c r="R33" s="4">
        <v>0</v>
      </c>
      <c r="S33" s="582">
        <f t="shared" ref="S33:V33" si="21">S6-S11</f>
        <v>0</v>
      </c>
      <c r="T33" s="51">
        <f t="shared" si="21"/>
        <v>123000</v>
      </c>
      <c r="U33" s="54">
        <f t="shared" si="21"/>
        <v>123000</v>
      </c>
      <c r="V33" s="52">
        <f t="shared" si="21"/>
        <v>242571</v>
      </c>
      <c r="W33" s="58">
        <f t="shared" si="6"/>
        <v>197.21219512195123</v>
      </c>
      <c r="X33" s="53">
        <f t="shared" ref="X33" si="22">X6-X11</f>
        <v>234460</v>
      </c>
    </row>
    <row r="34" spans="1:24" s="6" customFormat="1" x14ac:dyDescent="0.15">
      <c r="A34" s="90" t="s">
        <v>59</v>
      </c>
      <c r="B34" s="1239" t="s">
        <v>24</v>
      </c>
      <c r="C34" s="1239"/>
      <c r="D34" s="91" t="s">
        <v>25</v>
      </c>
      <c r="E34" s="92">
        <f>E19/E35/12</f>
        <v>32947.458085451595</v>
      </c>
      <c r="F34" s="92">
        <f t="shared" ref="F34:G34" si="23">F19/F35/12</f>
        <v>34391.386751905222</v>
      </c>
      <c r="G34" s="92">
        <f t="shared" si="23"/>
        <v>34382.274171994075</v>
      </c>
      <c r="H34" s="81">
        <f t="shared" si="0"/>
        <v>99.973503307741325</v>
      </c>
      <c r="I34" s="616">
        <f>I19/I35/12</f>
        <v>29431.483870967742</v>
      </c>
      <c r="J34" s="258"/>
      <c r="K34" s="617"/>
      <c r="L34" s="96"/>
      <c r="M34" s="58">
        <v>0</v>
      </c>
      <c r="N34" s="259"/>
      <c r="O34" s="97">
        <f>O19/O35/12</f>
        <v>32705.426356589145</v>
      </c>
      <c r="P34" s="97">
        <f>P19/P35/12</f>
        <v>34111.643551125075</v>
      </c>
      <c r="Q34" s="97">
        <f>Q19/Q35/12</f>
        <v>34110.666558312565</v>
      </c>
      <c r="R34" s="58">
        <f t="shared" si="4"/>
        <v>99.997135896395477</v>
      </c>
      <c r="S34" s="616">
        <f t="shared" ref="S34" si="24">S19/S35/12</f>
        <v>29486.78804347826</v>
      </c>
      <c r="T34" s="258"/>
      <c r="U34" s="617"/>
      <c r="V34" s="96"/>
      <c r="W34" s="58">
        <v>0</v>
      </c>
      <c r="X34" s="259"/>
    </row>
    <row r="35" spans="1:24" s="6" customFormat="1" ht="8.4" thickBot="1" x14ac:dyDescent="0.2">
      <c r="A35" s="99" t="s">
        <v>60</v>
      </c>
      <c r="B35" s="1240" t="s">
        <v>33</v>
      </c>
      <c r="C35" s="1240"/>
      <c r="D35" s="100" t="s">
        <v>26</v>
      </c>
      <c r="E35" s="102">
        <v>92.45</v>
      </c>
      <c r="F35" s="102">
        <v>92.29</v>
      </c>
      <c r="G35" s="102">
        <v>92.29</v>
      </c>
      <c r="H35" s="81">
        <f t="shared" si="0"/>
        <v>100</v>
      </c>
      <c r="I35" s="616">
        <v>93</v>
      </c>
      <c r="J35" s="264"/>
      <c r="K35" s="618"/>
      <c r="L35" s="110"/>
      <c r="M35" s="111">
        <v>0</v>
      </c>
      <c r="N35" s="265"/>
      <c r="O35" s="102">
        <v>92.45</v>
      </c>
      <c r="P35" s="102">
        <v>92.29</v>
      </c>
      <c r="Q35" s="102">
        <v>92.29</v>
      </c>
      <c r="R35" s="58">
        <f t="shared" si="4"/>
        <v>100</v>
      </c>
      <c r="S35" s="616">
        <v>92</v>
      </c>
      <c r="T35" s="258"/>
      <c r="U35" s="617"/>
      <c r="V35" s="96"/>
      <c r="W35" s="58">
        <v>0</v>
      </c>
      <c r="X35" s="259"/>
    </row>
    <row r="36" spans="1:24" s="6" customFormat="1" ht="8.4" thickBot="1" x14ac:dyDescent="0.2">
      <c r="A36" s="103" t="s">
        <v>61</v>
      </c>
      <c r="B36" s="1241" t="s">
        <v>27</v>
      </c>
      <c r="C36" s="1241"/>
      <c r="D36" s="104" t="s">
        <v>26</v>
      </c>
      <c r="E36" s="112">
        <v>94</v>
      </c>
      <c r="F36" s="112">
        <v>94</v>
      </c>
      <c r="G36" s="112">
        <v>94</v>
      </c>
      <c r="H36" s="107">
        <f t="shared" si="0"/>
        <v>100</v>
      </c>
      <c r="I36" s="619">
        <v>97</v>
      </c>
      <c r="J36" s="620"/>
      <c r="K36" s="621"/>
      <c r="L36" s="621"/>
      <c r="M36" s="622">
        <v>0</v>
      </c>
      <c r="N36" s="623"/>
      <c r="O36" s="112">
        <v>94</v>
      </c>
      <c r="P36" s="112">
        <v>94</v>
      </c>
      <c r="Q36" s="112">
        <v>94</v>
      </c>
      <c r="R36" s="111">
        <f t="shared" si="4"/>
        <v>100</v>
      </c>
      <c r="S36" s="624">
        <v>96</v>
      </c>
      <c r="T36" s="264"/>
      <c r="U36" s="110"/>
      <c r="V36" s="110"/>
      <c r="W36" s="111">
        <v>0</v>
      </c>
      <c r="X36" s="265"/>
    </row>
  </sheetData>
  <mergeCells count="39">
    <mergeCell ref="B26:C26"/>
    <mergeCell ref="B29:C29"/>
    <mergeCell ref="B34:C34"/>
    <mergeCell ref="B35:C35"/>
    <mergeCell ref="B36:C36"/>
    <mergeCell ref="B22:C22"/>
    <mergeCell ref="B8:C8"/>
    <mergeCell ref="B10:C10"/>
    <mergeCell ref="B11:C11"/>
    <mergeCell ref="B12:C12"/>
    <mergeCell ref="B13:C13"/>
    <mergeCell ref="B15:C15"/>
    <mergeCell ref="B16:C16"/>
    <mergeCell ref="B18:C18"/>
    <mergeCell ref="B19:C19"/>
    <mergeCell ref="B20:C20"/>
    <mergeCell ref="B21:C21"/>
    <mergeCell ref="B7:C7"/>
    <mergeCell ref="I4:I5"/>
    <mergeCell ref="J4:J5"/>
    <mergeCell ref="K4:M4"/>
    <mergeCell ref="N4:N5"/>
    <mergeCell ref="B6:C6"/>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s>
  <pageMargins left="0.23622047244094491" right="0.23622047244094491" top="0.74803149606299213" bottom="0.74803149606299213" header="0.31496062992125984" footer="0.31496062992125984"/>
  <pageSetup paperSize="9" scale="99" firstPageNumber="182" orientation="landscape" useFirstPageNumber="1" r:id="rId1"/>
  <headerFoot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8"/>
  <sheetViews>
    <sheetView zoomScaleNormal="100" workbookViewId="0">
      <selection sqref="A1:XFD1048576"/>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961" customFormat="1" ht="17.399999999999999" x14ac:dyDescent="0.3">
      <c r="A1" s="961" t="s">
        <v>75</v>
      </c>
      <c r="B1" s="961" t="s">
        <v>618</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956" t="s">
        <v>25</v>
      </c>
      <c r="D5" s="1256" t="s">
        <v>103</v>
      </c>
      <c r="E5" s="1256"/>
      <c r="F5" s="1256"/>
      <c r="G5" s="1256"/>
      <c r="H5" s="1256"/>
      <c r="I5" s="1256"/>
    </row>
    <row r="6" spans="1:9" s="8" customFormat="1" ht="15" customHeight="1" x14ac:dyDescent="0.2">
      <c r="A6" s="1267" t="s">
        <v>104</v>
      </c>
      <c r="B6" s="1267"/>
      <c r="C6" s="113">
        <f>SUM(C7:C9)</f>
        <v>256001.84999999998</v>
      </c>
      <c r="D6" s="1262"/>
      <c r="E6" s="1263"/>
      <c r="F6" s="1263"/>
      <c r="G6" s="1263"/>
      <c r="H6" s="1263"/>
      <c r="I6" s="1263"/>
    </row>
    <row r="7" spans="1:9" s="8" customFormat="1" ht="48.6" customHeight="1" x14ac:dyDescent="0.2">
      <c r="A7" s="1257" t="s">
        <v>77</v>
      </c>
      <c r="B7" s="1258"/>
      <c r="C7" s="114">
        <v>13431.33</v>
      </c>
      <c r="D7" s="1261" t="s">
        <v>1055</v>
      </c>
      <c r="E7" s="1261"/>
      <c r="F7" s="1261"/>
      <c r="G7" s="1261"/>
      <c r="H7" s="1261"/>
      <c r="I7" s="1261"/>
    </row>
    <row r="8" spans="1:9" s="7" customFormat="1" ht="61.95" customHeight="1" x14ac:dyDescent="0.2">
      <c r="A8" s="1259" t="s">
        <v>78</v>
      </c>
      <c r="B8" s="1260"/>
      <c r="C8" s="115">
        <v>242570.52</v>
      </c>
      <c r="D8" s="1261" t="s">
        <v>1056</v>
      </c>
      <c r="E8" s="1261"/>
      <c r="F8" s="1261"/>
      <c r="G8" s="1261"/>
      <c r="H8" s="1261"/>
      <c r="I8" s="1261"/>
    </row>
    <row r="9" spans="1:9" s="7" customFormat="1" ht="15" customHeight="1" x14ac:dyDescent="0.2">
      <c r="A9" s="1259" t="s">
        <v>79</v>
      </c>
      <c r="B9" s="1260"/>
      <c r="C9" s="115">
        <v>0</v>
      </c>
      <c r="D9" s="1629"/>
      <c r="E9" s="1630"/>
      <c r="F9" s="1630"/>
      <c r="G9" s="1630"/>
      <c r="H9" s="1630"/>
      <c r="I9" s="1631"/>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956" t="s">
        <v>76</v>
      </c>
      <c r="B13" s="956" t="s">
        <v>80</v>
      </c>
      <c r="C13" s="956"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226001.85</v>
      </c>
      <c r="D16" s="126"/>
      <c r="E16" s="127"/>
      <c r="F16" s="127"/>
      <c r="G16" s="127"/>
      <c r="H16" s="127"/>
      <c r="I16" s="127"/>
    </row>
    <row r="17" spans="1:9" s="8" customFormat="1" ht="15" customHeight="1" x14ac:dyDescent="0.2">
      <c r="A17" s="1251"/>
      <c r="B17" s="15" t="s">
        <v>84</v>
      </c>
      <c r="C17" s="128">
        <v>30000</v>
      </c>
      <c r="D17" s="129"/>
      <c r="E17" s="130"/>
      <c r="F17" s="130"/>
      <c r="G17" s="130"/>
      <c r="H17" s="130"/>
      <c r="I17" s="130"/>
    </row>
    <row r="18" spans="1:9" s="8" customFormat="1" ht="15" customHeight="1" x14ac:dyDescent="0.2">
      <c r="A18" s="959" t="s">
        <v>104</v>
      </c>
      <c r="B18" s="16"/>
      <c r="C18" s="131">
        <f>SUM(C14:C17)</f>
        <v>256001.85</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6.2" customHeight="1" x14ac:dyDescent="0.2">
      <c r="C21" s="116"/>
    </row>
    <row r="22" spans="1:9" s="138" customFormat="1" ht="12.6" customHeight="1" x14ac:dyDescent="0.15">
      <c r="A22" s="956" t="s">
        <v>80</v>
      </c>
      <c r="B22" s="956" t="s">
        <v>109</v>
      </c>
      <c r="C22" s="960" t="s">
        <v>110</v>
      </c>
      <c r="D22" s="956" t="s">
        <v>111</v>
      </c>
      <c r="E22" s="956" t="s">
        <v>112</v>
      </c>
      <c r="F22" s="1256" t="s">
        <v>113</v>
      </c>
      <c r="G22" s="1256"/>
      <c r="H22" s="1256"/>
      <c r="I22" s="1256"/>
    </row>
    <row r="23" spans="1:9" s="8" customFormat="1" ht="111" customHeight="1" x14ac:dyDescent="0.2">
      <c r="A23" s="17" t="s">
        <v>85</v>
      </c>
      <c r="B23" s="139">
        <v>844953.57</v>
      </c>
      <c r="C23" s="139">
        <v>2192054.85</v>
      </c>
      <c r="D23" s="139">
        <v>769647.02</v>
      </c>
      <c r="E23" s="139">
        <f>B23+C23-D23</f>
        <v>2267361.4</v>
      </c>
      <c r="F23" s="1620" t="s">
        <v>1057</v>
      </c>
      <c r="G23" s="1621"/>
      <c r="H23" s="1621"/>
      <c r="I23" s="1622"/>
    </row>
    <row r="24" spans="1:9" s="8" customFormat="1" ht="103.2" customHeight="1" x14ac:dyDescent="0.2">
      <c r="A24" s="14" t="s">
        <v>86</v>
      </c>
      <c r="B24" s="140">
        <v>887410.41</v>
      </c>
      <c r="C24" s="140">
        <v>1353702.89</v>
      </c>
      <c r="D24" s="140">
        <v>1839805.79</v>
      </c>
      <c r="E24" s="140">
        <f t="shared" ref="E24:E26" si="0">B24+C24-D24</f>
        <v>401307.50999999978</v>
      </c>
      <c r="F24" s="1623" t="s">
        <v>1058</v>
      </c>
      <c r="G24" s="1624"/>
      <c r="H24" s="1624"/>
      <c r="I24" s="1625"/>
    </row>
    <row r="25" spans="1:9" s="8" customFormat="1" ht="18" customHeight="1" x14ac:dyDescent="0.2">
      <c r="A25" s="14" t="s">
        <v>84</v>
      </c>
      <c r="B25" s="140">
        <v>14084</v>
      </c>
      <c r="C25" s="140">
        <v>100000</v>
      </c>
      <c r="D25" s="140">
        <v>64400</v>
      </c>
      <c r="E25" s="140">
        <f t="shared" si="0"/>
        <v>49684</v>
      </c>
      <c r="F25" s="1242" t="s">
        <v>1059</v>
      </c>
      <c r="G25" s="1243"/>
      <c r="H25" s="1243"/>
      <c r="I25" s="1244"/>
    </row>
    <row r="26" spans="1:9" s="8" customFormat="1" ht="35.4" customHeight="1" x14ac:dyDescent="0.2">
      <c r="A26" s="15" t="s">
        <v>87</v>
      </c>
      <c r="B26" s="141">
        <v>417116.69</v>
      </c>
      <c r="C26" s="141">
        <v>753710.34</v>
      </c>
      <c r="D26" s="141">
        <v>819317.83</v>
      </c>
      <c r="E26" s="140">
        <f t="shared" si="0"/>
        <v>351509.20000000007</v>
      </c>
      <c r="F26" s="1626" t="s">
        <v>1060</v>
      </c>
      <c r="G26" s="1627"/>
      <c r="H26" s="1627"/>
      <c r="I26" s="1628"/>
    </row>
    <row r="27" spans="1:9" s="7" customFormat="1" ht="10.199999999999999" x14ac:dyDescent="0.2">
      <c r="A27" s="10" t="s">
        <v>34</v>
      </c>
      <c r="B27" s="113">
        <f>SUM(B23:B26)</f>
        <v>2163564.67</v>
      </c>
      <c r="C27" s="113">
        <f t="shared" ref="C27:E27" si="1">SUM(C23:C26)</f>
        <v>4399468.08</v>
      </c>
      <c r="D27" s="113">
        <f t="shared" si="1"/>
        <v>3493170.64</v>
      </c>
      <c r="E27" s="113">
        <f t="shared" si="1"/>
        <v>3069862.11</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134" customFormat="1" ht="10.199999999999999" x14ac:dyDescent="0.2">
      <c r="A30" s="973"/>
      <c r="B30" s="973"/>
      <c r="C30" s="973"/>
      <c r="D30" s="973"/>
      <c r="E30" s="973"/>
      <c r="F30" s="973"/>
      <c r="G30" s="973"/>
      <c r="H30" s="973"/>
      <c r="I30" s="973"/>
    </row>
    <row r="31" spans="1:9" s="8" customFormat="1" ht="10.199999999999999" x14ac:dyDescent="0.2">
      <c r="A31" s="8" t="s">
        <v>1061</v>
      </c>
      <c r="C31" s="116"/>
    </row>
    <row r="32" spans="1:9" s="8" customFormat="1" ht="10.199999999999999" x14ac:dyDescent="0.2">
      <c r="C32" s="116"/>
    </row>
    <row r="33" spans="1:9" s="8" customFormat="1" ht="10.199999999999999" x14ac:dyDescent="0.2">
      <c r="A33" s="1248" t="s">
        <v>119</v>
      </c>
      <c r="B33" s="1248"/>
      <c r="C33" s="1248"/>
      <c r="D33" s="1248"/>
      <c r="E33" s="1248"/>
      <c r="F33" s="1248"/>
      <c r="G33" s="1248"/>
      <c r="H33" s="1248"/>
      <c r="I33" s="1248"/>
    </row>
    <row r="34" spans="1:9" s="8" customFormat="1" ht="10.199999999999999" x14ac:dyDescent="0.2">
      <c r="C34" s="116"/>
    </row>
    <row r="35" spans="1:9" s="8" customFormat="1" ht="10.199999999999999" x14ac:dyDescent="0.2">
      <c r="A35" s="8" t="s">
        <v>1062</v>
      </c>
      <c r="C35" s="116"/>
    </row>
    <row r="36" spans="1:9" s="8" customFormat="1" ht="10.199999999999999" x14ac:dyDescent="0.2">
      <c r="C36" s="116"/>
    </row>
    <row r="37" spans="1:9" s="8" customFormat="1" ht="10.199999999999999" x14ac:dyDescent="0.2">
      <c r="A37" s="1248" t="s">
        <v>120</v>
      </c>
      <c r="B37" s="1248"/>
      <c r="C37" s="1248"/>
      <c r="D37" s="1248"/>
      <c r="E37" s="1248"/>
      <c r="F37" s="1248"/>
      <c r="G37" s="1248"/>
      <c r="H37" s="1248"/>
      <c r="I37" s="1248"/>
    </row>
    <row r="38" spans="1:9" s="8" customFormat="1" ht="10.199999999999999" x14ac:dyDescent="0.2">
      <c r="C38" s="116"/>
    </row>
    <row r="39" spans="1:9" s="8" customFormat="1" ht="10.199999999999999" x14ac:dyDescent="0.2">
      <c r="A39" s="958" t="s">
        <v>25</v>
      </c>
      <c r="B39" s="957" t="s">
        <v>122</v>
      </c>
      <c r="C39" s="1285" t="s">
        <v>91</v>
      </c>
      <c r="D39" s="1285"/>
      <c r="E39" s="1285"/>
      <c r="F39" s="1285"/>
      <c r="G39" s="1285"/>
      <c r="H39" s="1285"/>
      <c r="I39" s="1286"/>
    </row>
    <row r="40" spans="1:9" s="8" customFormat="1" ht="22.2" customHeight="1" x14ac:dyDescent="0.2">
      <c r="A40" s="140">
        <v>18486</v>
      </c>
      <c r="B40" s="140">
        <v>18486</v>
      </c>
      <c r="C40" s="1287" t="s">
        <v>1063</v>
      </c>
      <c r="D40" s="1287"/>
      <c r="E40" s="1287"/>
      <c r="F40" s="1287"/>
      <c r="G40" s="1287"/>
      <c r="H40" s="1287"/>
      <c r="I40" s="1287"/>
    </row>
    <row r="41" spans="1:9" s="8" customFormat="1" ht="22.2" customHeight="1" x14ac:dyDescent="0.2">
      <c r="A41" s="140">
        <v>37574</v>
      </c>
      <c r="B41" s="140">
        <v>37574</v>
      </c>
      <c r="C41" s="1287" t="s">
        <v>1064</v>
      </c>
      <c r="D41" s="1287"/>
      <c r="E41" s="1287"/>
      <c r="F41" s="1287"/>
      <c r="G41" s="1287"/>
      <c r="H41" s="1287"/>
      <c r="I41" s="1287"/>
    </row>
    <row r="42" spans="1:9" s="8" customFormat="1" ht="20.399999999999999" customHeight="1" x14ac:dyDescent="0.2">
      <c r="A42" s="140">
        <v>12166</v>
      </c>
      <c r="B42" s="140">
        <v>12166</v>
      </c>
      <c r="C42" s="1287" t="s">
        <v>1065</v>
      </c>
      <c r="D42" s="1287"/>
      <c r="E42" s="1287"/>
      <c r="F42" s="1287"/>
      <c r="G42" s="1287"/>
      <c r="H42" s="1287"/>
      <c r="I42" s="1287"/>
    </row>
    <row r="43" spans="1:9" s="8" customFormat="1" ht="22.2" customHeight="1" x14ac:dyDescent="0.2">
      <c r="A43" s="140">
        <v>6000</v>
      </c>
      <c r="B43" s="140">
        <v>5971</v>
      </c>
      <c r="C43" s="1287" t="s">
        <v>1066</v>
      </c>
      <c r="D43" s="1287"/>
      <c r="E43" s="1287"/>
      <c r="F43" s="1287"/>
      <c r="G43" s="1287"/>
      <c r="H43" s="1287"/>
      <c r="I43" s="1287"/>
    </row>
    <row r="44" spans="1:9" s="8" customFormat="1" ht="15.6" customHeight="1" x14ac:dyDescent="0.2">
      <c r="A44" s="140">
        <v>14500</v>
      </c>
      <c r="B44" s="140">
        <v>14500</v>
      </c>
      <c r="C44" s="1287" t="s">
        <v>1067</v>
      </c>
      <c r="D44" s="1287"/>
      <c r="E44" s="1287"/>
      <c r="F44" s="1287"/>
      <c r="G44" s="1287"/>
      <c r="H44" s="1287"/>
      <c r="I44" s="1287"/>
    </row>
    <row r="45" spans="1:9" s="7" customFormat="1" ht="10.199999999999999" x14ac:dyDescent="0.2">
      <c r="A45" s="113">
        <f>SUM(A40:A44)</f>
        <v>88726</v>
      </c>
      <c r="B45" s="113">
        <f>SUM(B40:B44)</f>
        <v>88697</v>
      </c>
      <c r="C45" s="1289" t="s">
        <v>34</v>
      </c>
      <c r="D45" s="1289"/>
      <c r="E45" s="1289"/>
      <c r="F45" s="1289"/>
      <c r="G45" s="1289"/>
      <c r="H45" s="1289"/>
      <c r="I45" s="1289"/>
    </row>
    <row r="46" spans="1:9" s="8" customFormat="1" ht="34.200000000000003" customHeight="1" x14ac:dyDescent="0.2">
      <c r="C46" s="116"/>
    </row>
    <row r="47" spans="1:9" s="8" customFormat="1" ht="36" customHeight="1" x14ac:dyDescent="0.2">
      <c r="C47" s="116"/>
    </row>
    <row r="48" spans="1:9" s="8" customFormat="1" ht="10.199999999999999" x14ac:dyDescent="0.2">
      <c r="A48" s="1248" t="s">
        <v>123</v>
      </c>
      <c r="B48" s="1248"/>
      <c r="C48" s="1248"/>
      <c r="D48" s="1248"/>
      <c r="E48" s="1248"/>
      <c r="F48" s="1248"/>
      <c r="G48" s="1248"/>
      <c r="H48" s="1248"/>
      <c r="I48" s="1248"/>
    </row>
    <row r="49" spans="1:5" s="8" customFormat="1" ht="10.199999999999999" x14ac:dyDescent="0.2">
      <c r="C49" s="116"/>
    </row>
    <row r="50" spans="1:5" s="23" customFormat="1" ht="10.199999999999999" x14ac:dyDescent="0.2">
      <c r="A50" s="1256" t="s">
        <v>92</v>
      </c>
      <c r="B50" s="1256"/>
      <c r="C50" s="960" t="s">
        <v>93</v>
      </c>
      <c r="D50" s="956" t="s">
        <v>94</v>
      </c>
      <c r="E50" s="956" t="s">
        <v>25</v>
      </c>
    </row>
    <row r="51" spans="1:5" s="8" customFormat="1" ht="32.4" customHeight="1" x14ac:dyDescent="0.2">
      <c r="A51" s="1611" t="s">
        <v>1068</v>
      </c>
      <c r="B51" s="1632"/>
      <c r="C51" s="450" t="s">
        <v>1069</v>
      </c>
      <c r="D51" s="450">
        <v>43585</v>
      </c>
      <c r="E51" s="451">
        <v>480000</v>
      </c>
    </row>
    <row r="52" spans="1:5" s="8" customFormat="1" ht="32.4" customHeight="1" x14ac:dyDescent="0.2">
      <c r="A52" s="1611" t="s">
        <v>1070</v>
      </c>
      <c r="B52" s="1632"/>
      <c r="C52" s="450"/>
      <c r="D52" s="450"/>
      <c r="E52" s="451">
        <f>480000-E53</f>
        <v>366739</v>
      </c>
    </row>
    <row r="53" spans="1:5" s="8" customFormat="1" ht="53.4" customHeight="1" x14ac:dyDescent="0.2">
      <c r="A53" s="1611" t="s">
        <v>1071</v>
      </c>
      <c r="B53" s="1632"/>
      <c r="C53" s="450" t="s">
        <v>1072</v>
      </c>
      <c r="D53" s="450">
        <v>43646</v>
      </c>
      <c r="E53" s="451">
        <v>113261</v>
      </c>
    </row>
    <row r="54" spans="1:5" s="8" customFormat="1" ht="26.4" customHeight="1" x14ac:dyDescent="0.2">
      <c r="A54" s="1611" t="s">
        <v>1073</v>
      </c>
      <c r="B54" s="1632"/>
      <c r="C54" s="450">
        <v>43599</v>
      </c>
      <c r="D54" s="450">
        <v>43616</v>
      </c>
      <c r="E54" s="451">
        <v>-240000</v>
      </c>
    </row>
    <row r="55" spans="1:5" s="8" customFormat="1" ht="24" customHeight="1" x14ac:dyDescent="0.2">
      <c r="A55" s="1611" t="s">
        <v>1074</v>
      </c>
      <c r="B55" s="1632"/>
      <c r="C55" s="450"/>
      <c r="D55" s="450"/>
      <c r="E55" s="451">
        <v>240000</v>
      </c>
    </row>
    <row r="56" spans="1:5" s="8" customFormat="1" ht="24" customHeight="1" x14ac:dyDescent="0.2">
      <c r="A56" s="1611" t="s">
        <v>1075</v>
      </c>
      <c r="B56" s="1632"/>
      <c r="C56" s="450">
        <v>43599</v>
      </c>
      <c r="D56" s="450">
        <v>43616</v>
      </c>
      <c r="E56" s="451">
        <v>38000</v>
      </c>
    </row>
    <row r="57" spans="1:5" s="8" customFormat="1" ht="24" customHeight="1" x14ac:dyDescent="0.2">
      <c r="A57" s="1611" t="s">
        <v>1075</v>
      </c>
      <c r="B57" s="1632"/>
      <c r="C57" s="450"/>
      <c r="D57" s="450"/>
      <c r="E57" s="451">
        <v>38000</v>
      </c>
    </row>
    <row r="58" spans="1:5" s="8" customFormat="1" ht="24" customHeight="1" x14ac:dyDescent="0.2">
      <c r="A58" s="1611" t="s">
        <v>1076</v>
      </c>
      <c r="B58" s="1632"/>
      <c r="C58" s="450" t="s">
        <v>1077</v>
      </c>
      <c r="D58" s="450">
        <v>43646</v>
      </c>
      <c r="E58" s="451">
        <v>50270</v>
      </c>
    </row>
    <row r="59" spans="1:5" s="8" customFormat="1" ht="24" customHeight="1" x14ac:dyDescent="0.2">
      <c r="A59" s="1611" t="s">
        <v>1078</v>
      </c>
      <c r="B59" s="1632"/>
      <c r="C59" s="450"/>
      <c r="D59" s="450"/>
      <c r="E59" s="451">
        <v>50270</v>
      </c>
    </row>
    <row r="60" spans="1:5" s="8" customFormat="1" ht="24" customHeight="1" x14ac:dyDescent="0.2">
      <c r="A60" s="1611" t="s">
        <v>1079</v>
      </c>
      <c r="B60" s="1632"/>
      <c r="C60" s="450" t="s">
        <v>1080</v>
      </c>
      <c r="D60" s="450">
        <v>43646</v>
      </c>
      <c r="E60" s="451">
        <v>54000</v>
      </c>
    </row>
    <row r="61" spans="1:5" s="8" customFormat="1" ht="16.2" customHeight="1" x14ac:dyDescent="0.2">
      <c r="A61" s="1611" t="s">
        <v>1081</v>
      </c>
      <c r="B61" s="1632"/>
      <c r="C61" s="450"/>
      <c r="D61" s="450"/>
      <c r="E61" s="451">
        <v>54000</v>
      </c>
    </row>
    <row r="62" spans="1:5" s="8" customFormat="1" ht="24" customHeight="1" x14ac:dyDescent="0.2">
      <c r="A62" s="1611" t="s">
        <v>1082</v>
      </c>
      <c r="B62" s="1632"/>
      <c r="C62" s="450">
        <v>43617</v>
      </c>
      <c r="D62" s="450">
        <v>43617</v>
      </c>
      <c r="E62" s="451">
        <v>500</v>
      </c>
    </row>
    <row r="63" spans="1:5" s="8" customFormat="1" ht="11.25" customHeight="1" x14ac:dyDescent="0.2">
      <c r="A63" s="1611" t="s">
        <v>1083</v>
      </c>
      <c r="B63" s="1632"/>
      <c r="C63" s="450"/>
      <c r="D63" s="450"/>
      <c r="E63" s="451">
        <v>500</v>
      </c>
    </row>
    <row r="64" spans="1:5" s="8" customFormat="1" ht="11.25" customHeight="1" x14ac:dyDescent="0.2">
      <c r="A64" s="1611" t="s">
        <v>1084</v>
      </c>
      <c r="B64" s="1632"/>
      <c r="C64" s="450">
        <v>43617</v>
      </c>
      <c r="D64" s="450">
        <v>43617</v>
      </c>
      <c r="E64" s="451">
        <v>-10000</v>
      </c>
    </row>
    <row r="65" spans="1:5" s="8" customFormat="1" ht="22.2" customHeight="1" x14ac:dyDescent="0.2">
      <c r="A65" s="1611" t="s">
        <v>1085</v>
      </c>
      <c r="B65" s="1632"/>
      <c r="C65" s="450"/>
      <c r="D65" s="450"/>
      <c r="E65" s="451">
        <v>10000</v>
      </c>
    </row>
    <row r="66" spans="1:5" s="8" customFormat="1" ht="10.95" customHeight="1" x14ac:dyDescent="0.2">
      <c r="A66" s="1611" t="s">
        <v>1086</v>
      </c>
      <c r="B66" s="1632"/>
      <c r="C66" s="450">
        <v>43641</v>
      </c>
      <c r="D66" s="450">
        <v>43646</v>
      </c>
      <c r="E66" s="451">
        <v>70000</v>
      </c>
    </row>
    <row r="67" spans="1:5" s="8" customFormat="1" ht="21" customHeight="1" x14ac:dyDescent="0.2">
      <c r="A67" s="1611" t="s">
        <v>1087</v>
      </c>
      <c r="B67" s="1632"/>
      <c r="C67" s="450"/>
      <c r="D67" s="450"/>
      <c r="E67" s="451">
        <v>70000</v>
      </c>
    </row>
    <row r="68" spans="1:5" s="8" customFormat="1" ht="16.95" customHeight="1" x14ac:dyDescent="0.2">
      <c r="A68" s="1611" t="s">
        <v>1088</v>
      </c>
      <c r="B68" s="1632"/>
      <c r="C68" s="450">
        <v>43641</v>
      </c>
      <c r="D68" s="450">
        <v>43641</v>
      </c>
      <c r="E68" s="451">
        <v>65000</v>
      </c>
    </row>
    <row r="69" spans="1:5" s="8" customFormat="1" ht="22.95" customHeight="1" x14ac:dyDescent="0.2">
      <c r="A69" s="1611" t="s">
        <v>1089</v>
      </c>
      <c r="B69" s="1632"/>
      <c r="C69" s="450"/>
      <c r="D69" s="450"/>
      <c r="E69" s="451">
        <v>65000</v>
      </c>
    </row>
    <row r="70" spans="1:5" s="23" customFormat="1" ht="10.199999999999999" x14ac:dyDescent="0.2">
      <c r="A70" s="1256" t="s">
        <v>92</v>
      </c>
      <c r="B70" s="1256"/>
      <c r="C70" s="960" t="s">
        <v>93</v>
      </c>
      <c r="D70" s="956" t="s">
        <v>94</v>
      </c>
      <c r="E70" s="956" t="s">
        <v>25</v>
      </c>
    </row>
    <row r="71" spans="1:5" s="8" customFormat="1" ht="19.95" customHeight="1" x14ac:dyDescent="0.2">
      <c r="A71" s="1611" t="s">
        <v>1090</v>
      </c>
      <c r="B71" s="1632"/>
      <c r="C71" s="450">
        <v>43738</v>
      </c>
      <c r="D71" s="450">
        <v>43738</v>
      </c>
      <c r="E71" s="451">
        <v>-51300</v>
      </c>
    </row>
    <row r="72" spans="1:5" s="8" customFormat="1" ht="21.6" customHeight="1" x14ac:dyDescent="0.2">
      <c r="A72" s="1611" t="s">
        <v>1091</v>
      </c>
      <c r="B72" s="1632"/>
      <c r="C72" s="450"/>
      <c r="D72" s="450"/>
      <c r="E72" s="451">
        <v>25700</v>
      </c>
    </row>
    <row r="73" spans="1:5" s="8" customFormat="1" ht="21.6" customHeight="1" x14ac:dyDescent="0.2">
      <c r="A73" s="1611" t="s">
        <v>1091</v>
      </c>
      <c r="B73" s="1632"/>
      <c r="C73" s="450"/>
      <c r="D73" s="450"/>
      <c r="E73" s="451">
        <v>25600</v>
      </c>
    </row>
    <row r="74" spans="1:5" s="8" customFormat="1" ht="15.6" customHeight="1" x14ac:dyDescent="0.2">
      <c r="A74" s="1611" t="s">
        <v>1092</v>
      </c>
      <c r="B74" s="1632"/>
      <c r="C74" s="450">
        <v>43738</v>
      </c>
      <c r="D74" s="450">
        <v>43738</v>
      </c>
      <c r="E74" s="451">
        <v>250000</v>
      </c>
    </row>
    <row r="75" spans="1:5" s="8" customFormat="1" ht="25.95" customHeight="1" x14ac:dyDescent="0.2">
      <c r="A75" s="1633" t="s">
        <v>1093</v>
      </c>
      <c r="B75" s="1634"/>
      <c r="C75" s="450"/>
      <c r="D75" s="450"/>
      <c r="E75" s="451">
        <v>-150000</v>
      </c>
    </row>
    <row r="76" spans="1:5" s="8" customFormat="1" ht="23.4" customHeight="1" x14ac:dyDescent="0.2">
      <c r="A76" s="1633" t="s">
        <v>1094</v>
      </c>
      <c r="B76" s="1634"/>
      <c r="C76" s="450"/>
      <c r="D76" s="450"/>
      <c r="E76" s="451">
        <v>-100000</v>
      </c>
    </row>
    <row r="77" spans="1:5" s="8" customFormat="1" ht="23.4" customHeight="1" x14ac:dyDescent="0.2">
      <c r="A77" s="1611" t="s">
        <v>1095</v>
      </c>
      <c r="B77" s="1632"/>
      <c r="C77" s="450">
        <v>43738</v>
      </c>
      <c r="D77" s="450">
        <v>43738</v>
      </c>
      <c r="E77" s="451">
        <v>9400</v>
      </c>
    </row>
    <row r="78" spans="1:5" s="8" customFormat="1" ht="23.4" customHeight="1" x14ac:dyDescent="0.2">
      <c r="A78" s="1611" t="s">
        <v>1096</v>
      </c>
      <c r="B78" s="1632"/>
      <c r="C78" s="450"/>
      <c r="D78" s="450"/>
      <c r="E78" s="451">
        <v>-800</v>
      </c>
    </row>
    <row r="79" spans="1:5" s="8" customFormat="1" ht="23.4" customHeight="1" x14ac:dyDescent="0.2">
      <c r="A79" s="1611" t="s">
        <v>1097</v>
      </c>
      <c r="B79" s="1632"/>
      <c r="C79" s="450"/>
      <c r="D79" s="450"/>
      <c r="E79" s="451">
        <v>-2600</v>
      </c>
    </row>
    <row r="80" spans="1:5" s="8" customFormat="1" ht="11.4" customHeight="1" x14ac:dyDescent="0.2">
      <c r="A80" s="1611" t="s">
        <v>1098</v>
      </c>
      <c r="B80" s="1632"/>
      <c r="C80" s="450"/>
      <c r="D80" s="450"/>
      <c r="E80" s="451">
        <v>-6000</v>
      </c>
    </row>
    <row r="81" spans="1:5" s="8" customFormat="1" ht="22.2" customHeight="1" x14ac:dyDescent="0.2">
      <c r="A81" s="1611" t="s">
        <v>1099</v>
      </c>
      <c r="B81" s="1632"/>
      <c r="C81" s="450" t="s">
        <v>1100</v>
      </c>
      <c r="D81" s="450">
        <v>43769</v>
      </c>
      <c r="E81" s="451">
        <v>14500</v>
      </c>
    </row>
    <row r="82" spans="1:5" s="8" customFormat="1" ht="22.2" customHeight="1" x14ac:dyDescent="0.2">
      <c r="A82" s="1611" t="s">
        <v>1101</v>
      </c>
      <c r="B82" s="1632"/>
      <c r="C82" s="450"/>
      <c r="D82" s="450"/>
      <c r="E82" s="451">
        <v>14500</v>
      </c>
    </row>
    <row r="83" spans="1:5" s="8" customFormat="1" ht="22.2" customHeight="1" x14ac:dyDescent="0.2">
      <c r="A83" s="1611" t="s">
        <v>1102</v>
      </c>
      <c r="B83" s="1632"/>
      <c r="C83" s="450" t="s">
        <v>1103</v>
      </c>
      <c r="D83" s="450">
        <v>43769</v>
      </c>
      <c r="E83" s="451">
        <v>10375</v>
      </c>
    </row>
    <row r="84" spans="1:5" s="8" customFormat="1" ht="11.25" customHeight="1" x14ac:dyDescent="0.2">
      <c r="A84" s="1611" t="s">
        <v>1104</v>
      </c>
      <c r="B84" s="1632"/>
      <c r="C84" s="450"/>
      <c r="D84" s="450"/>
      <c r="E84" s="451">
        <v>10375</v>
      </c>
    </row>
    <row r="85" spans="1:5" s="8" customFormat="1" ht="21" customHeight="1" x14ac:dyDescent="0.2">
      <c r="A85" s="1611" t="s">
        <v>1105</v>
      </c>
      <c r="B85" s="1632"/>
      <c r="C85" s="450">
        <v>43769</v>
      </c>
      <c r="D85" s="450">
        <v>43769</v>
      </c>
      <c r="E85" s="451">
        <v>380000</v>
      </c>
    </row>
    <row r="86" spans="1:5" s="8" customFormat="1" ht="14.4" customHeight="1" x14ac:dyDescent="0.2">
      <c r="A86" s="1611" t="s">
        <v>1106</v>
      </c>
      <c r="B86" s="1632"/>
      <c r="C86" s="450"/>
      <c r="D86" s="450"/>
      <c r="E86" s="451">
        <v>380000</v>
      </c>
    </row>
    <row r="87" spans="1:5" s="8" customFormat="1" ht="25.2" customHeight="1" x14ac:dyDescent="0.2">
      <c r="A87" s="1611" t="s">
        <v>1107</v>
      </c>
      <c r="B87" s="1632"/>
      <c r="C87" s="450">
        <v>43782</v>
      </c>
      <c r="D87" s="450">
        <v>43799</v>
      </c>
      <c r="E87" s="451">
        <v>-90000</v>
      </c>
    </row>
    <row r="88" spans="1:5" s="8" customFormat="1" ht="15.6" customHeight="1" x14ac:dyDescent="0.2">
      <c r="A88" s="1611" t="s">
        <v>1108</v>
      </c>
      <c r="B88" s="1632"/>
      <c r="C88" s="450"/>
      <c r="D88" s="450"/>
      <c r="E88" s="451">
        <v>90000</v>
      </c>
    </row>
    <row r="89" spans="1:5" s="8" customFormat="1" ht="25.95" customHeight="1" x14ac:dyDescent="0.2">
      <c r="A89" s="1611" t="s">
        <v>1109</v>
      </c>
      <c r="B89" s="1632"/>
      <c r="C89" s="450">
        <v>43799</v>
      </c>
      <c r="D89" s="450">
        <v>43799</v>
      </c>
      <c r="E89" s="451">
        <v>-28000</v>
      </c>
    </row>
    <row r="90" spans="1:5" s="8" customFormat="1" ht="23.4" customHeight="1" x14ac:dyDescent="0.2">
      <c r="A90" s="1611" t="s">
        <v>1110</v>
      </c>
      <c r="B90" s="1632"/>
      <c r="C90" s="450"/>
      <c r="D90" s="450"/>
      <c r="E90" s="451">
        <v>-28000</v>
      </c>
    </row>
    <row r="91" spans="1:5" s="8" customFormat="1" ht="18.600000000000001" customHeight="1" x14ac:dyDescent="0.2">
      <c r="A91" s="1611" t="s">
        <v>1111</v>
      </c>
      <c r="B91" s="1632"/>
      <c r="C91" s="450">
        <v>43799</v>
      </c>
      <c r="D91" s="450">
        <v>43799</v>
      </c>
      <c r="E91" s="451">
        <v>28700</v>
      </c>
    </row>
    <row r="92" spans="1:5" s="8" customFormat="1" ht="27.6" customHeight="1" x14ac:dyDescent="0.2">
      <c r="A92" s="1611" t="s">
        <v>1112</v>
      </c>
      <c r="B92" s="1632"/>
      <c r="C92" s="450"/>
      <c r="D92" s="450"/>
      <c r="E92" s="451">
        <v>28700</v>
      </c>
    </row>
    <row r="93" spans="1:5" s="23" customFormat="1" ht="10.199999999999999" x14ac:dyDescent="0.2">
      <c r="A93" s="1256" t="s">
        <v>92</v>
      </c>
      <c r="B93" s="1256"/>
      <c r="C93" s="960" t="s">
        <v>93</v>
      </c>
      <c r="D93" s="956" t="s">
        <v>94</v>
      </c>
      <c r="E93" s="956" t="s">
        <v>25</v>
      </c>
    </row>
    <row r="94" spans="1:5" s="8" customFormat="1" ht="32.4" customHeight="1" x14ac:dyDescent="0.2">
      <c r="A94" s="1611" t="s">
        <v>1113</v>
      </c>
      <c r="B94" s="1632"/>
      <c r="C94" s="450" t="s">
        <v>1114</v>
      </c>
      <c r="D94" s="450">
        <v>43809</v>
      </c>
      <c r="E94" s="451">
        <v>5002</v>
      </c>
    </row>
    <row r="95" spans="1:5" s="8" customFormat="1" ht="14.4" customHeight="1" x14ac:dyDescent="0.2">
      <c r="A95" s="1611" t="s">
        <v>1104</v>
      </c>
      <c r="B95" s="1632"/>
      <c r="C95" s="450"/>
      <c r="D95" s="450"/>
      <c r="E95" s="451">
        <v>5002</v>
      </c>
    </row>
    <row r="96" spans="1:5" s="8" customFormat="1" ht="11.25" customHeight="1" x14ac:dyDescent="0.2">
      <c r="A96" s="1611" t="s">
        <v>1115</v>
      </c>
      <c r="B96" s="1632"/>
      <c r="C96" s="450">
        <v>43809</v>
      </c>
      <c r="D96" s="450">
        <v>43809</v>
      </c>
      <c r="E96" s="451">
        <v>-19000</v>
      </c>
    </row>
    <row r="97" spans="1:9" s="8" customFormat="1" ht="11.25" customHeight="1" x14ac:dyDescent="0.2">
      <c r="A97" s="1611" t="s">
        <v>1116</v>
      </c>
      <c r="B97" s="1632"/>
      <c r="C97" s="450"/>
      <c r="D97" s="450"/>
      <c r="E97" s="451">
        <v>-19000</v>
      </c>
    </row>
    <row r="98" spans="1:9" s="8" customFormat="1" ht="21" customHeight="1" x14ac:dyDescent="0.2">
      <c r="A98" s="1611" t="s">
        <v>1117</v>
      </c>
      <c r="B98" s="1632"/>
      <c r="C98" s="450"/>
      <c r="D98" s="450"/>
      <c r="E98" s="451">
        <v>-9700</v>
      </c>
    </row>
    <row r="99" spans="1:9" s="8" customFormat="1" ht="21" customHeight="1" x14ac:dyDescent="0.2">
      <c r="A99" s="1611" t="s">
        <v>1118</v>
      </c>
      <c r="B99" s="1632"/>
      <c r="C99" s="450"/>
      <c r="D99" s="450"/>
      <c r="E99" s="451">
        <v>9700</v>
      </c>
    </row>
    <row r="100" spans="1:9" s="8" customFormat="1" ht="21" customHeight="1" x14ac:dyDescent="0.2">
      <c r="A100" s="1611" t="s">
        <v>1119</v>
      </c>
      <c r="B100" s="1632"/>
      <c r="C100" s="450">
        <v>43816</v>
      </c>
      <c r="D100" s="450">
        <v>43830</v>
      </c>
      <c r="E100" s="451">
        <v>-70000</v>
      </c>
    </row>
    <row r="101" spans="1:9" s="8" customFormat="1" ht="21" customHeight="1" x14ac:dyDescent="0.2">
      <c r="A101" s="1611" t="s">
        <v>1120</v>
      </c>
      <c r="B101" s="1632"/>
      <c r="C101" s="450"/>
      <c r="D101" s="450"/>
      <c r="E101" s="451">
        <v>70000</v>
      </c>
    </row>
    <row r="102" spans="1:9" s="8" customFormat="1" ht="11.25" customHeight="1" x14ac:dyDescent="0.2">
      <c r="A102" s="1611" t="s">
        <v>1121</v>
      </c>
      <c r="B102" s="1632"/>
      <c r="C102" s="450">
        <v>43830</v>
      </c>
      <c r="D102" s="450">
        <v>43830</v>
      </c>
      <c r="E102" s="451">
        <v>-5400</v>
      </c>
    </row>
    <row r="103" spans="1:9" s="8" customFormat="1" ht="21" customHeight="1" x14ac:dyDescent="0.2">
      <c r="A103" s="1611" t="s">
        <v>1122</v>
      </c>
      <c r="B103" s="1632"/>
      <c r="C103" s="450"/>
      <c r="D103" s="450"/>
      <c r="E103" s="451">
        <v>-5400</v>
      </c>
    </row>
    <row r="104" spans="1:9" s="8" customFormat="1" ht="11.25" customHeight="1" x14ac:dyDescent="0.2">
      <c r="A104" s="1611" t="s">
        <v>1123</v>
      </c>
      <c r="B104" s="1632"/>
      <c r="C104" s="450">
        <v>43830</v>
      </c>
      <c r="D104" s="450">
        <v>43769</v>
      </c>
      <c r="E104" s="451">
        <v>10904</v>
      </c>
    </row>
    <row r="105" spans="1:9" s="8" customFormat="1" ht="11.25" customHeight="1" x14ac:dyDescent="0.2">
      <c r="A105" s="1611" t="s">
        <v>1124</v>
      </c>
      <c r="B105" s="1632"/>
      <c r="C105" s="450"/>
      <c r="D105" s="450"/>
      <c r="E105" s="451">
        <v>2004</v>
      </c>
    </row>
    <row r="106" spans="1:9" s="976" customFormat="1" ht="11.25" customHeight="1" x14ac:dyDescent="0.15">
      <c r="A106" s="1633" t="s">
        <v>1125</v>
      </c>
      <c r="B106" s="1634"/>
      <c r="C106" s="974"/>
      <c r="D106" s="974"/>
      <c r="E106" s="975">
        <v>900</v>
      </c>
    </row>
    <row r="107" spans="1:9" s="8" customFormat="1" ht="20.399999999999999" customHeight="1" x14ac:dyDescent="0.2">
      <c r="A107" s="1611" t="s">
        <v>1126</v>
      </c>
      <c r="B107" s="1632"/>
      <c r="C107" s="450"/>
      <c r="D107" s="450"/>
      <c r="E107" s="451">
        <v>5300</v>
      </c>
    </row>
    <row r="108" spans="1:9" s="8" customFormat="1" ht="22.2" customHeight="1" x14ac:dyDescent="0.2">
      <c r="A108" s="1611" t="s">
        <v>1127</v>
      </c>
      <c r="B108" s="1632"/>
      <c r="C108" s="450"/>
      <c r="D108" s="450"/>
      <c r="E108" s="451">
        <v>2700</v>
      </c>
    </row>
    <row r="109" spans="1:9" s="8" customFormat="1" ht="11.25" customHeight="1" x14ac:dyDescent="0.2">
      <c r="A109" s="1635" t="s">
        <v>570</v>
      </c>
      <c r="B109" s="1636"/>
      <c r="C109" s="1635" t="s">
        <v>1128</v>
      </c>
      <c r="D109" s="1637"/>
      <c r="E109" s="977">
        <v>0</v>
      </c>
    </row>
    <row r="110" spans="1:9" s="8" customFormat="1" ht="11.25" customHeight="1" x14ac:dyDescent="0.2">
      <c r="A110" s="147"/>
      <c r="B110" s="148"/>
      <c r="C110" s="149"/>
      <c r="D110" s="149"/>
      <c r="E110" s="150"/>
    </row>
    <row r="111" spans="1:9" s="8" customFormat="1" ht="14.4" customHeight="1" x14ac:dyDescent="0.2">
      <c r="A111" s="1300" t="s">
        <v>154</v>
      </c>
      <c r="B111" s="1300"/>
      <c r="C111" s="1300"/>
      <c r="D111" s="1300"/>
      <c r="E111" s="1300"/>
      <c r="F111" s="1300"/>
      <c r="G111" s="1300"/>
      <c r="H111" s="1300"/>
      <c r="I111" s="1300"/>
    </row>
    <row r="112" spans="1:9" s="8" customFormat="1" ht="15" customHeight="1" x14ac:dyDescent="0.2">
      <c r="A112" s="8" t="s">
        <v>95</v>
      </c>
    </row>
    <row r="113" spans="1:9" s="28" customFormat="1" ht="16.95" customHeight="1" x14ac:dyDescent="0.25">
      <c r="A113" s="1638" t="s">
        <v>1129</v>
      </c>
      <c r="B113" s="1639"/>
      <c r="C113" s="1639"/>
      <c r="D113" s="1639"/>
      <c r="E113" s="1639"/>
      <c r="F113" s="1639"/>
      <c r="G113" s="1639"/>
      <c r="H113" s="1639"/>
      <c r="I113" s="1639"/>
    </row>
    <row r="114" spans="1:9" s="8" customFormat="1" ht="10.199999999999999" x14ac:dyDescent="0.2"/>
    <row r="115" spans="1:9" s="8" customFormat="1" ht="0.75" customHeight="1" x14ac:dyDescent="0.2">
      <c r="A115" s="1297"/>
      <c r="B115" s="1298"/>
      <c r="C115" s="1298"/>
      <c r="D115" s="1298"/>
      <c r="E115" s="1298"/>
      <c r="F115" s="1298"/>
      <c r="G115" s="1298"/>
      <c r="H115" s="1298"/>
      <c r="I115" s="1299"/>
    </row>
    <row r="116" spans="1:9" s="8" customFormat="1" ht="10.199999999999999" hidden="1" x14ac:dyDescent="0.2"/>
    <row r="117" spans="1:9" s="7" customFormat="1" ht="12.6" customHeight="1" x14ac:dyDescent="0.2">
      <c r="A117" s="1248" t="s">
        <v>156</v>
      </c>
      <c r="B117" s="1248"/>
      <c r="C117" s="1248"/>
      <c r="D117" s="1248"/>
      <c r="E117" s="1248"/>
      <c r="F117" s="1248"/>
      <c r="G117" s="1248"/>
      <c r="H117" s="1248"/>
      <c r="I117" s="1248"/>
    </row>
    <row r="118" spans="1:9" s="8" customFormat="1" ht="16.95" customHeight="1" x14ac:dyDescent="0.2">
      <c r="A118" s="8" t="s">
        <v>95</v>
      </c>
    </row>
    <row r="119" spans="1:9" s="743" customFormat="1" ht="45.6" customHeight="1" x14ac:dyDescent="0.2">
      <c r="A119" s="1454" t="s">
        <v>1130</v>
      </c>
      <c r="B119" s="1455"/>
      <c r="C119" s="1455"/>
      <c r="D119" s="1455"/>
      <c r="E119" s="1455"/>
      <c r="F119" s="1455"/>
      <c r="G119" s="1455"/>
      <c r="H119" s="1455"/>
      <c r="I119" s="1456"/>
    </row>
    <row r="120" spans="1:9" s="743" customFormat="1" ht="41.4" customHeight="1" x14ac:dyDescent="0.2">
      <c r="A120" s="1454" t="s">
        <v>1131</v>
      </c>
      <c r="B120" s="1455"/>
      <c r="C120" s="1455"/>
      <c r="D120" s="1455"/>
      <c r="E120" s="1455"/>
      <c r="F120" s="1455"/>
      <c r="G120" s="1455"/>
      <c r="H120" s="1455"/>
      <c r="I120" s="1456"/>
    </row>
    <row r="121" spans="1:9" s="7" customFormat="1" ht="12.6" customHeight="1" x14ac:dyDescent="0.2">
      <c r="A121" s="1248" t="s">
        <v>156</v>
      </c>
      <c r="B121" s="1248"/>
      <c r="C121" s="1248"/>
      <c r="D121" s="1248"/>
      <c r="E121" s="1248"/>
      <c r="F121" s="1248"/>
      <c r="G121" s="1248"/>
      <c r="H121" s="1248"/>
      <c r="I121" s="1248"/>
    </row>
    <row r="122" spans="1:9" s="743" customFormat="1" ht="26.4" customHeight="1" x14ac:dyDescent="0.2">
      <c r="A122" s="1454" t="s">
        <v>1132</v>
      </c>
      <c r="B122" s="1455"/>
      <c r="C122" s="1455"/>
      <c r="D122" s="1455"/>
      <c r="E122" s="1455"/>
      <c r="F122" s="1455"/>
      <c r="G122" s="1455"/>
      <c r="H122" s="1455"/>
      <c r="I122" s="1456"/>
    </row>
    <row r="123" spans="1:9" s="8" customFormat="1" ht="46.2" customHeight="1" x14ac:dyDescent="0.2">
      <c r="A123" s="1454" t="s">
        <v>1133</v>
      </c>
      <c r="B123" s="1455"/>
      <c r="C123" s="1455"/>
      <c r="D123" s="1455"/>
      <c r="E123" s="1455"/>
      <c r="F123" s="1455"/>
      <c r="G123" s="1455"/>
      <c r="H123" s="1455"/>
      <c r="I123" s="1456"/>
    </row>
    <row r="124" spans="1:9" s="8" customFormat="1" ht="82.95" customHeight="1" x14ac:dyDescent="0.2">
      <c r="A124" s="1550" t="s">
        <v>1134</v>
      </c>
      <c r="B124" s="1551"/>
      <c r="C124" s="1551"/>
      <c r="D124" s="1551"/>
      <c r="E124" s="1551"/>
      <c r="F124" s="1551"/>
      <c r="G124" s="1551"/>
      <c r="H124" s="1551"/>
      <c r="I124" s="1432"/>
    </row>
    <row r="126" spans="1:9" x14ac:dyDescent="0.25">
      <c r="A126" s="8" t="s">
        <v>1135</v>
      </c>
    </row>
    <row r="127" spans="1:9" x14ac:dyDescent="0.25">
      <c r="A127" s="26"/>
    </row>
    <row r="128" spans="1:9" x14ac:dyDescent="0.25">
      <c r="A128" s="978"/>
    </row>
  </sheetData>
  <mergeCells count="102">
    <mergeCell ref="A120:I120"/>
    <mergeCell ref="A121:I121"/>
    <mergeCell ref="A122:I122"/>
    <mergeCell ref="A123:I123"/>
    <mergeCell ref="A124:I124"/>
    <mergeCell ref="C109:D109"/>
    <mergeCell ref="A111:I111"/>
    <mergeCell ref="A113:I113"/>
    <mergeCell ref="A115:I115"/>
    <mergeCell ref="A117:I117"/>
    <mergeCell ref="A119:I119"/>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A50:B50"/>
    <mergeCell ref="A51:B51"/>
    <mergeCell ref="A52:B52"/>
    <mergeCell ref="A53:B53"/>
    <mergeCell ref="A54:B54"/>
    <mergeCell ref="A55:B55"/>
    <mergeCell ref="C41:I41"/>
    <mergeCell ref="C42:I42"/>
    <mergeCell ref="C43:I43"/>
    <mergeCell ref="C44:I44"/>
    <mergeCell ref="C45:I45"/>
    <mergeCell ref="A48:I48"/>
    <mergeCell ref="F27:I27"/>
    <mergeCell ref="A29:I29"/>
    <mergeCell ref="A33:I33"/>
    <mergeCell ref="A37:I37"/>
    <mergeCell ref="C39:I39"/>
    <mergeCell ref="C40:I40"/>
    <mergeCell ref="F23:I23"/>
    <mergeCell ref="F24:I24"/>
    <mergeCell ref="F25:I25"/>
    <mergeCell ref="F26:I26"/>
    <mergeCell ref="A8:B8"/>
    <mergeCell ref="D8:I8"/>
    <mergeCell ref="A9:B9"/>
    <mergeCell ref="D9:I9"/>
    <mergeCell ref="A11:I11"/>
    <mergeCell ref="A15:A17"/>
    <mergeCell ref="A3:I3"/>
    <mergeCell ref="A5:B5"/>
    <mergeCell ref="D5:I5"/>
    <mergeCell ref="A6:B6"/>
    <mergeCell ref="D6:I6"/>
    <mergeCell ref="A7:B7"/>
    <mergeCell ref="D7:I7"/>
    <mergeCell ref="A20:I20"/>
    <mergeCell ref="F22:I22"/>
  </mergeCells>
  <pageMargins left="0.70866141732283472" right="0.70866141732283472" top="0.78740157480314965" bottom="0.78740157480314965" header="0.31496062992125984" footer="0.31496062992125984"/>
  <pageSetup paperSize="9" scale="87" firstPageNumber="183" fitToHeight="5" orientation="landscape" useFirstPageNumber="1" r:id="rId1"/>
  <headerFoot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F11" sqref="F11"/>
    </sheetView>
  </sheetViews>
  <sheetFormatPr defaultColWidth="6.3984375" defaultRowHeight="7.8" x14ac:dyDescent="0.15"/>
  <cols>
    <col min="1" max="1" width="5.3984375" style="275"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619</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37571870</v>
      </c>
      <c r="F6" s="52">
        <f>SUM(F7:F9)</f>
        <v>38459923</v>
      </c>
      <c r="G6" s="52">
        <f>SUM(G7:G9)</f>
        <v>38466448</v>
      </c>
      <c r="H6" s="4">
        <f t="shared" ref="H6:H29" si="0">G6/F6*100</f>
        <v>100.01696571259386</v>
      </c>
      <c r="I6" s="53">
        <f>SUM(I7:I9)</f>
        <v>34697812</v>
      </c>
      <c r="J6" s="51">
        <f>SUM(J7:J9)</f>
        <v>5053000</v>
      </c>
      <c r="K6" s="52">
        <f t="shared" ref="K6:V6" si="1">SUM(K7:K9)</f>
        <v>5184853</v>
      </c>
      <c r="L6" s="52">
        <f t="shared" si="1"/>
        <v>5191378</v>
      </c>
      <c r="M6" s="4">
        <f t="shared" ref="M6:M29" si="2">L6/K6*100</f>
        <v>100.12584734803474</v>
      </c>
      <c r="N6" s="52">
        <f t="shared" ref="N6" si="3">SUM(N7:N9)</f>
        <v>5155222</v>
      </c>
      <c r="O6" s="54">
        <f t="shared" si="1"/>
        <v>32518870</v>
      </c>
      <c r="P6" s="52">
        <f t="shared" si="1"/>
        <v>33275070</v>
      </c>
      <c r="Q6" s="52">
        <f t="shared" si="1"/>
        <v>33275070</v>
      </c>
      <c r="R6" s="4">
        <f t="shared" ref="R6:R21" si="4">Q6/P6*100</f>
        <v>100</v>
      </c>
      <c r="S6" s="52">
        <f t="shared" ref="S6" si="5">SUM(S7:S9)</f>
        <v>29542590</v>
      </c>
      <c r="T6" s="51">
        <f t="shared" si="1"/>
        <v>96717</v>
      </c>
      <c r="U6" s="52">
        <f t="shared" si="1"/>
        <v>96717</v>
      </c>
      <c r="V6" s="52">
        <f t="shared" si="1"/>
        <v>97188</v>
      </c>
      <c r="W6" s="4">
        <f t="shared" ref="W6:W33" si="6">V6/U6*100</f>
        <v>100.48698780979559</v>
      </c>
      <c r="X6" s="52">
        <f t="shared" ref="X6" si="7">SUM(X7:X9)</f>
        <v>133612</v>
      </c>
    </row>
    <row r="7" spans="1:24" s="34" customFormat="1" x14ac:dyDescent="0.15">
      <c r="A7" s="55" t="s">
        <v>2</v>
      </c>
      <c r="B7" s="1233" t="s">
        <v>46</v>
      </c>
      <c r="C7" s="1233"/>
      <c r="D7" s="50" t="s">
        <v>25</v>
      </c>
      <c r="E7" s="56">
        <f t="shared" ref="E7:G10" si="8">SUM(J7,O7)</f>
        <v>3637000</v>
      </c>
      <c r="F7" s="57">
        <f t="shared" si="8"/>
        <v>3787600</v>
      </c>
      <c r="G7" s="57">
        <f t="shared" si="8"/>
        <v>3793905</v>
      </c>
      <c r="H7" s="58">
        <f t="shared" si="0"/>
        <v>100.16646425176894</v>
      </c>
      <c r="I7" s="59">
        <f>SUM(N7,S7)</f>
        <v>3739117</v>
      </c>
      <c r="J7" s="60">
        <v>3637000</v>
      </c>
      <c r="K7" s="61">
        <v>3787600</v>
      </c>
      <c r="L7" s="61">
        <v>3793905</v>
      </c>
      <c r="M7" s="58">
        <f t="shared" si="2"/>
        <v>100.16646425176894</v>
      </c>
      <c r="N7" s="61">
        <v>3739117</v>
      </c>
      <c r="O7" s="62"/>
      <c r="P7" s="61"/>
      <c r="Q7" s="61"/>
      <c r="R7" s="58">
        <v>0</v>
      </c>
      <c r="S7" s="61"/>
      <c r="T7" s="245">
        <v>96717</v>
      </c>
      <c r="U7" s="61">
        <v>96717</v>
      </c>
      <c r="V7" s="61">
        <v>97188</v>
      </c>
      <c r="W7" s="58">
        <f t="shared" si="6"/>
        <v>100.48698780979559</v>
      </c>
      <c r="X7" s="61">
        <v>133612</v>
      </c>
    </row>
    <row r="8" spans="1:24" s="34" customFormat="1" x14ac:dyDescent="0.15">
      <c r="A8" s="63" t="s">
        <v>3</v>
      </c>
      <c r="B8" s="1237" t="s">
        <v>47</v>
      </c>
      <c r="C8" s="1237"/>
      <c r="D8" s="50" t="s">
        <v>25</v>
      </c>
      <c r="E8" s="56">
        <f t="shared" si="8"/>
        <v>1000</v>
      </c>
      <c r="F8" s="57">
        <f t="shared" si="8"/>
        <v>1000</v>
      </c>
      <c r="G8" s="57">
        <f t="shared" si="8"/>
        <v>1220</v>
      </c>
      <c r="H8" s="58">
        <f t="shared" si="0"/>
        <v>122</v>
      </c>
      <c r="I8" s="59">
        <f>SUM(N8,S8)</f>
        <v>1105</v>
      </c>
      <c r="J8" s="64">
        <v>1000</v>
      </c>
      <c r="K8" s="57">
        <v>1000</v>
      </c>
      <c r="L8" s="57">
        <v>1220</v>
      </c>
      <c r="M8" s="58">
        <f t="shared" si="2"/>
        <v>122</v>
      </c>
      <c r="N8" s="57">
        <v>1105</v>
      </c>
      <c r="O8" s="65"/>
      <c r="P8" s="57"/>
      <c r="Q8" s="57"/>
      <c r="R8" s="58">
        <v>0</v>
      </c>
      <c r="S8" s="57"/>
      <c r="T8" s="56"/>
      <c r="U8" s="57"/>
      <c r="V8" s="57"/>
      <c r="W8" s="58">
        <v>0</v>
      </c>
      <c r="X8" s="57"/>
    </row>
    <row r="9" spans="1:24" s="34" customFormat="1" ht="8.4" x14ac:dyDescent="0.2">
      <c r="A9" s="63" t="s">
        <v>4</v>
      </c>
      <c r="B9" s="66" t="s">
        <v>62</v>
      </c>
      <c r="C9" s="152"/>
      <c r="D9" s="50" t="s">
        <v>25</v>
      </c>
      <c r="E9" s="56">
        <f t="shared" si="8"/>
        <v>33933870</v>
      </c>
      <c r="F9" s="57">
        <f t="shared" si="8"/>
        <v>34671323</v>
      </c>
      <c r="G9" s="57">
        <f t="shared" si="8"/>
        <v>34671323</v>
      </c>
      <c r="H9" s="58">
        <f t="shared" si="0"/>
        <v>100</v>
      </c>
      <c r="I9" s="59">
        <f>SUM(N9,S9)</f>
        <v>30957590</v>
      </c>
      <c r="J9" s="64">
        <v>1415000</v>
      </c>
      <c r="K9" s="57">
        <v>1396253</v>
      </c>
      <c r="L9" s="57">
        <v>1396253</v>
      </c>
      <c r="M9" s="58">
        <f t="shared" si="2"/>
        <v>100</v>
      </c>
      <c r="N9" s="57">
        <v>1415000</v>
      </c>
      <c r="O9" s="65">
        <v>32518870</v>
      </c>
      <c r="P9" s="57">
        <v>33275070</v>
      </c>
      <c r="Q9" s="57">
        <v>33275070</v>
      </c>
      <c r="R9" s="58">
        <f t="shared" si="4"/>
        <v>100</v>
      </c>
      <c r="S9" s="57">
        <v>29542590</v>
      </c>
      <c r="T9" s="56"/>
      <c r="U9" s="57"/>
      <c r="V9" s="57"/>
      <c r="W9" s="58">
        <v>0</v>
      </c>
      <c r="X9" s="57"/>
    </row>
    <row r="10" spans="1:24" s="34" customFormat="1" x14ac:dyDescent="0.15">
      <c r="A10" s="49" t="s">
        <v>5</v>
      </c>
      <c r="B10" s="1236" t="s">
        <v>7</v>
      </c>
      <c r="C10" s="1236"/>
      <c r="D10" s="50" t="s">
        <v>25</v>
      </c>
      <c r="E10" s="68">
        <f t="shared" si="8"/>
        <v>0</v>
      </c>
      <c r="F10" s="69">
        <f t="shared" si="8"/>
        <v>0</v>
      </c>
      <c r="G10" s="69">
        <f t="shared" si="8"/>
        <v>0</v>
      </c>
      <c r="H10" s="4">
        <v>0</v>
      </c>
      <c r="I10" s="70">
        <f>SUM(N10,S10)</f>
        <v>0</v>
      </c>
      <c r="J10" s="71"/>
      <c r="K10" s="69"/>
      <c r="L10" s="69"/>
      <c r="M10" s="4">
        <v>0</v>
      </c>
      <c r="N10" s="69"/>
      <c r="O10" s="72"/>
      <c r="P10" s="69"/>
      <c r="Q10" s="69"/>
      <c r="R10" s="4">
        <v>0</v>
      </c>
      <c r="S10" s="69"/>
      <c r="T10" s="68"/>
      <c r="U10" s="69"/>
      <c r="V10" s="69"/>
      <c r="W10" s="4">
        <v>0</v>
      </c>
      <c r="X10" s="69"/>
    </row>
    <row r="11" spans="1:24" s="34" customFormat="1" x14ac:dyDescent="0.15">
      <c r="A11" s="49" t="s">
        <v>6</v>
      </c>
      <c r="B11" s="1236" t="s">
        <v>9</v>
      </c>
      <c r="C11" s="1236"/>
      <c r="D11" s="50" t="s">
        <v>25</v>
      </c>
      <c r="E11" s="51">
        <f>SUM(E12:E31)</f>
        <v>37571870</v>
      </c>
      <c r="F11" s="52">
        <f>SUM(F12:F31)</f>
        <v>38459923</v>
      </c>
      <c r="G11" s="52">
        <v>38357658</v>
      </c>
      <c r="H11" s="4">
        <f t="shared" si="0"/>
        <v>99.734099831661126</v>
      </c>
      <c r="I11" s="53">
        <f>SUM(I12:I31)</f>
        <v>34512176</v>
      </c>
      <c r="J11" s="51">
        <f>SUM(J12:J31)</f>
        <v>5053000</v>
      </c>
      <c r="K11" s="52">
        <f>SUM(K12:K31)</f>
        <v>5184853</v>
      </c>
      <c r="L11" s="52">
        <f>SUM(L12:L31)</f>
        <v>5082588</v>
      </c>
      <c r="M11" s="4">
        <f t="shared" si="2"/>
        <v>98.027620069460013</v>
      </c>
      <c r="N11" s="52">
        <f>SUM(N12:N31)</f>
        <v>4969586</v>
      </c>
      <c r="O11" s="54">
        <f>SUM(O12:O31)</f>
        <v>32518870</v>
      </c>
      <c r="P11" s="52">
        <f>SUM(P12:P31)</f>
        <v>33275070</v>
      </c>
      <c r="Q11" s="52">
        <f>SUM(Q12:Q31)</f>
        <v>33275070</v>
      </c>
      <c r="R11" s="4">
        <f t="shared" si="4"/>
        <v>100</v>
      </c>
      <c r="S11" s="52">
        <f>SUM(S12:S31)</f>
        <v>29542590</v>
      </c>
      <c r="T11" s="51">
        <f>SUM(T12:T31)</f>
        <v>61500</v>
      </c>
      <c r="U11" s="52">
        <f>SUM(U12:U31)</f>
        <v>64200</v>
      </c>
      <c r="V11" s="52">
        <f>SUM(V12:V31)</f>
        <v>59693</v>
      </c>
      <c r="W11" s="4">
        <f t="shared" si="6"/>
        <v>92.979750778816197</v>
      </c>
      <c r="X11" s="52">
        <f>SUM(X12:X31)</f>
        <v>98062</v>
      </c>
    </row>
    <row r="12" spans="1:24" s="34" customFormat="1" x14ac:dyDescent="0.15">
      <c r="A12" s="73" t="s">
        <v>8</v>
      </c>
      <c r="B12" s="1238" t="s">
        <v>28</v>
      </c>
      <c r="C12" s="1238"/>
      <c r="D12" s="50" t="s">
        <v>25</v>
      </c>
      <c r="E12" s="56">
        <f>SUM(J12,O12)</f>
        <v>763000</v>
      </c>
      <c r="F12" s="57">
        <f t="shared" ref="E12:I27" si="9">SUM(K12,P12)</f>
        <v>895941</v>
      </c>
      <c r="G12" s="57">
        <f t="shared" si="9"/>
        <v>887288</v>
      </c>
      <c r="H12" s="58">
        <f t="shared" si="0"/>
        <v>99.034199796638404</v>
      </c>
      <c r="I12" s="59">
        <f t="shared" si="9"/>
        <v>761188</v>
      </c>
      <c r="J12" s="74">
        <v>763000</v>
      </c>
      <c r="K12" s="75">
        <v>814000</v>
      </c>
      <c r="L12" s="75">
        <v>805347</v>
      </c>
      <c r="M12" s="58">
        <f t="shared" si="2"/>
        <v>98.936977886977886</v>
      </c>
      <c r="N12" s="75">
        <v>716203</v>
      </c>
      <c r="O12" s="180"/>
      <c r="P12" s="75">
        <v>81941</v>
      </c>
      <c r="Q12" s="75">
        <v>81941</v>
      </c>
      <c r="R12" s="58">
        <f t="shared" si="4"/>
        <v>100</v>
      </c>
      <c r="S12" s="75">
        <v>44985</v>
      </c>
      <c r="T12" s="247"/>
      <c r="U12" s="75"/>
      <c r="V12" s="75"/>
      <c r="W12" s="58">
        <v>0</v>
      </c>
      <c r="X12" s="75">
        <v>0</v>
      </c>
    </row>
    <row r="13" spans="1:24" s="34" customFormat="1" x14ac:dyDescent="0.15">
      <c r="A13" s="55" t="s">
        <v>10</v>
      </c>
      <c r="B13" s="1233" t="s">
        <v>29</v>
      </c>
      <c r="C13" s="1233"/>
      <c r="D13" s="50" t="s">
        <v>25</v>
      </c>
      <c r="E13" s="56">
        <f t="shared" si="9"/>
        <v>920000</v>
      </c>
      <c r="F13" s="57">
        <f t="shared" si="9"/>
        <v>880000</v>
      </c>
      <c r="G13" s="57">
        <f t="shared" si="9"/>
        <v>876998</v>
      </c>
      <c r="H13" s="58">
        <f t="shared" si="0"/>
        <v>99.658863636363634</v>
      </c>
      <c r="I13" s="59">
        <f t="shared" si="9"/>
        <v>739085</v>
      </c>
      <c r="J13" s="74">
        <v>920000</v>
      </c>
      <c r="K13" s="57">
        <v>880000</v>
      </c>
      <c r="L13" s="57">
        <v>876998</v>
      </c>
      <c r="M13" s="58">
        <f t="shared" si="2"/>
        <v>99.658863636363634</v>
      </c>
      <c r="N13" s="57">
        <v>739085</v>
      </c>
      <c r="O13" s="65"/>
      <c r="P13" s="57"/>
      <c r="Q13" s="57"/>
      <c r="R13" s="58">
        <v>0</v>
      </c>
      <c r="S13" s="57"/>
      <c r="T13" s="56">
        <v>56000</v>
      </c>
      <c r="U13" s="57">
        <v>56000</v>
      </c>
      <c r="V13" s="57">
        <v>54271</v>
      </c>
      <c r="W13" s="58">
        <f t="shared" si="6"/>
        <v>96.912499999999994</v>
      </c>
      <c r="X13" s="57">
        <v>53142</v>
      </c>
    </row>
    <row r="14" spans="1:24" s="34" customFormat="1" x14ac:dyDescent="0.15">
      <c r="A14" s="55" t="s">
        <v>11</v>
      </c>
      <c r="B14" s="151" t="s">
        <v>63</v>
      </c>
      <c r="C14" s="151"/>
      <c r="D14" s="50" t="s">
        <v>25</v>
      </c>
      <c r="E14" s="56">
        <f t="shared" si="9"/>
        <v>0</v>
      </c>
      <c r="F14" s="57">
        <f t="shared" si="9"/>
        <v>0</v>
      </c>
      <c r="G14" s="57">
        <f t="shared" si="9"/>
        <v>0</v>
      </c>
      <c r="H14" s="58">
        <v>0</v>
      </c>
      <c r="I14" s="59">
        <f t="shared" si="9"/>
        <v>0</v>
      </c>
      <c r="J14" s="74">
        <v>0</v>
      </c>
      <c r="K14" s="57"/>
      <c r="L14" s="57">
        <v>0</v>
      </c>
      <c r="M14" s="58">
        <v>0</v>
      </c>
      <c r="N14" s="57"/>
      <c r="O14" s="65"/>
      <c r="P14" s="57"/>
      <c r="Q14" s="57"/>
      <c r="R14" s="58">
        <v>0</v>
      </c>
      <c r="S14" s="57"/>
      <c r="T14" s="56"/>
      <c r="U14" s="57"/>
      <c r="V14" s="57"/>
      <c r="W14" s="58">
        <v>0</v>
      </c>
      <c r="X14" s="57"/>
    </row>
    <row r="15" spans="1:24" s="34" customFormat="1" x14ac:dyDescent="0.15">
      <c r="A15" s="55" t="s">
        <v>12</v>
      </c>
      <c r="B15" s="1233" t="s">
        <v>64</v>
      </c>
      <c r="C15" s="1233"/>
      <c r="D15" s="50" t="s">
        <v>25</v>
      </c>
      <c r="E15" s="56">
        <f t="shared" si="9"/>
        <v>450000</v>
      </c>
      <c r="F15" s="57">
        <f t="shared" si="9"/>
        <v>410000</v>
      </c>
      <c r="G15" s="57">
        <f t="shared" si="9"/>
        <v>397826</v>
      </c>
      <c r="H15" s="58">
        <f t="shared" si="0"/>
        <v>97.030731707317074</v>
      </c>
      <c r="I15" s="59">
        <f t="shared" si="9"/>
        <v>523894</v>
      </c>
      <c r="J15" s="74">
        <v>450000</v>
      </c>
      <c r="K15" s="57">
        <v>410000</v>
      </c>
      <c r="L15" s="57">
        <v>397826</v>
      </c>
      <c r="M15" s="58">
        <f t="shared" si="2"/>
        <v>97.030731707317074</v>
      </c>
      <c r="N15" s="57">
        <v>523894</v>
      </c>
      <c r="O15" s="65"/>
      <c r="P15" s="57"/>
      <c r="Q15" s="57"/>
      <c r="R15" s="58">
        <v>0</v>
      </c>
      <c r="S15" s="57"/>
      <c r="T15" s="56">
        <v>3000</v>
      </c>
      <c r="U15" s="57">
        <v>2000</v>
      </c>
      <c r="V15" s="57">
        <v>0</v>
      </c>
      <c r="W15" s="58">
        <f t="shared" si="6"/>
        <v>0</v>
      </c>
      <c r="X15" s="57">
        <v>39753</v>
      </c>
    </row>
    <row r="16" spans="1:24" s="34" customFormat="1" x14ac:dyDescent="0.15">
      <c r="A16" s="55" t="s">
        <v>13</v>
      </c>
      <c r="B16" s="1233" t="s">
        <v>30</v>
      </c>
      <c r="C16" s="1233"/>
      <c r="D16" s="50" t="s">
        <v>25</v>
      </c>
      <c r="E16" s="56">
        <f t="shared" si="9"/>
        <v>30000</v>
      </c>
      <c r="F16" s="57">
        <f t="shared" si="9"/>
        <v>40000</v>
      </c>
      <c r="G16" s="57">
        <f t="shared" si="9"/>
        <v>39828</v>
      </c>
      <c r="H16" s="58">
        <f t="shared" si="0"/>
        <v>99.570000000000007</v>
      </c>
      <c r="I16" s="59">
        <f t="shared" si="9"/>
        <v>23915</v>
      </c>
      <c r="J16" s="74">
        <v>30000</v>
      </c>
      <c r="K16" s="57">
        <v>40000</v>
      </c>
      <c r="L16" s="57">
        <v>39828</v>
      </c>
      <c r="M16" s="58">
        <f t="shared" si="2"/>
        <v>99.570000000000007</v>
      </c>
      <c r="N16" s="57">
        <v>23915</v>
      </c>
      <c r="O16" s="65"/>
      <c r="P16" s="57"/>
      <c r="Q16" s="57"/>
      <c r="R16" s="58">
        <v>0</v>
      </c>
      <c r="S16" s="57"/>
      <c r="T16" s="56"/>
      <c r="U16" s="57"/>
      <c r="V16" s="57"/>
      <c r="W16" s="58">
        <v>0</v>
      </c>
      <c r="X16" s="57"/>
    </row>
    <row r="17" spans="1:24" s="34" customFormat="1" x14ac:dyDescent="0.15">
      <c r="A17" s="55" t="s">
        <v>14</v>
      </c>
      <c r="B17" s="151" t="s">
        <v>48</v>
      </c>
      <c r="C17" s="151"/>
      <c r="D17" s="50" t="s">
        <v>25</v>
      </c>
      <c r="E17" s="56">
        <f t="shared" si="9"/>
        <v>30000</v>
      </c>
      <c r="F17" s="57">
        <f t="shared" si="9"/>
        <v>50000</v>
      </c>
      <c r="G17" s="57">
        <f t="shared" si="9"/>
        <v>44433</v>
      </c>
      <c r="H17" s="58">
        <f t="shared" si="0"/>
        <v>88.866</v>
      </c>
      <c r="I17" s="59">
        <f t="shared" si="9"/>
        <v>36479</v>
      </c>
      <c r="J17" s="74">
        <v>30000</v>
      </c>
      <c r="K17" s="57">
        <v>50000</v>
      </c>
      <c r="L17" s="57">
        <v>44433</v>
      </c>
      <c r="M17" s="58">
        <f t="shared" si="2"/>
        <v>88.866</v>
      </c>
      <c r="N17" s="57">
        <v>36479</v>
      </c>
      <c r="O17" s="65"/>
      <c r="P17" s="57"/>
      <c r="Q17" s="57"/>
      <c r="R17" s="58">
        <v>0</v>
      </c>
      <c r="S17" s="57"/>
      <c r="T17" s="56"/>
      <c r="U17" s="57"/>
      <c r="V17" s="57"/>
      <c r="W17" s="58">
        <v>0</v>
      </c>
      <c r="X17" s="57"/>
    </row>
    <row r="18" spans="1:24" s="34" customFormat="1" x14ac:dyDescent="0.15">
      <c r="A18" s="55" t="s">
        <v>15</v>
      </c>
      <c r="B18" s="1233" t="s">
        <v>31</v>
      </c>
      <c r="C18" s="1233"/>
      <c r="D18" s="50" t="s">
        <v>25</v>
      </c>
      <c r="E18" s="56">
        <f t="shared" si="9"/>
        <v>1166961</v>
      </c>
      <c r="F18" s="57">
        <f t="shared" si="9"/>
        <v>1268225</v>
      </c>
      <c r="G18" s="57">
        <f t="shared" si="9"/>
        <v>1206394</v>
      </c>
      <c r="H18" s="58">
        <f t="shared" si="0"/>
        <v>95.124603284117569</v>
      </c>
      <c r="I18" s="59">
        <f t="shared" si="9"/>
        <v>920540</v>
      </c>
      <c r="J18" s="74">
        <v>1166961</v>
      </c>
      <c r="K18" s="57">
        <v>1268225</v>
      </c>
      <c r="L18" s="57">
        <v>1206394</v>
      </c>
      <c r="M18" s="58">
        <f t="shared" si="2"/>
        <v>95.124603284117569</v>
      </c>
      <c r="N18" s="57">
        <v>920540</v>
      </c>
      <c r="O18" s="65"/>
      <c r="P18" s="57"/>
      <c r="Q18" s="57"/>
      <c r="R18" s="58">
        <v>0</v>
      </c>
      <c r="S18" s="57"/>
      <c r="T18" s="56">
        <v>2500</v>
      </c>
      <c r="U18" s="57">
        <v>3500</v>
      </c>
      <c r="V18" s="57">
        <v>2722</v>
      </c>
      <c r="W18" s="58">
        <f t="shared" si="6"/>
        <v>77.771428571428572</v>
      </c>
      <c r="X18" s="57">
        <v>2467</v>
      </c>
    </row>
    <row r="19" spans="1:24" s="37" customFormat="1" x14ac:dyDescent="0.15">
      <c r="A19" s="55" t="s">
        <v>16</v>
      </c>
      <c r="B19" s="1233" t="s">
        <v>32</v>
      </c>
      <c r="C19" s="1233"/>
      <c r="D19" s="50" t="s">
        <v>25</v>
      </c>
      <c r="E19" s="56">
        <f t="shared" si="9"/>
        <v>23837500</v>
      </c>
      <c r="F19" s="57">
        <f t="shared" si="9"/>
        <v>24463510</v>
      </c>
      <c r="G19" s="57">
        <f t="shared" si="9"/>
        <v>24463510</v>
      </c>
      <c r="H19" s="58">
        <f t="shared" si="0"/>
        <v>100</v>
      </c>
      <c r="I19" s="59">
        <f t="shared" si="9"/>
        <v>21736048</v>
      </c>
      <c r="J19" s="77"/>
      <c r="K19" s="57">
        <v>13600</v>
      </c>
      <c r="L19" s="57">
        <v>13600</v>
      </c>
      <c r="M19" s="58">
        <f t="shared" si="2"/>
        <v>100</v>
      </c>
      <c r="N19" s="57">
        <v>28800</v>
      </c>
      <c r="O19" s="65">
        <v>23837500</v>
      </c>
      <c r="P19" s="57">
        <v>24449910</v>
      </c>
      <c r="Q19" s="57">
        <v>24449910</v>
      </c>
      <c r="R19" s="58">
        <f t="shared" si="4"/>
        <v>100</v>
      </c>
      <c r="S19" s="57">
        <v>21707248</v>
      </c>
      <c r="T19" s="249"/>
      <c r="U19" s="78"/>
      <c r="V19" s="78"/>
      <c r="W19" s="58">
        <v>0</v>
      </c>
      <c r="X19" s="78"/>
    </row>
    <row r="20" spans="1:24" s="34" customFormat="1" x14ac:dyDescent="0.15">
      <c r="A20" s="55" t="s">
        <v>17</v>
      </c>
      <c r="B20" s="1233" t="s">
        <v>49</v>
      </c>
      <c r="C20" s="1233"/>
      <c r="D20" s="50" t="s">
        <v>25</v>
      </c>
      <c r="E20" s="56">
        <f t="shared" si="9"/>
        <v>8326720</v>
      </c>
      <c r="F20" s="57">
        <f t="shared" si="9"/>
        <v>8363248</v>
      </c>
      <c r="G20" s="57">
        <f t="shared" si="9"/>
        <v>8363248</v>
      </c>
      <c r="H20" s="58">
        <f t="shared" si="0"/>
        <v>100</v>
      </c>
      <c r="I20" s="59">
        <f t="shared" si="9"/>
        <v>7452371</v>
      </c>
      <c r="J20" s="74">
        <v>120000</v>
      </c>
      <c r="K20" s="57">
        <v>106927</v>
      </c>
      <c r="L20" s="57">
        <v>106927</v>
      </c>
      <c r="M20" s="58">
        <f t="shared" si="2"/>
        <v>100</v>
      </c>
      <c r="N20" s="57">
        <v>94059</v>
      </c>
      <c r="O20" s="65">
        <v>8206720</v>
      </c>
      <c r="P20" s="57">
        <v>8256321</v>
      </c>
      <c r="Q20" s="57">
        <v>8256321</v>
      </c>
      <c r="R20" s="58">
        <f t="shared" si="4"/>
        <v>100</v>
      </c>
      <c r="S20" s="57">
        <v>7358312</v>
      </c>
      <c r="T20" s="56"/>
      <c r="U20" s="57"/>
      <c r="V20" s="57"/>
      <c r="W20" s="58">
        <v>0</v>
      </c>
      <c r="X20" s="57"/>
    </row>
    <row r="21" spans="1:24" s="34" customFormat="1" x14ac:dyDescent="0.15">
      <c r="A21" s="55" t="s">
        <v>18</v>
      </c>
      <c r="B21" s="1233" t="s">
        <v>50</v>
      </c>
      <c r="C21" s="1233"/>
      <c r="D21" s="50" t="s">
        <v>25</v>
      </c>
      <c r="E21" s="56">
        <f t="shared" si="9"/>
        <v>499650</v>
      </c>
      <c r="F21" s="57">
        <f t="shared" si="9"/>
        <v>506224</v>
      </c>
      <c r="G21" s="57">
        <f t="shared" si="9"/>
        <v>506224</v>
      </c>
      <c r="H21" s="58">
        <f t="shared" si="0"/>
        <v>100</v>
      </c>
      <c r="I21" s="59">
        <f t="shared" si="9"/>
        <v>457474</v>
      </c>
      <c r="J21" s="74">
        <v>25000</v>
      </c>
      <c r="K21" s="57">
        <v>19326</v>
      </c>
      <c r="L21" s="57">
        <v>19326</v>
      </c>
      <c r="M21" s="58">
        <f t="shared" si="2"/>
        <v>100</v>
      </c>
      <c r="N21" s="57">
        <v>25429</v>
      </c>
      <c r="O21" s="65">
        <v>474650</v>
      </c>
      <c r="P21" s="57">
        <v>486898</v>
      </c>
      <c r="Q21" s="57">
        <v>486898</v>
      </c>
      <c r="R21" s="58">
        <f t="shared" si="4"/>
        <v>100</v>
      </c>
      <c r="S21" s="57">
        <v>432045</v>
      </c>
      <c r="T21" s="56"/>
      <c r="U21" s="57"/>
      <c r="V21" s="57"/>
      <c r="W21" s="58">
        <v>0</v>
      </c>
      <c r="X21" s="57"/>
    </row>
    <row r="22" spans="1:24" s="34" customFormat="1" x14ac:dyDescent="0.15">
      <c r="A22" s="55" t="s">
        <v>19</v>
      </c>
      <c r="B22" s="1233" t="s">
        <v>65</v>
      </c>
      <c r="C22" s="1233"/>
      <c r="D22" s="50" t="s">
        <v>25</v>
      </c>
      <c r="E22" s="56">
        <f t="shared" si="9"/>
        <v>4200</v>
      </c>
      <c r="F22" s="57">
        <f t="shared" si="9"/>
        <v>4200</v>
      </c>
      <c r="G22" s="57">
        <f t="shared" si="9"/>
        <v>1500</v>
      </c>
      <c r="H22" s="58">
        <f t="shared" si="0"/>
        <v>35.714285714285715</v>
      </c>
      <c r="I22" s="59">
        <f t="shared" si="9"/>
        <v>1500</v>
      </c>
      <c r="J22" s="74">
        <v>4200</v>
      </c>
      <c r="K22" s="57">
        <v>4200</v>
      </c>
      <c r="L22" s="57">
        <v>1500</v>
      </c>
      <c r="M22" s="58">
        <f t="shared" si="2"/>
        <v>35.714285714285715</v>
      </c>
      <c r="N22" s="57">
        <v>1500</v>
      </c>
      <c r="O22" s="65"/>
      <c r="P22" s="57"/>
      <c r="Q22" s="57"/>
      <c r="R22" s="58">
        <v>0</v>
      </c>
      <c r="S22" s="57"/>
      <c r="T22" s="56"/>
      <c r="U22" s="57">
        <v>2700</v>
      </c>
      <c r="V22" s="57">
        <v>2700</v>
      </c>
      <c r="W22" s="58">
        <f t="shared" si="6"/>
        <v>100</v>
      </c>
      <c r="X22" s="57">
        <v>2700</v>
      </c>
    </row>
    <row r="23" spans="1:24" s="34" customFormat="1" x14ac:dyDescent="0.15">
      <c r="A23" s="55" t="s">
        <v>20</v>
      </c>
      <c r="B23" s="151" t="s">
        <v>66</v>
      </c>
      <c r="C23" s="151"/>
      <c r="D23" s="50" t="s">
        <v>25</v>
      </c>
      <c r="E23" s="56">
        <f t="shared" si="9"/>
        <v>0</v>
      </c>
      <c r="F23" s="57">
        <v>5000</v>
      </c>
      <c r="G23" s="57">
        <f t="shared" si="9"/>
        <v>5000</v>
      </c>
      <c r="H23" s="58">
        <f t="shared" si="0"/>
        <v>100</v>
      </c>
      <c r="I23" s="59">
        <f t="shared" si="9"/>
        <v>699</v>
      </c>
      <c r="J23" s="74">
        <v>0</v>
      </c>
      <c r="K23" s="57">
        <v>5000</v>
      </c>
      <c r="L23" s="57">
        <v>5000</v>
      </c>
      <c r="M23" s="58">
        <f t="shared" si="2"/>
        <v>100</v>
      </c>
      <c r="N23" s="57">
        <v>699</v>
      </c>
      <c r="O23" s="65"/>
      <c r="P23" s="57"/>
      <c r="Q23" s="57"/>
      <c r="R23" s="58">
        <v>0</v>
      </c>
      <c r="S23" s="57"/>
      <c r="T23" s="56"/>
      <c r="U23" s="57"/>
      <c r="V23" s="57"/>
      <c r="W23" s="58">
        <v>0</v>
      </c>
      <c r="X23" s="57"/>
    </row>
    <row r="24" spans="1:24" s="34" customFormat="1" x14ac:dyDescent="0.15">
      <c r="A24" s="55" t="s">
        <v>21</v>
      </c>
      <c r="B24" s="151" t="s">
        <v>73</v>
      </c>
      <c r="C24" s="151"/>
      <c r="D24" s="50" t="s">
        <v>25</v>
      </c>
      <c r="E24" s="56">
        <f t="shared" si="9"/>
        <v>0</v>
      </c>
      <c r="F24" s="57">
        <f t="shared" si="9"/>
        <v>0</v>
      </c>
      <c r="G24" s="57">
        <f t="shared" si="9"/>
        <v>0</v>
      </c>
      <c r="H24" s="58">
        <v>0</v>
      </c>
      <c r="I24" s="59">
        <f t="shared" si="9"/>
        <v>0</v>
      </c>
      <c r="J24" s="74">
        <v>0</v>
      </c>
      <c r="K24" s="57"/>
      <c r="L24" s="57"/>
      <c r="M24" s="58">
        <v>0</v>
      </c>
      <c r="N24" s="57"/>
      <c r="O24" s="65"/>
      <c r="P24" s="57"/>
      <c r="Q24" s="57"/>
      <c r="R24" s="58">
        <v>0</v>
      </c>
      <c r="S24" s="57"/>
      <c r="T24" s="56"/>
      <c r="U24" s="57"/>
      <c r="V24" s="57"/>
      <c r="W24" s="58">
        <v>0</v>
      </c>
      <c r="X24" s="57"/>
    </row>
    <row r="25" spans="1:24" s="34" customFormat="1" x14ac:dyDescent="0.15">
      <c r="A25" s="73" t="s">
        <v>22</v>
      </c>
      <c r="B25" s="154" t="s">
        <v>68</v>
      </c>
      <c r="C25" s="154"/>
      <c r="D25" s="50" t="s">
        <v>25</v>
      </c>
      <c r="E25" s="56">
        <f t="shared" si="9"/>
        <v>0</v>
      </c>
      <c r="F25" s="57">
        <f t="shared" si="9"/>
        <v>0</v>
      </c>
      <c r="G25" s="57">
        <f t="shared" si="9"/>
        <v>0</v>
      </c>
      <c r="H25" s="58">
        <v>0</v>
      </c>
      <c r="I25" s="59">
        <f t="shared" si="9"/>
        <v>0</v>
      </c>
      <c r="J25" s="74">
        <v>0</v>
      </c>
      <c r="K25" s="75"/>
      <c r="L25" s="75"/>
      <c r="M25" s="58">
        <v>0</v>
      </c>
      <c r="N25" s="75">
        <v>0</v>
      </c>
      <c r="O25" s="180"/>
      <c r="P25" s="75"/>
      <c r="Q25" s="75"/>
      <c r="R25" s="58">
        <v>0</v>
      </c>
      <c r="S25" s="75"/>
      <c r="T25" s="247"/>
      <c r="U25" s="75"/>
      <c r="V25" s="75"/>
      <c r="W25" s="58">
        <v>0</v>
      </c>
      <c r="X25" s="75"/>
    </row>
    <row r="26" spans="1:24" s="38" customFormat="1" x14ac:dyDescent="0.15">
      <c r="A26" s="55" t="s">
        <v>23</v>
      </c>
      <c r="B26" s="1233" t="s">
        <v>69</v>
      </c>
      <c r="C26" s="1233"/>
      <c r="D26" s="50" t="s">
        <v>25</v>
      </c>
      <c r="E26" s="56">
        <f t="shared" si="9"/>
        <v>727839</v>
      </c>
      <c r="F26" s="57">
        <f t="shared" si="9"/>
        <v>728575</v>
      </c>
      <c r="G26" s="57">
        <f t="shared" si="9"/>
        <v>728575</v>
      </c>
      <c r="H26" s="81">
        <f t="shared" si="0"/>
        <v>100</v>
      </c>
      <c r="I26" s="59">
        <f t="shared" si="9"/>
        <v>726306</v>
      </c>
      <c r="J26" s="74">
        <v>727839</v>
      </c>
      <c r="K26" s="82">
        <v>728575</v>
      </c>
      <c r="L26" s="82">
        <v>728575</v>
      </c>
      <c r="M26" s="58">
        <f t="shared" si="2"/>
        <v>100</v>
      </c>
      <c r="N26" s="82">
        <v>726306</v>
      </c>
      <c r="O26" s="290"/>
      <c r="P26" s="82"/>
      <c r="Q26" s="82"/>
      <c r="R26" s="58">
        <v>0</v>
      </c>
      <c r="S26" s="82"/>
      <c r="T26" s="252"/>
      <c r="U26" s="83"/>
      <c r="V26" s="83"/>
      <c r="W26" s="58">
        <v>0</v>
      </c>
      <c r="X26" s="83"/>
    </row>
    <row r="27" spans="1:24" s="39" customFormat="1" x14ac:dyDescent="0.15">
      <c r="A27" s="55" t="s">
        <v>45</v>
      </c>
      <c r="B27" s="151" t="s">
        <v>70</v>
      </c>
      <c r="C27" s="151"/>
      <c r="D27" s="50" t="s">
        <v>25</v>
      </c>
      <c r="E27" s="56">
        <f t="shared" si="9"/>
        <v>0</v>
      </c>
      <c r="F27" s="57">
        <f t="shared" si="9"/>
        <v>0</v>
      </c>
      <c r="G27" s="57">
        <f t="shared" si="9"/>
        <v>0</v>
      </c>
      <c r="H27" s="81">
        <v>0</v>
      </c>
      <c r="I27" s="59">
        <f t="shared" si="9"/>
        <v>0</v>
      </c>
      <c r="J27" s="74"/>
      <c r="K27" s="82"/>
      <c r="L27" s="82"/>
      <c r="M27" s="58">
        <v>0</v>
      </c>
      <c r="N27" s="82"/>
      <c r="O27" s="290"/>
      <c r="P27" s="82"/>
      <c r="Q27" s="82"/>
      <c r="R27" s="58">
        <v>0</v>
      </c>
      <c r="S27" s="82"/>
      <c r="T27" s="252"/>
      <c r="U27" s="83"/>
      <c r="V27" s="83"/>
      <c r="W27" s="58">
        <v>0</v>
      </c>
      <c r="X27" s="83"/>
    </row>
    <row r="28" spans="1:24" s="39" customFormat="1" x14ac:dyDescent="0.15">
      <c r="A28" s="55" t="s">
        <v>51</v>
      </c>
      <c r="B28" s="151" t="s">
        <v>74</v>
      </c>
      <c r="C28" s="151"/>
      <c r="D28" s="50" t="s">
        <v>25</v>
      </c>
      <c r="E28" s="56">
        <v>711000</v>
      </c>
      <c r="F28" s="57">
        <v>715000</v>
      </c>
      <c r="G28" s="57">
        <v>710336</v>
      </c>
      <c r="H28" s="81">
        <v>0</v>
      </c>
      <c r="I28" s="59">
        <v>1086420</v>
      </c>
      <c r="J28" s="74">
        <v>711000</v>
      </c>
      <c r="K28" s="82">
        <v>715000</v>
      </c>
      <c r="L28" s="82">
        <v>710336</v>
      </c>
      <c r="M28" s="58">
        <f t="shared" si="2"/>
        <v>99.347692307692299</v>
      </c>
      <c r="N28" s="82">
        <v>1086420</v>
      </c>
      <c r="O28" s="290"/>
      <c r="P28" s="82"/>
      <c r="Q28" s="82"/>
      <c r="R28" s="58">
        <v>0</v>
      </c>
      <c r="S28" s="82"/>
      <c r="T28" s="252"/>
      <c r="U28" s="83"/>
      <c r="V28" s="83"/>
      <c r="W28" s="58">
        <v>0</v>
      </c>
      <c r="X28" s="83"/>
    </row>
    <row r="29" spans="1:24" s="38" customFormat="1" x14ac:dyDescent="0.15">
      <c r="A29" s="55" t="s">
        <v>52</v>
      </c>
      <c r="B29" s="1233" t="s">
        <v>67</v>
      </c>
      <c r="C29" s="1233"/>
      <c r="D29" s="50" t="s">
        <v>25</v>
      </c>
      <c r="E29" s="56">
        <f t="shared" ref="E29:G31" si="10">SUM(J29,O29)</f>
        <v>105000</v>
      </c>
      <c r="F29" s="57">
        <f t="shared" si="10"/>
        <v>130000</v>
      </c>
      <c r="G29" s="57">
        <f t="shared" si="10"/>
        <v>126498</v>
      </c>
      <c r="H29" s="81">
        <f t="shared" si="0"/>
        <v>97.306153846153848</v>
      </c>
      <c r="I29" s="59">
        <f>SUM(N29,S29)</f>
        <v>46257</v>
      </c>
      <c r="J29" s="74">
        <v>105000</v>
      </c>
      <c r="K29" s="82">
        <v>130000</v>
      </c>
      <c r="L29" s="82">
        <v>126498</v>
      </c>
      <c r="M29" s="58">
        <f t="shared" si="2"/>
        <v>97.306153846153848</v>
      </c>
      <c r="N29" s="82">
        <v>46257</v>
      </c>
      <c r="O29" s="290"/>
      <c r="P29" s="82"/>
      <c r="Q29" s="82"/>
      <c r="R29" s="58">
        <v>0</v>
      </c>
      <c r="S29" s="82"/>
      <c r="T29" s="252"/>
      <c r="U29" s="83"/>
      <c r="V29" s="83"/>
      <c r="W29" s="58">
        <v>0</v>
      </c>
      <c r="X29" s="83"/>
    </row>
    <row r="30" spans="1:24" s="34" customFormat="1" x14ac:dyDescent="0.15">
      <c r="A30" s="55" t="s">
        <v>54</v>
      </c>
      <c r="B30" s="151" t="s">
        <v>53</v>
      </c>
      <c r="C30" s="151"/>
      <c r="D30" s="50" t="s">
        <v>25</v>
      </c>
      <c r="E30" s="56">
        <f t="shared" si="10"/>
        <v>0</v>
      </c>
      <c r="F30" s="57">
        <f t="shared" si="10"/>
        <v>0</v>
      </c>
      <c r="G30" s="57">
        <f t="shared" si="10"/>
        <v>0</v>
      </c>
      <c r="H30" s="81">
        <v>0</v>
      </c>
      <c r="I30" s="59">
        <f>SUM(N30,S30)</f>
        <v>0</v>
      </c>
      <c r="J30" s="74"/>
      <c r="K30" s="82"/>
      <c r="L30" s="82"/>
      <c r="M30" s="58">
        <v>0</v>
      </c>
      <c r="N30" s="82"/>
      <c r="O30" s="290"/>
      <c r="P30" s="82"/>
      <c r="Q30" s="82"/>
      <c r="R30" s="58">
        <v>0</v>
      </c>
      <c r="S30" s="82"/>
      <c r="T30" s="252"/>
      <c r="U30" s="83"/>
      <c r="V30" s="83"/>
      <c r="W30" s="58">
        <v>0</v>
      </c>
      <c r="X30" s="83"/>
    </row>
    <row r="31" spans="1:24" s="5" customFormat="1" ht="8.4" x14ac:dyDescent="0.2">
      <c r="A31" s="55" t="s">
        <v>55</v>
      </c>
      <c r="B31" s="66" t="s">
        <v>71</v>
      </c>
      <c r="C31" s="66"/>
      <c r="D31" s="50" t="s">
        <v>25</v>
      </c>
      <c r="E31" s="56">
        <f t="shared" si="10"/>
        <v>0</v>
      </c>
      <c r="F31" s="57">
        <f t="shared" si="10"/>
        <v>0</v>
      </c>
      <c r="G31" s="57">
        <f t="shared" si="10"/>
        <v>0</v>
      </c>
      <c r="H31" s="81">
        <v>0</v>
      </c>
      <c r="I31" s="59">
        <f>SUM(N31,S31)</f>
        <v>0</v>
      </c>
      <c r="J31" s="74"/>
      <c r="K31" s="84"/>
      <c r="L31" s="84"/>
      <c r="M31" s="58">
        <v>0</v>
      </c>
      <c r="N31" s="84"/>
      <c r="O31" s="85"/>
      <c r="P31" s="84"/>
      <c r="Q31" s="84"/>
      <c r="R31" s="58">
        <v>0</v>
      </c>
      <c r="S31" s="84"/>
      <c r="T31" s="256"/>
      <c r="U31" s="31"/>
      <c r="V31" s="31"/>
      <c r="W31" s="58">
        <v>0</v>
      </c>
      <c r="X31" s="31"/>
    </row>
    <row r="32" spans="1:24" s="5" customFormat="1" x14ac:dyDescent="0.15">
      <c r="A32" s="73" t="s">
        <v>56</v>
      </c>
      <c r="B32" s="154" t="s">
        <v>72</v>
      </c>
      <c r="C32" s="154"/>
      <c r="D32" s="50" t="s">
        <v>25</v>
      </c>
      <c r="E32" s="56">
        <f>SUM(J32,O32)</f>
        <v>0</v>
      </c>
      <c r="F32" s="57">
        <f>SUM(K32,P32)</f>
        <v>0</v>
      </c>
      <c r="G32" s="57">
        <f>SUM(L32,Q32)</f>
        <v>0</v>
      </c>
      <c r="H32" s="81">
        <v>0</v>
      </c>
      <c r="I32" s="59">
        <f>SUM(N32,S32)</f>
        <v>0</v>
      </c>
      <c r="J32" s="86"/>
      <c r="K32" s="31"/>
      <c r="L32" s="31"/>
      <c r="M32" s="58">
        <v>0</v>
      </c>
      <c r="N32" s="31"/>
      <c r="O32" s="87"/>
      <c r="P32" s="31"/>
      <c r="Q32" s="31"/>
      <c r="R32" s="58">
        <v>0</v>
      </c>
      <c r="S32" s="31"/>
      <c r="T32" s="256"/>
      <c r="U32" s="31"/>
      <c r="V32" s="31"/>
      <c r="W32" s="58">
        <v>0</v>
      </c>
      <c r="X32" s="31"/>
    </row>
    <row r="33" spans="1:24" s="5" customFormat="1" x14ac:dyDescent="0.15">
      <c r="A33" s="49" t="s">
        <v>57</v>
      </c>
      <c r="B33" s="153" t="s">
        <v>58</v>
      </c>
      <c r="C33" s="153"/>
      <c r="D33" s="50" t="s">
        <v>25</v>
      </c>
      <c r="E33" s="51">
        <f>E6-E11</f>
        <v>0</v>
      </c>
      <c r="F33" s="52">
        <f t="shared" ref="F33:G33" si="11">F6-F11</f>
        <v>0</v>
      </c>
      <c r="G33" s="52">
        <f t="shared" si="11"/>
        <v>108790</v>
      </c>
      <c r="H33" s="89">
        <v>0</v>
      </c>
      <c r="I33" s="53">
        <f t="shared" ref="I33:L33" si="12">I6-I11</f>
        <v>185636</v>
      </c>
      <c r="J33" s="51">
        <f>J6-J11</f>
        <v>0</v>
      </c>
      <c r="K33" s="52">
        <f t="shared" si="12"/>
        <v>0</v>
      </c>
      <c r="L33" s="52">
        <f t="shared" si="12"/>
        <v>108790</v>
      </c>
      <c r="M33" s="4">
        <v>0</v>
      </c>
      <c r="N33" s="52">
        <f t="shared" ref="N33" si="13">N6-N11</f>
        <v>185636</v>
      </c>
      <c r="O33" s="54">
        <f>O6-O11</f>
        <v>0</v>
      </c>
      <c r="P33" s="52">
        <f t="shared" ref="P33:Q33" si="14">P6-P11</f>
        <v>0</v>
      </c>
      <c r="Q33" s="52">
        <f t="shared" si="14"/>
        <v>0</v>
      </c>
      <c r="R33" s="4">
        <v>0</v>
      </c>
      <c r="S33" s="52">
        <f t="shared" ref="S33" si="15">S6-S11</f>
        <v>0</v>
      </c>
      <c r="T33" s="51">
        <f>T6-T11</f>
        <v>35217</v>
      </c>
      <c r="U33" s="52">
        <f t="shared" ref="U33:V33" si="16">U6-U11</f>
        <v>32517</v>
      </c>
      <c r="V33" s="52">
        <f t="shared" si="16"/>
        <v>37495</v>
      </c>
      <c r="W33" s="58">
        <f t="shared" si="6"/>
        <v>115.30891533659317</v>
      </c>
      <c r="X33" s="52">
        <f t="shared" ref="X33" si="17">X6-X11</f>
        <v>35550</v>
      </c>
    </row>
    <row r="34" spans="1:24" s="6" customFormat="1" x14ac:dyDescent="0.15">
      <c r="A34" s="90" t="s">
        <v>59</v>
      </c>
      <c r="B34" s="1239" t="s">
        <v>24</v>
      </c>
      <c r="C34" s="1239"/>
      <c r="D34" s="91" t="s">
        <v>25</v>
      </c>
      <c r="E34" s="92">
        <v>34100</v>
      </c>
      <c r="F34" s="93">
        <v>35287</v>
      </c>
      <c r="G34" s="93">
        <v>35287</v>
      </c>
      <c r="H34" s="81">
        <v>0</v>
      </c>
      <c r="I34" s="94"/>
      <c r="J34" s="95"/>
      <c r="K34" s="96"/>
      <c r="L34" s="96"/>
      <c r="M34" s="58">
        <v>0</v>
      </c>
      <c r="N34" s="96">
        <v>0</v>
      </c>
      <c r="O34" s="97">
        <v>34100</v>
      </c>
      <c r="P34" s="96">
        <v>35287</v>
      </c>
      <c r="Q34" s="96">
        <v>35287</v>
      </c>
      <c r="R34" s="58">
        <v>0</v>
      </c>
      <c r="S34" s="96">
        <v>35153</v>
      </c>
      <c r="T34" s="95"/>
      <c r="U34" s="96"/>
      <c r="V34" s="96"/>
      <c r="W34" s="58">
        <v>0</v>
      </c>
      <c r="X34" s="96">
        <v>0</v>
      </c>
    </row>
    <row r="35" spans="1:24" s="6" customFormat="1" x14ac:dyDescent="0.15">
      <c r="A35" s="99" t="s">
        <v>60</v>
      </c>
      <c r="B35" s="1240" t="s">
        <v>33</v>
      </c>
      <c r="C35" s="1240"/>
      <c r="D35" s="100" t="s">
        <v>26</v>
      </c>
      <c r="E35" s="92">
        <v>51</v>
      </c>
      <c r="F35" s="93">
        <v>51</v>
      </c>
      <c r="G35" s="93">
        <v>51</v>
      </c>
      <c r="H35" s="81">
        <v>0</v>
      </c>
      <c r="I35" s="94"/>
      <c r="J35" s="101"/>
      <c r="K35" s="96"/>
      <c r="L35" s="96"/>
      <c r="M35" s="58">
        <v>0</v>
      </c>
      <c r="N35" s="96">
        <v>0</v>
      </c>
      <c r="O35" s="102">
        <v>51</v>
      </c>
      <c r="P35" s="96">
        <v>51</v>
      </c>
      <c r="Q35" s="96">
        <v>51</v>
      </c>
      <c r="R35" s="58">
        <v>0</v>
      </c>
      <c r="S35" s="96">
        <v>48</v>
      </c>
      <c r="T35" s="101"/>
      <c r="U35" s="96"/>
      <c r="V35" s="96"/>
      <c r="W35" s="58">
        <v>0</v>
      </c>
      <c r="X35" s="96">
        <v>0</v>
      </c>
    </row>
    <row r="36" spans="1:24" s="6" customFormat="1" ht="8.4" thickBot="1" x14ac:dyDescent="0.2">
      <c r="A36" s="103" t="s">
        <v>61</v>
      </c>
      <c r="B36" s="1241" t="s">
        <v>27</v>
      </c>
      <c r="C36" s="1241"/>
      <c r="D36" s="104" t="s">
        <v>26</v>
      </c>
      <c r="E36" s="105">
        <v>52</v>
      </c>
      <c r="F36" s="106">
        <v>52</v>
      </c>
      <c r="G36" s="106">
        <v>52</v>
      </c>
      <c r="H36" s="107">
        <v>0</v>
      </c>
      <c r="I36" s="108"/>
      <c r="J36" s="109"/>
      <c r="K36" s="110"/>
      <c r="L36" s="110"/>
      <c r="M36" s="111">
        <v>0</v>
      </c>
      <c r="N36" s="96">
        <v>0</v>
      </c>
      <c r="O36" s="112">
        <v>52</v>
      </c>
      <c r="P36" s="110">
        <v>52</v>
      </c>
      <c r="Q36" s="110">
        <v>52</v>
      </c>
      <c r="R36" s="111">
        <v>0</v>
      </c>
      <c r="S36" s="96">
        <v>52</v>
      </c>
      <c r="T36" s="109"/>
      <c r="U36" s="110"/>
      <c r="V36" s="110"/>
      <c r="W36" s="111">
        <v>0</v>
      </c>
      <c r="X36" s="96">
        <v>0</v>
      </c>
    </row>
  </sheetData>
  <mergeCells count="39">
    <mergeCell ref="B26:C26"/>
    <mergeCell ref="B29:C29"/>
    <mergeCell ref="B34:C34"/>
    <mergeCell ref="B35:C35"/>
    <mergeCell ref="B36:C36"/>
    <mergeCell ref="B22:C22"/>
    <mergeCell ref="B8:C8"/>
    <mergeCell ref="B10:C10"/>
    <mergeCell ref="B11:C11"/>
    <mergeCell ref="B12:C12"/>
    <mergeCell ref="B13:C13"/>
    <mergeCell ref="B15:C15"/>
    <mergeCell ref="B16:C16"/>
    <mergeCell ref="B18:C18"/>
    <mergeCell ref="B19:C19"/>
    <mergeCell ref="B20:C20"/>
    <mergeCell ref="B21:C21"/>
    <mergeCell ref="B7:C7"/>
    <mergeCell ref="I4:I5"/>
    <mergeCell ref="J4:J5"/>
    <mergeCell ref="K4:M4"/>
    <mergeCell ref="N4:N5"/>
    <mergeCell ref="B6:C6"/>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s>
  <pageMargins left="0.23622047244094491" right="0.23622047244094491" top="0.74803149606299213" bottom="0.74803149606299213" header="0.31496062992125984" footer="0.31496062992125984"/>
  <pageSetup paperSize="9" scale="99" firstPageNumber="188" fitToHeight="9" orientation="landscape" useFirstPageNumber="1" r:id="rId1"/>
  <headerFoot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0"/>
  <sheetViews>
    <sheetView zoomScaleNormal="100" workbookViewId="0">
      <selection activeCell="F24" sqref="F24:I24"/>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896" customFormat="1" ht="17.399999999999999" x14ac:dyDescent="0.3">
      <c r="A1" s="896" t="s">
        <v>75</v>
      </c>
      <c r="B1" s="1640" t="s">
        <v>977</v>
      </c>
      <c r="C1" s="1640"/>
      <c r="D1" s="1640"/>
      <c r="E1" s="1640"/>
      <c r="F1" s="1640"/>
      <c r="G1" s="1640"/>
      <c r="H1" s="1640"/>
      <c r="I1" s="1640"/>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891" t="s">
        <v>25</v>
      </c>
      <c r="D5" s="1256" t="s">
        <v>103</v>
      </c>
      <c r="E5" s="1256"/>
      <c r="F5" s="1256"/>
      <c r="G5" s="1256"/>
      <c r="H5" s="1256"/>
      <c r="I5" s="1256"/>
    </row>
    <row r="6" spans="1:9" s="8" customFormat="1" ht="15" customHeight="1" x14ac:dyDescent="0.2">
      <c r="A6" s="1267" t="s">
        <v>104</v>
      </c>
      <c r="B6" s="1267"/>
      <c r="C6" s="113">
        <f>SUM(C7:C9)</f>
        <v>146284.65</v>
      </c>
      <c r="D6" s="1262"/>
      <c r="E6" s="1263"/>
      <c r="F6" s="1263"/>
      <c r="G6" s="1263"/>
      <c r="H6" s="1263"/>
      <c r="I6" s="1263"/>
    </row>
    <row r="7" spans="1:9" s="8" customFormat="1" ht="29.25" customHeight="1" x14ac:dyDescent="0.2">
      <c r="A7" s="1257" t="s">
        <v>77</v>
      </c>
      <c r="B7" s="1258"/>
      <c r="C7" s="114">
        <v>108790.15</v>
      </c>
      <c r="D7" s="1261" t="s">
        <v>978</v>
      </c>
      <c r="E7" s="1261"/>
      <c r="F7" s="1261"/>
      <c r="G7" s="1261"/>
      <c r="H7" s="1261"/>
      <c r="I7" s="1261"/>
    </row>
    <row r="8" spans="1:9" s="7" customFormat="1" ht="29.25" customHeight="1" x14ac:dyDescent="0.2">
      <c r="A8" s="1259" t="s">
        <v>78</v>
      </c>
      <c r="B8" s="1260"/>
      <c r="C8" s="115">
        <v>37494.5</v>
      </c>
      <c r="D8" s="1261" t="s">
        <v>979</v>
      </c>
      <c r="E8" s="1261"/>
      <c r="F8" s="1261"/>
      <c r="G8" s="1261"/>
      <c r="H8" s="1261"/>
      <c r="I8" s="1261"/>
    </row>
    <row r="9" spans="1:9" s="7" customFormat="1" ht="15" customHeight="1" x14ac:dyDescent="0.2">
      <c r="A9" s="1259" t="s">
        <v>79</v>
      </c>
      <c r="B9" s="1260"/>
      <c r="C9" s="115"/>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891" t="s">
        <v>76</v>
      </c>
      <c r="B13" s="891" t="s">
        <v>80</v>
      </c>
      <c r="C13" s="891" t="s">
        <v>25</v>
      </c>
      <c r="D13" s="118"/>
      <c r="E13" s="119"/>
      <c r="F13" s="119"/>
      <c r="G13" s="119"/>
      <c r="H13" s="119"/>
      <c r="I13" s="119"/>
    </row>
    <row r="14" spans="1:9" s="8" customFormat="1" ht="15" customHeight="1" x14ac:dyDescent="0.2">
      <c r="A14" s="12" t="s">
        <v>81</v>
      </c>
      <c r="B14" s="13">
        <v>0</v>
      </c>
      <c r="C14" s="120">
        <v>0</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146284.65</v>
      </c>
      <c r="D16" s="126"/>
      <c r="E16" s="127"/>
      <c r="F16" s="127"/>
      <c r="G16" s="127"/>
      <c r="H16" s="127"/>
      <c r="I16" s="127"/>
    </row>
    <row r="17" spans="1:9" s="8" customFormat="1" ht="15" customHeight="1" x14ac:dyDescent="0.2">
      <c r="A17" s="1251"/>
      <c r="B17" s="15" t="s">
        <v>84</v>
      </c>
      <c r="C17" s="128">
        <v>0</v>
      </c>
      <c r="D17" s="129"/>
      <c r="E17" s="130"/>
      <c r="F17" s="130"/>
      <c r="G17" s="130"/>
      <c r="H17" s="130"/>
      <c r="I17" s="130"/>
    </row>
    <row r="18" spans="1:9" s="8" customFormat="1" ht="15" customHeight="1" x14ac:dyDescent="0.2">
      <c r="A18" s="894" t="s">
        <v>104</v>
      </c>
      <c r="B18" s="16">
        <v>146284.65</v>
      </c>
      <c r="C18" s="131">
        <f>SUM(C14:C17)</f>
        <v>146284.65</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891" t="s">
        <v>80</v>
      </c>
      <c r="B22" s="891" t="s">
        <v>109</v>
      </c>
      <c r="C22" s="895" t="s">
        <v>110</v>
      </c>
      <c r="D22" s="891" t="s">
        <v>111</v>
      </c>
      <c r="E22" s="891" t="s">
        <v>112</v>
      </c>
      <c r="F22" s="1256" t="s">
        <v>113</v>
      </c>
      <c r="G22" s="1256"/>
      <c r="H22" s="1256"/>
      <c r="I22" s="1256"/>
    </row>
    <row r="23" spans="1:9" s="8" customFormat="1" ht="41.1" customHeight="1" x14ac:dyDescent="0.2">
      <c r="A23" s="17" t="s">
        <v>85</v>
      </c>
      <c r="B23" s="139">
        <v>280164.67</v>
      </c>
      <c r="C23" s="139">
        <v>186185.72</v>
      </c>
      <c r="D23" s="139">
        <v>280000</v>
      </c>
      <c r="E23" s="139">
        <f>B23+C23-D23</f>
        <v>186350.39</v>
      </c>
      <c r="F23" s="1253" t="s">
        <v>980</v>
      </c>
      <c r="G23" s="1254"/>
      <c r="H23" s="1254"/>
      <c r="I23" s="1255"/>
    </row>
    <row r="24" spans="1:9" s="8" customFormat="1" ht="41.1" customHeight="1" x14ac:dyDescent="0.2">
      <c r="A24" s="14" t="s">
        <v>86</v>
      </c>
      <c r="B24" s="140">
        <v>181666.76</v>
      </c>
      <c r="C24" s="140">
        <v>1008575</v>
      </c>
      <c r="D24" s="140">
        <v>1044324</v>
      </c>
      <c r="E24" s="140">
        <f t="shared" ref="E24:E26" si="0">B24+C24-D24</f>
        <v>145917.76000000001</v>
      </c>
      <c r="F24" s="1242" t="s">
        <v>981</v>
      </c>
      <c r="G24" s="1243"/>
      <c r="H24" s="1243"/>
      <c r="I24" s="1244"/>
    </row>
    <row r="25" spans="1:9" s="8" customFormat="1" ht="41.1" customHeight="1" x14ac:dyDescent="0.2">
      <c r="A25" s="14" t="s">
        <v>84</v>
      </c>
      <c r="B25" s="140">
        <v>9700.77</v>
      </c>
      <c r="C25" s="140">
        <v>35000</v>
      </c>
      <c r="D25" s="140">
        <v>13600</v>
      </c>
      <c r="E25" s="140">
        <f t="shared" si="0"/>
        <v>31100.770000000004</v>
      </c>
      <c r="F25" s="1242" t="s">
        <v>982</v>
      </c>
      <c r="G25" s="1243"/>
      <c r="H25" s="1243"/>
      <c r="I25" s="1244"/>
    </row>
    <row r="26" spans="1:9" s="8" customFormat="1" ht="41.1" customHeight="1" x14ac:dyDescent="0.2">
      <c r="A26" s="15" t="s">
        <v>87</v>
      </c>
      <c r="B26" s="141">
        <v>311401.90999999997</v>
      </c>
      <c r="C26" s="141">
        <v>487170</v>
      </c>
      <c r="D26" s="141">
        <v>408785.45</v>
      </c>
      <c r="E26" s="140">
        <f t="shared" si="0"/>
        <v>389786.4599999999</v>
      </c>
      <c r="F26" s="1245" t="s">
        <v>983</v>
      </c>
      <c r="G26" s="1246"/>
      <c r="H26" s="1246"/>
      <c r="I26" s="1247"/>
    </row>
    <row r="27" spans="1:9" s="7" customFormat="1" ht="10.199999999999999" x14ac:dyDescent="0.2">
      <c r="A27" s="10" t="s">
        <v>34</v>
      </c>
      <c r="B27" s="113">
        <f>SUM(B23:B26)</f>
        <v>782934.11</v>
      </c>
      <c r="C27" s="113">
        <f t="shared" ref="C27:E27" si="1">SUM(C23:C26)</f>
        <v>1716930.72</v>
      </c>
      <c r="D27" s="113">
        <f t="shared" si="1"/>
        <v>1746709.45</v>
      </c>
      <c r="E27" s="113">
        <f t="shared" si="1"/>
        <v>753155.37999999989</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891" t="s">
        <v>88</v>
      </c>
      <c r="B31" s="891" t="s">
        <v>25</v>
      </c>
      <c r="C31" s="895" t="s">
        <v>89</v>
      </c>
      <c r="D31" s="1256" t="s">
        <v>90</v>
      </c>
      <c r="E31" s="1256"/>
      <c r="F31" s="1256"/>
      <c r="G31" s="1256"/>
      <c r="H31" s="1256"/>
      <c r="I31" s="1256"/>
    </row>
    <row r="32" spans="1:9" s="8" customFormat="1" ht="15" customHeight="1" x14ac:dyDescent="0.2">
      <c r="A32" s="19" t="s">
        <v>984</v>
      </c>
      <c r="B32" s="139">
        <v>2700</v>
      </c>
      <c r="C32" s="20"/>
      <c r="D32" s="1270"/>
      <c r="E32" s="1271"/>
      <c r="F32" s="1271"/>
      <c r="G32" s="1271"/>
      <c r="H32" s="1271"/>
      <c r="I32" s="1272"/>
    </row>
    <row r="33" spans="1:9" s="8" customFormat="1" ht="15" customHeight="1" x14ac:dyDescent="0.2">
      <c r="A33" s="18" t="s">
        <v>985</v>
      </c>
      <c r="B33" s="141"/>
      <c r="C33" s="32"/>
      <c r="D33" s="1273"/>
      <c r="E33" s="1274"/>
      <c r="F33" s="1274"/>
      <c r="G33" s="1274"/>
      <c r="H33" s="1274"/>
      <c r="I33" s="1275"/>
    </row>
    <row r="34" spans="1:9" s="8" customFormat="1" ht="15" customHeight="1" x14ac:dyDescent="0.2">
      <c r="A34" s="18" t="s">
        <v>986</v>
      </c>
      <c r="B34" s="141"/>
      <c r="C34" s="33"/>
      <c r="D34" s="1273"/>
      <c r="E34" s="1274"/>
      <c r="F34" s="1274"/>
      <c r="G34" s="1274"/>
      <c r="H34" s="1274"/>
      <c r="I34" s="1275"/>
    </row>
    <row r="35" spans="1:9" s="7" customFormat="1" ht="10.199999999999999" x14ac:dyDescent="0.2">
      <c r="A35" s="10" t="s">
        <v>34</v>
      </c>
      <c r="B35" s="113">
        <f>SUM(B32:B34)</f>
        <v>2700</v>
      </c>
      <c r="C35" s="1276"/>
      <c r="D35" s="1277"/>
      <c r="E35" s="1277"/>
      <c r="F35" s="1277"/>
      <c r="G35" s="1277"/>
      <c r="H35" s="1277"/>
      <c r="I35" s="1278"/>
    </row>
    <row r="36" spans="1:9" s="8" customFormat="1" ht="10.199999999999999" x14ac:dyDescent="0.2">
      <c r="C36" s="116"/>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row>
    <row r="39" spans="1:9" s="8" customFormat="1" ht="10.199999999999999" x14ac:dyDescent="0.2">
      <c r="A39" s="891" t="s">
        <v>88</v>
      </c>
      <c r="B39" s="891" t="s">
        <v>25</v>
      </c>
      <c r="C39" s="895" t="s">
        <v>89</v>
      </c>
      <c r="D39" s="1279" t="s">
        <v>90</v>
      </c>
      <c r="E39" s="1279"/>
      <c r="F39" s="1279"/>
      <c r="G39" s="1279"/>
      <c r="H39" s="1279"/>
      <c r="I39" s="1280"/>
    </row>
    <row r="40" spans="1:9" s="8" customFormat="1" ht="15" customHeight="1" x14ac:dyDescent="0.2">
      <c r="A40" s="19" t="s">
        <v>489</v>
      </c>
      <c r="B40" s="139">
        <v>0</v>
      </c>
      <c r="C40" s="20"/>
      <c r="D40" s="1242"/>
      <c r="E40" s="1281"/>
      <c r="F40" s="1281"/>
      <c r="G40" s="1281"/>
      <c r="H40" s="1281"/>
      <c r="I40" s="1282"/>
    </row>
    <row r="41" spans="1:9" s="8" customFormat="1" ht="15" customHeight="1" x14ac:dyDescent="0.2">
      <c r="A41" s="21"/>
      <c r="B41" s="140"/>
      <c r="C41" s="22"/>
      <c r="D41" s="1242"/>
      <c r="E41" s="1281"/>
      <c r="F41" s="1281"/>
      <c r="G41" s="1281"/>
      <c r="H41" s="1281"/>
      <c r="I41" s="1282"/>
    </row>
    <row r="42" spans="1:9" s="8" customFormat="1" ht="15" customHeight="1" x14ac:dyDescent="0.2">
      <c r="A42" s="21"/>
      <c r="B42" s="140"/>
      <c r="C42" s="22"/>
      <c r="D42" s="1242"/>
      <c r="E42" s="1281"/>
      <c r="F42" s="1281"/>
      <c r="G42" s="1281"/>
      <c r="H42" s="1281"/>
      <c r="I42" s="1282"/>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C44" s="116"/>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row>
    <row r="47" spans="1:9" s="8" customFormat="1" ht="10.199999999999999" x14ac:dyDescent="0.2">
      <c r="A47" s="893" t="s">
        <v>25</v>
      </c>
      <c r="B47" s="892" t="s">
        <v>122</v>
      </c>
      <c r="C47" s="1285" t="s">
        <v>91</v>
      </c>
      <c r="D47" s="1285"/>
      <c r="E47" s="1285"/>
      <c r="F47" s="1285"/>
      <c r="G47" s="1285"/>
      <c r="H47" s="1285"/>
      <c r="I47" s="1286"/>
    </row>
    <row r="48" spans="1:9" s="8" customFormat="1" ht="10.199999999999999" x14ac:dyDescent="0.2">
      <c r="A48" s="140"/>
      <c r="B48" s="140"/>
      <c r="C48" s="1287"/>
      <c r="D48" s="1287"/>
      <c r="E48" s="1287"/>
      <c r="F48" s="1287"/>
      <c r="G48" s="1287"/>
      <c r="H48" s="1287"/>
      <c r="I48" s="1287"/>
    </row>
    <row r="49" spans="1:9" s="8" customFormat="1" ht="10.199999999999999" x14ac:dyDescent="0.2">
      <c r="A49" s="140" t="s">
        <v>987</v>
      </c>
      <c r="B49" s="140">
        <v>0</v>
      </c>
      <c r="C49" s="1287"/>
      <c r="D49" s="1287"/>
      <c r="E49" s="1287"/>
      <c r="F49" s="1287"/>
      <c r="G49" s="1287"/>
      <c r="H49" s="1287"/>
      <c r="I49" s="1287"/>
    </row>
    <row r="50" spans="1:9" s="8" customFormat="1" ht="10.199999999999999" x14ac:dyDescent="0.2">
      <c r="A50" s="141"/>
      <c r="B50" s="141"/>
      <c r="C50" s="1288"/>
      <c r="D50" s="1288"/>
      <c r="E50" s="1288"/>
      <c r="F50" s="1288"/>
      <c r="G50" s="1288"/>
      <c r="H50" s="1288"/>
      <c r="I50" s="1288"/>
    </row>
    <row r="51" spans="1:9" s="7" customFormat="1" ht="10.199999999999999" x14ac:dyDescent="0.2">
      <c r="A51" s="113" t="e">
        <f>A48+A49+A50</f>
        <v>#VALUE!</v>
      </c>
      <c r="B51" s="113">
        <f>B48+B49+B50</f>
        <v>0</v>
      </c>
      <c r="C51" s="1289" t="s">
        <v>34</v>
      </c>
      <c r="D51" s="1289"/>
      <c r="E51" s="1289"/>
      <c r="F51" s="1289"/>
      <c r="G51" s="1289"/>
      <c r="H51" s="1289"/>
      <c r="I51" s="1289"/>
    </row>
    <row r="52" spans="1:9" s="8" customFormat="1" ht="10.199999999999999" x14ac:dyDescent="0.2">
      <c r="C52" s="116"/>
    </row>
    <row r="53" spans="1:9" s="8" customFormat="1" ht="10.199999999999999" x14ac:dyDescent="0.2">
      <c r="C53" s="116"/>
    </row>
    <row r="54" spans="1:9" s="8" customFormat="1" ht="11.25" customHeight="1" x14ac:dyDescent="0.2">
      <c r="A54" s="147"/>
      <c r="B54" s="148"/>
      <c r="C54" s="149"/>
      <c r="D54" s="149"/>
      <c r="E54" s="150"/>
    </row>
    <row r="55" spans="1:9" s="8" customFormat="1" ht="10.199999999999999" x14ac:dyDescent="0.2">
      <c r="A55" s="1300" t="s">
        <v>154</v>
      </c>
      <c r="B55" s="1300"/>
      <c r="C55" s="1300"/>
      <c r="D55" s="1300"/>
      <c r="E55" s="1300"/>
      <c r="F55" s="1300"/>
      <c r="G55" s="1300"/>
      <c r="H55" s="1300"/>
      <c r="I55" s="1300"/>
    </row>
    <row r="56" spans="1:9" s="8" customFormat="1" ht="10.199999999999999" x14ac:dyDescent="0.2">
      <c r="A56" s="8" t="s">
        <v>95</v>
      </c>
    </row>
    <row r="57" spans="1:9" s="8" customFormat="1" ht="0.6" customHeight="1" x14ac:dyDescent="0.2"/>
    <row r="58" spans="1:9" s="8" customFormat="1" ht="0.6" customHeight="1" x14ac:dyDescent="0.2"/>
    <row r="59" spans="1:9" s="8" customFormat="1" ht="0.6" customHeight="1" x14ac:dyDescent="0.2"/>
    <row r="60" spans="1:9" s="8" customFormat="1" ht="0.6" customHeight="1" x14ac:dyDescent="0.2"/>
    <row r="61" spans="1:9" s="8" customFormat="1" ht="0.6" customHeight="1" x14ac:dyDescent="0.2"/>
    <row r="62" spans="1:9" s="8" customFormat="1" ht="0.6" customHeight="1" x14ac:dyDescent="0.2"/>
    <row r="63" spans="1:9" s="8" customFormat="1" ht="0.6" customHeight="1" x14ac:dyDescent="0.2"/>
    <row r="64" spans="1:9" s="8" customFormat="1" ht="0.6" customHeight="1" x14ac:dyDescent="0.2"/>
    <row r="65" s="8" customFormat="1" ht="0.6" customHeight="1" x14ac:dyDescent="0.2"/>
    <row r="66" s="8" customFormat="1" ht="0.6" customHeight="1" x14ac:dyDescent="0.2"/>
    <row r="67" s="8" customFormat="1" ht="0.6" customHeight="1" x14ac:dyDescent="0.2"/>
    <row r="68" s="8" customFormat="1" ht="0.6" customHeight="1" x14ac:dyDescent="0.2"/>
    <row r="69" s="8" customFormat="1" ht="0.6" customHeight="1" x14ac:dyDescent="0.2"/>
    <row r="70" s="8" customFormat="1" ht="0.6" customHeight="1" x14ac:dyDescent="0.2"/>
    <row r="71" s="8" customFormat="1" ht="0.6" customHeight="1" x14ac:dyDescent="0.2"/>
    <row r="72" s="8" customFormat="1" ht="0.6" customHeight="1" x14ac:dyDescent="0.2"/>
    <row r="73" s="8" customFormat="1" ht="0.6" customHeight="1" x14ac:dyDescent="0.2"/>
    <row r="74" s="8" customFormat="1" ht="0.6" customHeight="1" x14ac:dyDescent="0.2"/>
    <row r="75" s="8" customFormat="1" ht="0.6" customHeight="1" x14ac:dyDescent="0.2"/>
    <row r="76" s="8" customFormat="1" ht="0.6" customHeight="1" x14ac:dyDescent="0.2"/>
    <row r="77" s="8" customFormat="1" ht="0.6" customHeight="1" x14ac:dyDescent="0.2"/>
    <row r="78" s="8" customFormat="1" ht="0.6" customHeight="1" x14ac:dyDescent="0.2"/>
    <row r="79" s="8" customFormat="1" ht="0.6" customHeight="1" x14ac:dyDescent="0.2"/>
    <row r="80" s="8" customFormat="1" ht="0.6" customHeight="1" x14ac:dyDescent="0.2"/>
    <row r="81" s="8" customFormat="1" ht="0.6" customHeight="1" x14ac:dyDescent="0.2"/>
    <row r="82" s="8" customFormat="1" ht="0.6" customHeight="1" x14ac:dyDescent="0.2"/>
    <row r="83" s="8" customFormat="1" ht="0.6" customHeight="1" x14ac:dyDescent="0.2"/>
    <row r="84" s="8" customFormat="1" ht="0.6" customHeight="1" x14ac:dyDescent="0.2"/>
    <row r="85" s="8" customFormat="1" ht="0.6" customHeight="1" x14ac:dyDescent="0.2"/>
    <row r="86" s="8" customFormat="1" ht="0.6" customHeight="1" x14ac:dyDescent="0.2"/>
    <row r="87" s="8" customFormat="1" ht="0.6" customHeight="1" x14ac:dyDescent="0.2"/>
    <row r="88" s="8" customFormat="1" ht="0.6" customHeight="1" x14ac:dyDescent="0.2"/>
    <row r="89" s="8" customFormat="1" ht="0.6" customHeight="1" x14ac:dyDescent="0.2"/>
    <row r="90" s="8" customFormat="1" ht="0.6" customHeight="1" x14ac:dyDescent="0.2"/>
    <row r="91" s="8" customFormat="1" ht="0.6" customHeight="1" x14ac:dyDescent="0.2"/>
    <row r="92" s="8" customFormat="1" ht="0.6" customHeight="1" x14ac:dyDescent="0.2"/>
    <row r="93" s="8" customFormat="1" ht="0.6" customHeight="1" x14ac:dyDescent="0.2"/>
    <row r="94" s="8" customFormat="1" ht="0.6" customHeight="1" x14ac:dyDescent="0.2"/>
    <row r="95" s="8" customFormat="1" ht="0.6" customHeight="1" x14ac:dyDescent="0.2"/>
    <row r="96" s="8" customFormat="1" ht="0.6" customHeight="1" x14ac:dyDescent="0.2"/>
    <row r="97" s="8" customFormat="1" ht="0.6" customHeight="1" x14ac:dyDescent="0.2"/>
    <row r="98" s="8" customFormat="1" ht="0.6" customHeight="1" x14ac:dyDescent="0.2"/>
    <row r="99" s="8" customFormat="1" ht="0.6" customHeight="1" x14ac:dyDescent="0.2"/>
    <row r="100" s="8" customFormat="1" ht="0.6" customHeight="1" x14ac:dyDescent="0.2"/>
    <row r="101" s="8" customFormat="1" ht="0.6" customHeight="1" x14ac:dyDescent="0.2"/>
    <row r="102" s="8" customFormat="1" ht="0.6" customHeight="1" x14ac:dyDescent="0.2"/>
    <row r="103" s="8" customFormat="1" ht="0.6" customHeight="1" x14ac:dyDescent="0.2"/>
    <row r="104" s="8" customFormat="1" ht="0.6" customHeight="1" x14ac:dyDescent="0.2"/>
    <row r="105" s="8" customFormat="1" ht="0.6" customHeight="1" x14ac:dyDescent="0.2"/>
    <row r="106" s="8" customFormat="1" ht="0.6" customHeight="1" x14ac:dyDescent="0.2"/>
    <row r="107" s="8" customFormat="1" ht="0.6" customHeight="1" x14ac:dyDescent="0.2"/>
    <row r="108" s="8" customFormat="1" ht="0.6" customHeight="1" x14ac:dyDescent="0.2"/>
    <row r="109" s="8" customFormat="1" ht="0.6" customHeight="1" x14ac:dyDescent="0.2"/>
    <row r="110" s="8" customFormat="1" ht="0.6" customHeight="1" x14ac:dyDescent="0.2"/>
    <row r="111" s="8" customFormat="1" ht="0.6" customHeight="1" x14ac:dyDescent="0.2"/>
    <row r="112" s="8" customFormat="1" ht="0.6" customHeight="1" x14ac:dyDescent="0.2"/>
    <row r="113" spans="1:7" s="8" customFormat="1" ht="0.6" customHeight="1" x14ac:dyDescent="0.2"/>
    <row r="114" spans="1:7" s="8" customFormat="1" ht="0.6" customHeight="1" x14ac:dyDescent="0.2"/>
    <row r="115" spans="1:7" s="8" customFormat="1" ht="0.6" customHeight="1" x14ac:dyDescent="0.2"/>
    <row r="116" spans="1:7" s="8" customFormat="1" ht="15.6" x14ac:dyDescent="0.2">
      <c r="A116" s="1643" t="s">
        <v>988</v>
      </c>
      <c r="B116" s="1643"/>
      <c r="C116" s="1643"/>
      <c r="D116" s="1643"/>
      <c r="E116" s="1643"/>
      <c r="F116" s="1643"/>
      <c r="G116" s="1643"/>
    </row>
    <row r="117" spans="1:7" s="8" customFormat="1" ht="30.6" x14ac:dyDescent="0.2">
      <c r="A117" s="1635" t="s">
        <v>879</v>
      </c>
      <c r="B117" s="1637"/>
      <c r="C117" s="929" t="s">
        <v>621</v>
      </c>
      <c r="D117" s="929" t="s">
        <v>251</v>
      </c>
      <c r="E117" s="929" t="s">
        <v>252</v>
      </c>
      <c r="F117" s="929" t="s">
        <v>743</v>
      </c>
      <c r="G117" s="929" t="s">
        <v>623</v>
      </c>
    </row>
    <row r="118" spans="1:7" s="8" customFormat="1" ht="11.4" x14ac:dyDescent="0.2">
      <c r="A118" s="1505" t="s">
        <v>989</v>
      </c>
      <c r="B118" s="1644"/>
      <c r="C118" s="312">
        <v>648</v>
      </c>
      <c r="D118" s="930">
        <v>13600</v>
      </c>
      <c r="E118" s="930">
        <v>0</v>
      </c>
      <c r="F118" s="931">
        <v>43692</v>
      </c>
      <c r="G118" s="931">
        <v>43692</v>
      </c>
    </row>
    <row r="119" spans="1:7" s="8" customFormat="1" ht="11.4" x14ac:dyDescent="0.2">
      <c r="A119" s="1641"/>
      <c r="B119" s="1642"/>
      <c r="C119" s="932">
        <v>521</v>
      </c>
      <c r="D119" s="933"/>
      <c r="E119" s="934">
        <v>13600</v>
      </c>
      <c r="F119" s="931">
        <v>43692</v>
      </c>
      <c r="G119" s="931">
        <v>43692</v>
      </c>
    </row>
    <row r="120" spans="1:7" s="8" customFormat="1" ht="11.4" x14ac:dyDescent="0.2">
      <c r="A120" s="1647"/>
      <c r="B120" s="1648"/>
      <c r="C120" s="935"/>
      <c r="D120" s="930"/>
      <c r="E120" s="933"/>
      <c r="F120" s="931"/>
      <c r="G120" s="931"/>
    </row>
    <row r="121" spans="1:7" s="8" customFormat="1" ht="11.4" x14ac:dyDescent="0.2">
      <c r="A121" s="1649" t="s">
        <v>990</v>
      </c>
      <c r="B121" s="1648"/>
      <c r="C121" s="936">
        <v>649</v>
      </c>
      <c r="D121" s="930">
        <v>132000</v>
      </c>
      <c r="E121" s="930">
        <v>0</v>
      </c>
      <c r="F121" s="931">
        <v>43709</v>
      </c>
      <c r="G121" s="931">
        <v>43709</v>
      </c>
    </row>
    <row r="122" spans="1:7" s="8" customFormat="1" ht="11.4" x14ac:dyDescent="0.2">
      <c r="A122" s="1650" t="s">
        <v>991</v>
      </c>
      <c r="B122" s="1642"/>
      <c r="C122" s="932">
        <v>518</v>
      </c>
      <c r="D122" s="933"/>
      <c r="E122" s="934">
        <v>132000</v>
      </c>
      <c r="F122" s="931">
        <v>43709</v>
      </c>
      <c r="G122" s="931">
        <v>43709</v>
      </c>
    </row>
    <row r="123" spans="1:7" s="8" customFormat="1" ht="11.4" x14ac:dyDescent="0.2">
      <c r="A123" s="1645"/>
      <c r="B123" s="1646"/>
      <c r="C123" s="932"/>
      <c r="D123" s="930"/>
      <c r="E123" s="934"/>
      <c r="F123" s="931"/>
      <c r="G123" s="931"/>
    </row>
    <row r="124" spans="1:7" s="8" customFormat="1" ht="11.4" x14ac:dyDescent="0.2">
      <c r="A124" s="1651"/>
      <c r="B124" s="1652"/>
      <c r="C124" s="935"/>
      <c r="D124" s="930"/>
      <c r="E124" s="937"/>
      <c r="F124" s="938"/>
      <c r="G124" s="931"/>
    </row>
    <row r="125" spans="1:7" s="8" customFormat="1" ht="11.4" x14ac:dyDescent="0.2">
      <c r="A125" s="1651" t="s">
        <v>992</v>
      </c>
      <c r="B125" s="1652"/>
      <c r="C125" s="935">
        <v>513</v>
      </c>
      <c r="D125" s="933"/>
      <c r="E125" s="933">
        <v>20000</v>
      </c>
      <c r="F125" s="931">
        <v>43709</v>
      </c>
      <c r="G125" s="931">
        <v>43709</v>
      </c>
    </row>
    <row r="126" spans="1:7" s="8" customFormat="1" ht="11.4" x14ac:dyDescent="0.2">
      <c r="A126" s="1650" t="s">
        <v>993</v>
      </c>
      <c r="B126" s="1642"/>
      <c r="C126" s="939">
        <v>518</v>
      </c>
      <c r="D126" s="940"/>
      <c r="E126" s="940">
        <v>-30000</v>
      </c>
      <c r="F126" s="931">
        <v>43709</v>
      </c>
      <c r="G126" s="931">
        <v>43709</v>
      </c>
    </row>
    <row r="127" spans="1:7" s="8" customFormat="1" ht="11.4" x14ac:dyDescent="0.2">
      <c r="A127" s="1645" t="s">
        <v>994</v>
      </c>
      <c r="B127" s="1646"/>
      <c r="C127" s="935">
        <v>512</v>
      </c>
      <c r="D127" s="933"/>
      <c r="E127" s="933">
        <v>10000</v>
      </c>
      <c r="F127" s="931">
        <v>43709</v>
      </c>
      <c r="G127" s="931">
        <v>43709</v>
      </c>
    </row>
    <row r="128" spans="1:7" s="8" customFormat="1" ht="11.4" x14ac:dyDescent="0.2">
      <c r="A128" s="1650" t="s">
        <v>995</v>
      </c>
      <c r="B128" s="1642"/>
      <c r="C128" s="935"/>
      <c r="D128" s="933"/>
      <c r="E128" s="933"/>
      <c r="F128" s="931"/>
      <c r="G128" s="931"/>
    </row>
    <row r="129" spans="1:7" s="8" customFormat="1" ht="11.4" x14ac:dyDescent="0.2">
      <c r="A129" s="836"/>
      <c r="B129" s="941"/>
      <c r="C129" s="935"/>
      <c r="D129" s="933"/>
      <c r="E129" s="933"/>
      <c r="F129" s="931"/>
      <c r="G129" s="931"/>
    </row>
    <row r="130" spans="1:7" s="8" customFormat="1" ht="11.4" x14ac:dyDescent="0.2">
      <c r="A130" s="1650" t="s">
        <v>996</v>
      </c>
      <c r="B130" s="1642"/>
      <c r="C130" s="935">
        <v>549</v>
      </c>
      <c r="D130" s="933"/>
      <c r="E130" s="933">
        <v>25000</v>
      </c>
      <c r="F130" s="938">
        <v>43710</v>
      </c>
      <c r="G130" s="938">
        <v>43710</v>
      </c>
    </row>
    <row r="131" spans="1:7" s="8" customFormat="1" ht="11.4" x14ac:dyDescent="0.2">
      <c r="A131" s="1650" t="s">
        <v>997</v>
      </c>
      <c r="B131" s="1642"/>
      <c r="C131" s="936">
        <v>558</v>
      </c>
      <c r="D131" s="930"/>
      <c r="E131" s="930">
        <v>-25000</v>
      </c>
      <c r="F131" s="931">
        <v>43710</v>
      </c>
      <c r="G131" s="931">
        <v>43710</v>
      </c>
    </row>
    <row r="132" spans="1:7" s="8" customFormat="1" ht="11.4" x14ac:dyDescent="0.2">
      <c r="A132" s="1645"/>
      <c r="B132" s="1646"/>
      <c r="C132" s="935"/>
      <c r="D132" s="933"/>
      <c r="E132" s="937"/>
      <c r="F132" s="942"/>
      <c r="G132" s="942"/>
    </row>
    <row r="133" spans="1:7" s="8" customFormat="1" ht="11.4" x14ac:dyDescent="0.2">
      <c r="A133" s="1650" t="s">
        <v>998</v>
      </c>
      <c r="B133" s="1642"/>
      <c r="C133" s="939">
        <v>511</v>
      </c>
      <c r="D133" s="940"/>
      <c r="E133" s="940">
        <v>-40000</v>
      </c>
      <c r="F133" s="943">
        <v>43723</v>
      </c>
      <c r="G133" s="943">
        <v>43723</v>
      </c>
    </row>
    <row r="134" spans="1:7" s="8" customFormat="1" ht="11.4" x14ac:dyDescent="0.2">
      <c r="A134" s="1651"/>
      <c r="B134" s="1652"/>
      <c r="C134" s="932">
        <v>501</v>
      </c>
      <c r="D134" s="944"/>
      <c r="E134" s="933">
        <v>51000</v>
      </c>
      <c r="F134" s="945">
        <v>43723</v>
      </c>
      <c r="G134" s="945">
        <v>43723</v>
      </c>
    </row>
    <row r="135" spans="1:7" s="8" customFormat="1" ht="11.4" x14ac:dyDescent="0.2">
      <c r="A135" s="946"/>
      <c r="B135" s="947"/>
      <c r="C135" s="932">
        <v>558</v>
      </c>
      <c r="D135" s="944"/>
      <c r="E135" s="933">
        <v>-11000</v>
      </c>
      <c r="F135" s="938">
        <v>43723</v>
      </c>
      <c r="G135" s="938">
        <v>43723</v>
      </c>
    </row>
    <row r="136" spans="1:7" s="8" customFormat="1" ht="11.4" x14ac:dyDescent="0.2">
      <c r="A136" s="946"/>
      <c r="B136" s="947"/>
      <c r="C136" s="932"/>
      <c r="D136" s="948"/>
      <c r="E136" s="940"/>
      <c r="F136" s="938"/>
      <c r="G136" s="938"/>
    </row>
    <row r="137" spans="1:7" s="8" customFormat="1" ht="11.4" x14ac:dyDescent="0.2">
      <c r="A137" s="1650" t="s">
        <v>999</v>
      </c>
      <c r="B137" s="1642"/>
      <c r="C137" s="949">
        <v>541</v>
      </c>
      <c r="D137" s="933"/>
      <c r="E137" s="933">
        <v>5000</v>
      </c>
      <c r="F137" s="938">
        <v>43769</v>
      </c>
      <c r="G137" s="943">
        <v>43769</v>
      </c>
    </row>
    <row r="138" spans="1:7" s="8" customFormat="1" ht="11.4" x14ac:dyDescent="0.2">
      <c r="A138" s="1650" t="s">
        <v>1000</v>
      </c>
      <c r="B138" s="1642"/>
      <c r="C138" s="949">
        <v>649</v>
      </c>
      <c r="D138" s="933">
        <v>5000</v>
      </c>
      <c r="E138" s="933"/>
      <c r="F138" s="938">
        <v>43769</v>
      </c>
      <c r="G138" s="945">
        <v>43769</v>
      </c>
    </row>
    <row r="139" spans="1:7" s="8" customFormat="1" ht="0.75" customHeight="1" x14ac:dyDescent="0.2">
      <c r="A139" s="1645" t="s">
        <v>1001</v>
      </c>
      <c r="B139" s="1646"/>
      <c r="C139" s="949"/>
      <c r="D139" s="940"/>
      <c r="E139" s="933"/>
      <c r="F139" s="938"/>
      <c r="G139" s="945"/>
    </row>
    <row r="140" spans="1:7" s="8" customFormat="1" ht="11.4" hidden="1" x14ac:dyDescent="0.2">
      <c r="A140" s="1650"/>
      <c r="B140" s="1642"/>
      <c r="C140" s="939"/>
      <c r="D140" s="933"/>
      <c r="E140" s="940"/>
      <c r="F140" s="945"/>
      <c r="G140" s="945"/>
    </row>
    <row r="141" spans="1:7" s="8" customFormat="1" ht="11.4" x14ac:dyDescent="0.2">
      <c r="A141" s="1650" t="s">
        <v>1002</v>
      </c>
      <c r="B141" s="1642"/>
      <c r="C141" s="949">
        <v>518</v>
      </c>
      <c r="D141" s="933"/>
      <c r="E141" s="934">
        <v>-736</v>
      </c>
      <c r="F141" s="938">
        <v>43816</v>
      </c>
      <c r="G141" s="938">
        <v>43816</v>
      </c>
    </row>
    <row r="142" spans="1:7" s="8" customFormat="1" ht="11.4" x14ac:dyDescent="0.2">
      <c r="A142" s="1650" t="s">
        <v>1003</v>
      </c>
      <c r="B142" s="1642"/>
      <c r="C142" s="950">
        <v>551</v>
      </c>
      <c r="D142" s="933"/>
      <c r="E142" s="933">
        <v>736</v>
      </c>
      <c r="F142" s="938">
        <v>43816</v>
      </c>
      <c r="G142" s="938">
        <v>43816</v>
      </c>
    </row>
    <row r="143" spans="1:7" s="8" customFormat="1" ht="11.4" x14ac:dyDescent="0.2">
      <c r="A143" s="1653"/>
      <c r="B143" s="1654"/>
      <c r="C143" s="950"/>
      <c r="D143" s="933"/>
      <c r="E143" s="933"/>
      <c r="F143" s="938"/>
      <c r="G143" s="938"/>
    </row>
    <row r="144" spans="1:7" s="8" customFormat="1" ht="11.4" x14ac:dyDescent="0.2">
      <c r="A144" s="1649" t="s">
        <v>1004</v>
      </c>
      <c r="B144" s="1648"/>
      <c r="C144" s="949">
        <v>502</v>
      </c>
      <c r="D144" s="933"/>
      <c r="E144" s="933">
        <v>-40000</v>
      </c>
      <c r="F144" s="938">
        <v>43826</v>
      </c>
      <c r="G144" s="938">
        <v>43826</v>
      </c>
    </row>
    <row r="145" spans="1:9" s="8" customFormat="1" ht="11.4" x14ac:dyDescent="0.2">
      <c r="A145" s="1645" t="s">
        <v>1005</v>
      </c>
      <c r="B145" s="1646"/>
      <c r="C145" s="949">
        <v>558</v>
      </c>
      <c r="D145" s="933"/>
      <c r="E145" s="933">
        <v>40000</v>
      </c>
      <c r="F145" s="938">
        <v>43826</v>
      </c>
      <c r="G145" s="938">
        <v>43826</v>
      </c>
    </row>
    <row r="146" spans="1:9" s="8" customFormat="1" ht="11.4" x14ac:dyDescent="0.2">
      <c r="A146" s="951"/>
      <c r="B146" s="952"/>
      <c r="C146" s="950"/>
      <c r="D146" s="933"/>
      <c r="E146" s="940"/>
      <c r="F146" s="942"/>
      <c r="G146" s="838"/>
    </row>
    <row r="147" spans="1:9" s="8" customFormat="1" ht="11.4" x14ac:dyDescent="0.2">
      <c r="A147" s="1650" t="s">
        <v>1006</v>
      </c>
      <c r="B147" s="1642"/>
      <c r="C147" s="950">
        <v>672</v>
      </c>
      <c r="D147" s="933">
        <v>-18747</v>
      </c>
      <c r="E147" s="940"/>
      <c r="F147" s="942"/>
      <c r="G147" s="838"/>
    </row>
    <row r="148" spans="1:9" s="8" customFormat="1" ht="11.4" x14ac:dyDescent="0.2">
      <c r="A148" s="1650" t="s">
        <v>1007</v>
      </c>
      <c r="B148" s="1642"/>
      <c r="C148" s="950">
        <v>524.52499999999998</v>
      </c>
      <c r="D148" s="933"/>
      <c r="E148" s="940">
        <v>-13073</v>
      </c>
      <c r="F148" s="942"/>
      <c r="G148" s="838"/>
    </row>
    <row r="149" spans="1:9" s="8" customFormat="1" ht="11.4" x14ac:dyDescent="0.2">
      <c r="A149" s="1650"/>
      <c r="B149" s="1642"/>
      <c r="C149" s="935">
        <v>527</v>
      </c>
      <c r="D149" s="933"/>
      <c r="E149" s="933">
        <v>-5674</v>
      </c>
      <c r="F149" s="938"/>
      <c r="G149" s="938"/>
    </row>
    <row r="150" spans="1:9" s="8" customFormat="1" ht="11.4" x14ac:dyDescent="0.2">
      <c r="A150" s="1655" t="s">
        <v>570</v>
      </c>
      <c r="B150" s="1656"/>
      <c r="C150" s="953"/>
      <c r="D150" s="954">
        <f>SUM(D118:D149)</f>
        <v>131853</v>
      </c>
      <c r="E150" s="954">
        <f>SUM(E118:E149)</f>
        <v>131853</v>
      </c>
      <c r="F150" s="1517"/>
      <c r="G150" s="1518"/>
    </row>
    <row r="151" spans="1:9" s="8" customFormat="1" ht="10.199999999999999" x14ac:dyDescent="0.2">
      <c r="A151" s="955"/>
      <c r="B151" s="955"/>
      <c r="C151" s="955"/>
      <c r="D151" s="955"/>
      <c r="E151" s="955"/>
      <c r="F151" s="955"/>
      <c r="G151" s="955"/>
    </row>
    <row r="152" spans="1:9" s="8" customFormat="1" ht="10.199999999999999" x14ac:dyDescent="0.2">
      <c r="A152" s="1657" t="s">
        <v>1008</v>
      </c>
      <c r="B152" s="1657"/>
      <c r="C152" s="1657"/>
      <c r="D152" s="1657"/>
      <c r="E152" s="1657"/>
      <c r="F152" s="1657"/>
      <c r="G152" s="1657"/>
    </row>
    <row r="153" spans="1:9" s="7" customFormat="1" ht="10.199999999999999" x14ac:dyDescent="0.2">
      <c r="A153" s="1297"/>
      <c r="B153" s="1298"/>
      <c r="C153" s="1298"/>
      <c r="D153" s="1298"/>
      <c r="E153" s="1298"/>
      <c r="F153" s="1298"/>
      <c r="G153" s="1298"/>
      <c r="H153" s="1298"/>
      <c r="I153" s="1299"/>
    </row>
    <row r="154" spans="1:9" x14ac:dyDescent="0.25">
      <c r="A154" s="1248" t="s">
        <v>156</v>
      </c>
      <c r="B154" s="1248"/>
      <c r="C154" s="1248"/>
      <c r="D154" s="1248"/>
      <c r="E154" s="1248"/>
      <c r="F154" s="1248"/>
      <c r="G154" s="1248"/>
      <c r="H154" s="1248"/>
      <c r="I154" s="1248"/>
    </row>
    <row r="155" spans="1:9" x14ac:dyDescent="0.25">
      <c r="A155" s="8" t="s">
        <v>95</v>
      </c>
      <c r="B155" s="8"/>
      <c r="C155" s="8"/>
      <c r="D155" s="8"/>
      <c r="E155" s="8"/>
      <c r="F155" s="8"/>
      <c r="G155" s="8"/>
      <c r="H155" s="8"/>
      <c r="I155" s="8"/>
    </row>
    <row r="156" spans="1:9" x14ac:dyDescent="0.25">
      <c r="A156" s="1297" t="s">
        <v>1009</v>
      </c>
      <c r="B156" s="1298"/>
      <c r="C156" s="1298"/>
      <c r="D156" s="1298"/>
      <c r="E156" s="1298"/>
      <c r="F156" s="1298"/>
      <c r="G156" s="1298"/>
      <c r="H156" s="1298"/>
      <c r="I156" s="1299"/>
    </row>
    <row r="158" spans="1:9" x14ac:dyDescent="0.25">
      <c r="A158" s="8" t="s">
        <v>1010</v>
      </c>
    </row>
    <row r="159" spans="1:9" x14ac:dyDescent="0.25">
      <c r="A159" s="26"/>
    </row>
    <row r="160" spans="1:9" x14ac:dyDescent="0.25">
      <c r="A160" s="26"/>
    </row>
  </sheetData>
  <mergeCells count="74">
    <mergeCell ref="A154:I154"/>
    <mergeCell ref="A156:I156"/>
    <mergeCell ref="A148:B148"/>
    <mergeCell ref="A149:B149"/>
    <mergeCell ref="A150:B150"/>
    <mergeCell ref="F150:G150"/>
    <mergeCell ref="A152:G152"/>
    <mergeCell ref="A153:I153"/>
    <mergeCell ref="A147:B147"/>
    <mergeCell ref="A133:B133"/>
    <mergeCell ref="A134:B134"/>
    <mergeCell ref="A137:B137"/>
    <mergeCell ref="A138:B138"/>
    <mergeCell ref="A139:B139"/>
    <mergeCell ref="A140:B140"/>
    <mergeCell ref="A141:B141"/>
    <mergeCell ref="A142:B142"/>
    <mergeCell ref="A143:B143"/>
    <mergeCell ref="A144:B144"/>
    <mergeCell ref="A145:B145"/>
    <mergeCell ref="A132:B132"/>
    <mergeCell ref="A120:B120"/>
    <mergeCell ref="A121:B121"/>
    <mergeCell ref="A122:B122"/>
    <mergeCell ref="A123:B123"/>
    <mergeCell ref="A124:B124"/>
    <mergeCell ref="A125:B125"/>
    <mergeCell ref="A126:B126"/>
    <mergeCell ref="A127:B127"/>
    <mergeCell ref="A128:B128"/>
    <mergeCell ref="A130:B130"/>
    <mergeCell ref="A131:B131"/>
    <mergeCell ref="A119:B119"/>
    <mergeCell ref="C43:I43"/>
    <mergeCell ref="A45:I45"/>
    <mergeCell ref="C47:I47"/>
    <mergeCell ref="C48:I48"/>
    <mergeCell ref="C49:I49"/>
    <mergeCell ref="C50:I50"/>
    <mergeCell ref="C51:I51"/>
    <mergeCell ref="A55:I55"/>
    <mergeCell ref="A116:G116"/>
    <mergeCell ref="A117:B117"/>
    <mergeCell ref="A118:B118"/>
    <mergeCell ref="D42:I42"/>
    <mergeCell ref="F25:I25"/>
    <mergeCell ref="F26:I26"/>
    <mergeCell ref="F27:I27"/>
    <mergeCell ref="A29:I29"/>
    <mergeCell ref="D31:I31"/>
    <mergeCell ref="D32:I34"/>
    <mergeCell ref="C35:I35"/>
    <mergeCell ref="A37:I37"/>
    <mergeCell ref="D39:I39"/>
    <mergeCell ref="D40:I40"/>
    <mergeCell ref="D41:I41"/>
    <mergeCell ref="F24:I24"/>
    <mergeCell ref="A7:B7"/>
    <mergeCell ref="D7:I7"/>
    <mergeCell ref="A8:B8"/>
    <mergeCell ref="D8:I8"/>
    <mergeCell ref="A9:B9"/>
    <mergeCell ref="D9:I9"/>
    <mergeCell ref="A11:I11"/>
    <mergeCell ref="A15:A17"/>
    <mergeCell ref="A20:I20"/>
    <mergeCell ref="F22:I22"/>
    <mergeCell ref="F23:I23"/>
    <mergeCell ref="B1:I1"/>
    <mergeCell ref="A3:I3"/>
    <mergeCell ref="A5:B5"/>
    <mergeCell ref="D5:I5"/>
    <mergeCell ref="A6:B6"/>
    <mergeCell ref="D6:I6"/>
  </mergeCells>
  <pageMargins left="0.70866141732283472" right="0.70866141732283472" top="0.78740157480314965" bottom="0.78740157480314965" header="0.31496062992125984" footer="0.31496062992125984"/>
  <pageSetup paperSize="9" firstPageNumber="189" orientation="landscape" useFirstPageNumber="1" r:id="rId1"/>
  <headerFoot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10" zoomScaleNormal="110" workbookViewId="0">
      <selection activeCell="C48" sqref="C48"/>
    </sheetView>
  </sheetViews>
  <sheetFormatPr defaultColWidth="6.3984375" defaultRowHeight="7.8" x14ac:dyDescent="0.15"/>
  <cols>
    <col min="1" max="1" width="5.3984375" style="1061" customWidth="1"/>
    <col min="2" max="2" width="6.3984375" style="1060" customWidth="1"/>
    <col min="3" max="3" width="36.796875" style="1060" customWidth="1"/>
    <col min="4" max="4" width="9.3984375" style="1060" customWidth="1"/>
    <col min="5" max="7" width="11" style="1060" customWidth="1"/>
    <col min="8" max="8" width="8" style="1060" bestFit="1" customWidth="1"/>
    <col min="9" max="12" width="11" style="1060" customWidth="1"/>
    <col min="13" max="13" width="12.19921875" style="1060" customWidth="1"/>
    <col min="14" max="19" width="11" style="1060" customWidth="1"/>
    <col min="20" max="20" width="12.796875" style="1060" customWidth="1"/>
    <col min="21" max="21" width="11.19921875" style="1060" bestFit="1" customWidth="1"/>
    <col min="22" max="22" width="11.796875" style="1060" bestFit="1" customWidth="1"/>
    <col min="23" max="23" width="7.19921875" style="1060" bestFit="1" customWidth="1"/>
    <col min="24" max="24" width="11" style="1060" customWidth="1"/>
    <col min="25" max="16384" width="6.3984375" style="1060"/>
  </cols>
  <sheetData>
    <row r="1" spans="1:24" s="1062" customFormat="1" ht="15.6" x14ac:dyDescent="0.3">
      <c r="A1" s="1665" t="s">
        <v>1371</v>
      </c>
      <c r="B1" s="1665"/>
      <c r="C1" s="1665"/>
      <c r="D1" s="1665"/>
      <c r="E1" s="1665"/>
      <c r="F1" s="1665"/>
      <c r="G1" s="1665"/>
      <c r="H1" s="1665"/>
      <c r="I1" s="1665"/>
      <c r="J1" s="1665"/>
      <c r="K1" s="1665"/>
      <c r="L1" s="1665"/>
      <c r="M1" s="1665"/>
      <c r="N1" s="1665"/>
      <c r="O1" s="1665"/>
      <c r="P1" s="1665"/>
      <c r="Q1" s="1665"/>
      <c r="R1" s="1665"/>
      <c r="S1" s="1665"/>
      <c r="T1" s="1665"/>
      <c r="U1" s="1665"/>
      <c r="V1" s="1665"/>
      <c r="W1" s="1665"/>
      <c r="X1" s="1665"/>
    </row>
    <row r="2" spans="1:24" ht="9" thickBot="1" x14ac:dyDescent="0.2">
      <c r="A2" s="1072"/>
      <c r="B2" s="1073"/>
      <c r="C2" s="1073"/>
      <c r="D2" s="1073"/>
      <c r="E2" s="1073"/>
      <c r="F2" s="1073"/>
      <c r="G2" s="1073"/>
      <c r="H2" s="1073"/>
      <c r="I2" s="1073"/>
      <c r="J2" s="1073"/>
      <c r="K2" s="1073"/>
      <c r="L2" s="1073"/>
      <c r="M2" s="1073"/>
      <c r="N2" s="1073"/>
      <c r="O2" s="1073"/>
      <c r="P2" s="1073"/>
      <c r="Q2" s="1073"/>
      <c r="R2" s="1073"/>
      <c r="S2" s="1073"/>
      <c r="T2" s="1073"/>
      <c r="U2" s="1073"/>
      <c r="V2" s="1073"/>
      <c r="W2" s="1073"/>
      <c r="X2" s="1073"/>
    </row>
    <row r="3" spans="1:24" s="1063" customFormat="1" x14ac:dyDescent="0.15">
      <c r="A3" s="1666" t="s">
        <v>40</v>
      </c>
      <c r="B3" s="1668" t="s">
        <v>41</v>
      </c>
      <c r="C3" s="1669"/>
      <c r="D3" s="1671" t="s">
        <v>42</v>
      </c>
      <c r="E3" s="1673" t="s">
        <v>34</v>
      </c>
      <c r="F3" s="1674"/>
      <c r="G3" s="1674"/>
      <c r="H3" s="1674"/>
      <c r="I3" s="1675"/>
      <c r="J3" s="1673" t="s">
        <v>39</v>
      </c>
      <c r="K3" s="1674"/>
      <c r="L3" s="1674"/>
      <c r="M3" s="1674"/>
      <c r="N3" s="1675"/>
      <c r="O3" s="1673" t="s">
        <v>43</v>
      </c>
      <c r="P3" s="1674"/>
      <c r="Q3" s="1674"/>
      <c r="R3" s="1674"/>
      <c r="S3" s="1675"/>
      <c r="T3" s="1673" t="s">
        <v>38</v>
      </c>
      <c r="U3" s="1674"/>
      <c r="V3" s="1674"/>
      <c r="W3" s="1674"/>
      <c r="X3" s="1675"/>
    </row>
    <row r="4" spans="1:24" s="1064" customFormat="1" x14ac:dyDescent="0.15">
      <c r="A4" s="1667"/>
      <c r="B4" s="1670"/>
      <c r="C4" s="1670"/>
      <c r="D4" s="1672"/>
      <c r="E4" s="1676" t="s">
        <v>44</v>
      </c>
      <c r="F4" s="1663" t="s">
        <v>100</v>
      </c>
      <c r="G4" s="1663"/>
      <c r="H4" s="1663"/>
      <c r="I4" s="1664" t="s">
        <v>101</v>
      </c>
      <c r="J4" s="1676" t="s">
        <v>44</v>
      </c>
      <c r="K4" s="1663" t="s">
        <v>100</v>
      </c>
      <c r="L4" s="1663"/>
      <c r="M4" s="1663"/>
      <c r="N4" s="1664" t="s">
        <v>101</v>
      </c>
      <c r="O4" s="1676" t="s">
        <v>44</v>
      </c>
      <c r="P4" s="1663" t="s">
        <v>100</v>
      </c>
      <c r="Q4" s="1663"/>
      <c r="R4" s="1663"/>
      <c r="S4" s="1664" t="s">
        <v>101</v>
      </c>
      <c r="T4" s="1676" t="s">
        <v>44</v>
      </c>
      <c r="U4" s="1663" t="s">
        <v>100</v>
      </c>
      <c r="V4" s="1663"/>
      <c r="W4" s="1663"/>
      <c r="X4" s="1664" t="s">
        <v>101</v>
      </c>
    </row>
    <row r="5" spans="1:24" s="1065" customFormat="1" x14ac:dyDescent="0.15">
      <c r="A5" s="1667"/>
      <c r="B5" s="1670"/>
      <c r="C5" s="1670"/>
      <c r="D5" s="1672"/>
      <c r="E5" s="1676"/>
      <c r="F5" s="1074" t="s">
        <v>35</v>
      </c>
      <c r="G5" s="1074" t="s">
        <v>36</v>
      </c>
      <c r="H5" s="1074" t="s">
        <v>37</v>
      </c>
      <c r="I5" s="1664"/>
      <c r="J5" s="1676"/>
      <c r="K5" s="1074" t="s">
        <v>35</v>
      </c>
      <c r="L5" s="1074" t="s">
        <v>36</v>
      </c>
      <c r="M5" s="1074" t="s">
        <v>37</v>
      </c>
      <c r="N5" s="1664"/>
      <c r="O5" s="1676"/>
      <c r="P5" s="1074" t="s">
        <v>35</v>
      </c>
      <c r="Q5" s="1074" t="s">
        <v>36</v>
      </c>
      <c r="R5" s="1074" t="s">
        <v>37</v>
      </c>
      <c r="S5" s="1664"/>
      <c r="T5" s="1676"/>
      <c r="U5" s="1074" t="s">
        <v>35</v>
      </c>
      <c r="V5" s="1074" t="s">
        <v>36</v>
      </c>
      <c r="W5" s="1074" t="s">
        <v>37</v>
      </c>
      <c r="X5" s="1664"/>
    </row>
    <row r="6" spans="1:24" s="1063" customFormat="1" x14ac:dyDescent="0.15">
      <c r="A6" s="1075" t="s">
        <v>0</v>
      </c>
      <c r="B6" s="1661" t="s">
        <v>1</v>
      </c>
      <c r="C6" s="1661"/>
      <c r="D6" s="1076" t="s">
        <v>25</v>
      </c>
      <c r="E6" s="1077">
        <f>SUM(E7:E9)</f>
        <v>24877800</v>
      </c>
      <c r="F6" s="1078">
        <f>SUM(F7:F9)</f>
        <v>33996381.530000001</v>
      </c>
      <c r="G6" s="1078">
        <f>SUM(G7:G9)</f>
        <v>34476184.059999995</v>
      </c>
      <c r="H6" s="1079">
        <f t="shared" ref="H6:H29" si="0">G6/F6*100</f>
        <v>101.41133411382795</v>
      </c>
      <c r="I6" s="1080">
        <f>SUM(I7:I9)</f>
        <v>24114257</v>
      </c>
      <c r="J6" s="1077">
        <f>SUM(J7:J9)</f>
        <v>14214000</v>
      </c>
      <c r="K6" s="1078">
        <f t="shared" ref="K6:X6" si="1">SUM(K7:K9)</f>
        <v>22747081.530000001</v>
      </c>
      <c r="L6" s="1078">
        <f t="shared" si="1"/>
        <v>22590753.050000001</v>
      </c>
      <c r="M6" s="1079">
        <f t="shared" ref="M6:M29" si="2">L6/K6*100</f>
        <v>99.312753683175458</v>
      </c>
      <c r="N6" s="1080">
        <f t="shared" si="1"/>
        <v>14219042</v>
      </c>
      <c r="O6" s="1077">
        <f t="shared" si="1"/>
        <v>10663800</v>
      </c>
      <c r="P6" s="1078">
        <f t="shared" si="1"/>
        <v>11249300</v>
      </c>
      <c r="Q6" s="1078">
        <f t="shared" si="1"/>
        <v>11885431.01</v>
      </c>
      <c r="R6" s="1079">
        <f t="shared" ref="R6:R20" si="3">Q6/P6*100</f>
        <v>105.65484972398282</v>
      </c>
      <c r="S6" s="1080">
        <f t="shared" si="1"/>
        <v>9895215</v>
      </c>
      <c r="T6" s="1077">
        <f t="shared" si="1"/>
        <v>1850000</v>
      </c>
      <c r="U6" s="1078">
        <f t="shared" si="1"/>
        <v>1850000</v>
      </c>
      <c r="V6" s="1078">
        <f t="shared" si="1"/>
        <v>1709733.58</v>
      </c>
      <c r="W6" s="1079">
        <f t="shared" ref="W6:W33" si="4">V6/U6*100</f>
        <v>92.41803135135136</v>
      </c>
      <c r="X6" s="1080">
        <f t="shared" si="1"/>
        <v>1762143</v>
      </c>
    </row>
    <row r="7" spans="1:24" s="1063" customFormat="1" x14ac:dyDescent="0.15">
      <c r="A7" s="1081" t="s">
        <v>2</v>
      </c>
      <c r="B7" s="1660" t="s">
        <v>46</v>
      </c>
      <c r="C7" s="1660"/>
      <c r="D7" s="1076" t="s">
        <v>25</v>
      </c>
      <c r="E7" s="1082">
        <f t="shared" ref="E7:G10" si="5">SUM(J7,O7)</f>
        <v>3816000</v>
      </c>
      <c r="F7" s="1083">
        <f t="shared" si="5"/>
        <v>4958370.53</v>
      </c>
      <c r="G7" s="1083">
        <f t="shared" si="5"/>
        <v>5146358.37</v>
      </c>
      <c r="H7" s="1084">
        <f t="shared" si="0"/>
        <v>103.79132295302666</v>
      </c>
      <c r="I7" s="1085">
        <f>SUM(N7,S7)</f>
        <v>4247709</v>
      </c>
      <c r="J7" s="1086">
        <v>3816000</v>
      </c>
      <c r="K7" s="1087">
        <f>3656000+160000+170000+30000+221310+339659+105269.53+28043+49774+17908+75451+55956+49000</f>
        <v>4958370.53</v>
      </c>
      <c r="L7" s="1087">
        <f>3485668.02+174255+1142370.53</f>
        <v>4802293.55</v>
      </c>
      <c r="M7" s="1084">
        <f t="shared" si="2"/>
        <v>96.852252588714862</v>
      </c>
      <c r="N7" s="1088">
        <v>4017794</v>
      </c>
      <c r="O7" s="1086"/>
      <c r="P7" s="1087"/>
      <c r="Q7" s="1087">
        <f>344064.82</f>
        <v>344064.82</v>
      </c>
      <c r="R7" s="1084">
        <v>344.06</v>
      </c>
      <c r="S7" s="1088">
        <v>229915</v>
      </c>
      <c r="T7" s="1086">
        <v>1850000</v>
      </c>
      <c r="U7" s="1087">
        <f>T7</f>
        <v>1850000</v>
      </c>
      <c r="V7" s="1087">
        <f>16220+1693513.58</f>
        <v>1709733.58</v>
      </c>
      <c r="W7" s="1084">
        <f t="shared" si="4"/>
        <v>92.41803135135136</v>
      </c>
      <c r="X7" s="1088">
        <v>1762143</v>
      </c>
    </row>
    <row r="8" spans="1:24" s="1063" customFormat="1" x14ac:dyDescent="0.15">
      <c r="A8" s="1081" t="s">
        <v>3</v>
      </c>
      <c r="B8" s="1660" t="s">
        <v>47</v>
      </c>
      <c r="C8" s="1660"/>
      <c r="D8" s="1076" t="s">
        <v>25</v>
      </c>
      <c r="E8" s="1082">
        <f t="shared" si="5"/>
        <v>500</v>
      </c>
      <c r="F8" s="1083">
        <f t="shared" si="5"/>
        <v>500</v>
      </c>
      <c r="G8" s="1083">
        <f t="shared" si="5"/>
        <v>248.5</v>
      </c>
      <c r="H8" s="1084">
        <f t="shared" si="0"/>
        <v>49.7</v>
      </c>
      <c r="I8" s="1085">
        <f>SUM(N8,S8)</f>
        <v>248</v>
      </c>
      <c r="J8" s="1082">
        <v>500</v>
      </c>
      <c r="K8" s="1083">
        <f>250+250</f>
        <v>500</v>
      </c>
      <c r="L8" s="1083">
        <f>82.84+165.66</f>
        <v>248.5</v>
      </c>
      <c r="M8" s="1084">
        <f t="shared" si="2"/>
        <v>49.7</v>
      </c>
      <c r="N8" s="1085">
        <v>248</v>
      </c>
      <c r="O8" s="1082"/>
      <c r="P8" s="1083"/>
      <c r="Q8" s="1083"/>
      <c r="R8" s="1084">
        <v>0</v>
      </c>
      <c r="S8" s="1085"/>
      <c r="T8" s="1082"/>
      <c r="U8" s="1083"/>
      <c r="V8" s="1083"/>
      <c r="W8" s="1084">
        <v>0</v>
      </c>
      <c r="X8" s="1085"/>
    </row>
    <row r="9" spans="1:24" s="1063" customFormat="1" x14ac:dyDescent="0.15">
      <c r="A9" s="1081" t="s">
        <v>4</v>
      </c>
      <c r="B9" s="1089" t="s">
        <v>62</v>
      </c>
      <c r="C9" s="1090"/>
      <c r="D9" s="1076" t="s">
        <v>25</v>
      </c>
      <c r="E9" s="1082">
        <f t="shared" si="5"/>
        <v>21061300</v>
      </c>
      <c r="F9" s="1083">
        <f t="shared" si="5"/>
        <v>29037511</v>
      </c>
      <c r="G9" s="1083">
        <f t="shared" si="5"/>
        <v>29329577.189999998</v>
      </c>
      <c r="H9" s="1084">
        <f t="shared" si="0"/>
        <v>101.00582377738918</v>
      </c>
      <c r="I9" s="1085">
        <f>SUM(N9,S9)</f>
        <v>19866300</v>
      </c>
      <c r="J9" s="1082">
        <v>10397500</v>
      </c>
      <c r="K9" s="1083">
        <f>J9+270150+590000+1350000+5000000+443359-329563+38330+28435</f>
        <v>17788211</v>
      </c>
      <c r="L9" s="1083">
        <f>17788211</f>
        <v>17788211</v>
      </c>
      <c r="M9" s="1084">
        <f t="shared" si="2"/>
        <v>100</v>
      </c>
      <c r="N9" s="1085">
        <v>10201000</v>
      </c>
      <c r="O9" s="1082">
        <f>10123800+540000</f>
        <v>10663800</v>
      </c>
      <c r="P9" s="1083">
        <f>10709300+540000</f>
        <v>11249300</v>
      </c>
      <c r="Q9" s="1083">
        <f>10709300+540000+30000+9300+252766.19</f>
        <v>11541366.189999999</v>
      </c>
      <c r="R9" s="1084">
        <f t="shared" si="3"/>
        <v>102.59630545900633</v>
      </c>
      <c r="S9" s="1085">
        <v>9665300</v>
      </c>
      <c r="T9" s="1082"/>
      <c r="U9" s="1083"/>
      <c r="V9" s="1083"/>
      <c r="W9" s="1084">
        <v>0</v>
      </c>
      <c r="X9" s="1085"/>
    </row>
    <row r="10" spans="1:24" s="1063" customFormat="1" x14ac:dyDescent="0.15">
      <c r="A10" s="1075" t="s">
        <v>5</v>
      </c>
      <c r="B10" s="1661" t="s">
        <v>7</v>
      </c>
      <c r="C10" s="1661"/>
      <c r="D10" s="1076" t="s">
        <v>25</v>
      </c>
      <c r="E10" s="1091">
        <f t="shared" si="5"/>
        <v>0</v>
      </c>
      <c r="F10" s="1092">
        <f t="shared" si="5"/>
        <v>0</v>
      </c>
      <c r="G10" s="1092">
        <f t="shared" si="5"/>
        <v>0</v>
      </c>
      <c r="H10" s="1079">
        <v>0</v>
      </c>
      <c r="I10" s="1093">
        <f>SUM(N10,S10)</f>
        <v>0</v>
      </c>
      <c r="J10" s="1091"/>
      <c r="K10" s="1092"/>
      <c r="L10" s="1092"/>
      <c r="M10" s="1079">
        <v>0</v>
      </c>
      <c r="N10" s="1093"/>
      <c r="O10" s="1091"/>
      <c r="P10" s="1092"/>
      <c r="Q10" s="1092"/>
      <c r="R10" s="1079">
        <v>0</v>
      </c>
      <c r="S10" s="1093"/>
      <c r="T10" s="1091"/>
      <c r="U10" s="1092"/>
      <c r="V10" s="1092"/>
      <c r="W10" s="1079">
        <v>0</v>
      </c>
      <c r="X10" s="1093"/>
    </row>
    <row r="11" spans="1:24" s="1063" customFormat="1" x14ac:dyDescent="0.15">
      <c r="A11" s="1075" t="s">
        <v>6</v>
      </c>
      <c r="B11" s="1661" t="s">
        <v>9</v>
      </c>
      <c r="C11" s="1661"/>
      <c r="D11" s="1076" t="s">
        <v>25</v>
      </c>
      <c r="E11" s="1077">
        <f>SUM(E12:E31)</f>
        <v>24877800</v>
      </c>
      <c r="F11" s="1078">
        <f>SUM(F12:F31)</f>
        <v>33996381.780000001</v>
      </c>
      <c r="G11" s="1078">
        <f>SUM(G12:G31)</f>
        <v>34388806.479999997</v>
      </c>
      <c r="H11" s="1079">
        <f t="shared" si="0"/>
        <v>101.15431313408433</v>
      </c>
      <c r="I11" s="1080">
        <f>SUM(I12:I32)</f>
        <v>24137101.539999999</v>
      </c>
      <c r="J11" s="1077">
        <f>SUM(J12:J31)</f>
        <v>14214000</v>
      </c>
      <c r="K11" s="1078">
        <f>SUM(K12:K31)</f>
        <v>22747081.780000001</v>
      </c>
      <c r="L11" s="1078">
        <f>SUM(L12:L31)</f>
        <v>22486575.479999997</v>
      </c>
      <c r="M11" s="1079">
        <f t="shared" si="2"/>
        <v>98.854770460142944</v>
      </c>
      <c r="N11" s="1080">
        <f>SUM(N12:N31)</f>
        <v>14241886.539999999</v>
      </c>
      <c r="O11" s="1077">
        <f>SUM(O12:O31)</f>
        <v>10663800</v>
      </c>
      <c r="P11" s="1078">
        <f>SUM(P12:P31)</f>
        <v>11249300</v>
      </c>
      <c r="Q11" s="1078">
        <f>SUM(Q12:Q31)</f>
        <v>11902231</v>
      </c>
      <c r="R11" s="1079">
        <f t="shared" si="3"/>
        <v>105.80419226085178</v>
      </c>
      <c r="S11" s="1080">
        <f>SUM(S12:S31)</f>
        <v>9895215</v>
      </c>
      <c r="T11" s="1077">
        <f>SUM(T12:T31)</f>
        <v>1820000</v>
      </c>
      <c r="U11" s="1078">
        <f>SUM(U12:U31)</f>
        <v>1820000</v>
      </c>
      <c r="V11" s="1078">
        <f>SUM(V12:V31)</f>
        <v>1690225.58</v>
      </c>
      <c r="W11" s="1079">
        <f t="shared" si="4"/>
        <v>92.869537362637374</v>
      </c>
      <c r="X11" s="1080">
        <f>SUM(X12:X31)</f>
        <v>1523276.31</v>
      </c>
    </row>
    <row r="12" spans="1:24" s="1063" customFormat="1" x14ac:dyDescent="0.15">
      <c r="A12" s="1094" t="s">
        <v>8</v>
      </c>
      <c r="B12" s="1677" t="s">
        <v>28</v>
      </c>
      <c r="C12" s="1677"/>
      <c r="D12" s="1076" t="s">
        <v>25</v>
      </c>
      <c r="E12" s="1082">
        <f>SUM(J12,O12)</f>
        <v>1678500</v>
      </c>
      <c r="F12" s="1083">
        <f t="shared" ref="E12:I28" si="6">SUM(K12,P12)</f>
        <v>2417128</v>
      </c>
      <c r="G12" s="1083">
        <f t="shared" si="6"/>
        <v>2396854.0099999998</v>
      </c>
      <c r="H12" s="1084">
        <f t="shared" si="0"/>
        <v>99.161236392942357</v>
      </c>
      <c r="I12" s="1085">
        <f t="shared" si="6"/>
        <v>1583082.3</v>
      </c>
      <c r="J12" s="1082">
        <v>1338000</v>
      </c>
      <c r="K12" s="1095">
        <v>2076628</v>
      </c>
      <c r="L12" s="1095">
        <v>2062202.98</v>
      </c>
      <c r="M12" s="1084">
        <f t="shared" si="2"/>
        <v>99.305363310135462</v>
      </c>
      <c r="N12" s="1096">
        <v>1403136.3</v>
      </c>
      <c r="O12" s="1097">
        <f>80500+260000</f>
        <v>340500</v>
      </c>
      <c r="P12" s="1095">
        <f>O12</f>
        <v>340500</v>
      </c>
      <c r="Q12" s="1095">
        <f>94801.21+169508+7197+63144.82</f>
        <v>334651.03000000003</v>
      </c>
      <c r="R12" s="1084">
        <f t="shared" si="3"/>
        <v>98.282240822320119</v>
      </c>
      <c r="S12" s="1098">
        <v>179946</v>
      </c>
      <c r="T12" s="1097">
        <v>56000</v>
      </c>
      <c r="U12" s="1095">
        <f>T12</f>
        <v>56000</v>
      </c>
      <c r="V12" s="1095">
        <v>39006.300000000003</v>
      </c>
      <c r="W12" s="1084">
        <f t="shared" si="4"/>
        <v>69.654107142857143</v>
      </c>
      <c r="X12" s="1096">
        <v>17488</v>
      </c>
    </row>
    <row r="13" spans="1:24" s="1063" customFormat="1" x14ac:dyDescent="0.15">
      <c r="A13" s="1081" t="s">
        <v>10</v>
      </c>
      <c r="B13" s="1660" t="s">
        <v>29</v>
      </c>
      <c r="C13" s="1660"/>
      <c r="D13" s="1076" t="s">
        <v>25</v>
      </c>
      <c r="E13" s="1082">
        <f t="shared" si="6"/>
        <v>2129600</v>
      </c>
      <c r="F13" s="1083">
        <f t="shared" si="6"/>
        <v>1725800</v>
      </c>
      <c r="G13" s="1083">
        <f t="shared" si="6"/>
        <v>1725797.75</v>
      </c>
      <c r="H13" s="1084">
        <f t="shared" si="0"/>
        <v>99.999869625680844</v>
      </c>
      <c r="I13" s="1085">
        <f t="shared" si="6"/>
        <v>1430267.23</v>
      </c>
      <c r="J13" s="1082">
        <v>2129600</v>
      </c>
      <c r="K13" s="1083">
        <v>1725800</v>
      </c>
      <c r="L13" s="1083">
        <v>1725797.75</v>
      </c>
      <c r="M13" s="1084">
        <f t="shared" si="2"/>
        <v>99.999869625680844</v>
      </c>
      <c r="N13" s="1085">
        <v>1430267.23</v>
      </c>
      <c r="O13" s="1082"/>
      <c r="P13" s="1083"/>
      <c r="Q13" s="1083"/>
      <c r="R13" s="1084">
        <v>0</v>
      </c>
      <c r="S13" s="1085"/>
      <c r="T13" s="1082">
        <v>659600</v>
      </c>
      <c r="U13" s="1095">
        <f>T13-90525</f>
        <v>569075</v>
      </c>
      <c r="V13" s="1083">
        <v>542182.42000000004</v>
      </c>
      <c r="W13" s="1084">
        <f t="shared" si="4"/>
        <v>95.274334665905201</v>
      </c>
      <c r="X13" s="1085">
        <v>530026</v>
      </c>
    </row>
    <row r="14" spans="1:24" s="1063" customFormat="1" x14ac:dyDescent="0.15">
      <c r="A14" s="1081" t="s">
        <v>11</v>
      </c>
      <c r="B14" s="1090" t="s">
        <v>63</v>
      </c>
      <c r="C14" s="1090"/>
      <c r="D14" s="1076" t="s">
        <v>25</v>
      </c>
      <c r="E14" s="1082">
        <f t="shared" si="6"/>
        <v>0</v>
      </c>
      <c r="F14" s="1083">
        <f t="shared" si="6"/>
        <v>0</v>
      </c>
      <c r="G14" s="1083">
        <f t="shared" si="6"/>
        <v>0</v>
      </c>
      <c r="H14" s="1084">
        <v>0</v>
      </c>
      <c r="I14" s="1085">
        <f t="shared" si="6"/>
        <v>0</v>
      </c>
      <c r="J14" s="1082"/>
      <c r="K14" s="1083"/>
      <c r="L14" s="1083"/>
      <c r="M14" s="1084">
        <v>0</v>
      </c>
      <c r="N14" s="1085"/>
      <c r="O14" s="1082"/>
      <c r="P14" s="1083"/>
      <c r="Q14" s="1083"/>
      <c r="R14" s="1084">
        <v>0</v>
      </c>
      <c r="S14" s="1085"/>
      <c r="T14" s="1082"/>
      <c r="U14" s="1095"/>
      <c r="V14" s="1083"/>
      <c r="W14" s="1084">
        <v>0</v>
      </c>
      <c r="X14" s="1085"/>
    </row>
    <row r="15" spans="1:24" s="1063" customFormat="1" x14ac:dyDescent="0.15">
      <c r="A15" s="1081" t="s">
        <v>12</v>
      </c>
      <c r="B15" s="1660" t="s">
        <v>64</v>
      </c>
      <c r="C15" s="1660"/>
      <c r="D15" s="1076" t="s">
        <v>25</v>
      </c>
      <c r="E15" s="1082">
        <f t="shared" si="6"/>
        <v>250000</v>
      </c>
      <c r="F15" s="1083">
        <f t="shared" si="6"/>
        <v>6606023.7800000003</v>
      </c>
      <c r="G15" s="1083">
        <f t="shared" si="6"/>
        <v>6621150.3200000003</v>
      </c>
      <c r="H15" s="1084">
        <f t="shared" si="0"/>
        <v>100.22898101041955</v>
      </c>
      <c r="I15" s="1085">
        <f t="shared" si="6"/>
        <v>1110191.31</v>
      </c>
      <c r="J15" s="1082">
        <v>250000</v>
      </c>
      <c r="K15" s="1083">
        <v>6606023.7800000003</v>
      </c>
      <c r="L15" s="1083">
        <v>6588115.3200000003</v>
      </c>
      <c r="M15" s="1084">
        <f t="shared" si="2"/>
        <v>99.728907121796652</v>
      </c>
      <c r="N15" s="1085">
        <v>1065022.31</v>
      </c>
      <c r="O15" s="1082"/>
      <c r="P15" s="1083"/>
      <c r="Q15" s="1083">
        <f>33035</f>
        <v>33035</v>
      </c>
      <c r="R15" s="1084">
        <v>0</v>
      </c>
      <c r="S15" s="1085">
        <v>45169</v>
      </c>
      <c r="T15" s="1082">
        <v>50000</v>
      </c>
      <c r="U15" s="1095">
        <f>T15-10000</f>
        <v>40000</v>
      </c>
      <c r="V15" s="1083">
        <v>10207.85</v>
      </c>
      <c r="W15" s="1084">
        <f t="shared" si="4"/>
        <v>25.519625000000001</v>
      </c>
      <c r="X15" s="1085">
        <v>76789</v>
      </c>
    </row>
    <row r="16" spans="1:24" s="1063" customFormat="1" x14ac:dyDescent="0.15">
      <c r="A16" s="1081" t="s">
        <v>13</v>
      </c>
      <c r="B16" s="1660" t="s">
        <v>30</v>
      </c>
      <c r="C16" s="1660"/>
      <c r="D16" s="1076" t="s">
        <v>25</v>
      </c>
      <c r="E16" s="1082">
        <f t="shared" si="6"/>
        <v>20000</v>
      </c>
      <c r="F16" s="1083">
        <f t="shared" si="6"/>
        <v>20000</v>
      </c>
      <c r="G16" s="1083">
        <f t="shared" si="6"/>
        <v>15121</v>
      </c>
      <c r="H16" s="1084">
        <f t="shared" si="0"/>
        <v>75.605000000000004</v>
      </c>
      <c r="I16" s="1085">
        <f t="shared" si="6"/>
        <v>17446</v>
      </c>
      <c r="J16" s="1082">
        <v>20000</v>
      </c>
      <c r="K16" s="1083">
        <v>20000</v>
      </c>
      <c r="L16" s="1083">
        <v>15121</v>
      </c>
      <c r="M16" s="1084">
        <f t="shared" si="2"/>
        <v>75.605000000000004</v>
      </c>
      <c r="N16" s="1085">
        <v>17446</v>
      </c>
      <c r="O16" s="1082"/>
      <c r="P16" s="1083"/>
      <c r="Q16" s="1083"/>
      <c r="R16" s="1084">
        <v>0</v>
      </c>
      <c r="S16" s="1085"/>
      <c r="T16" s="1082"/>
      <c r="U16" s="1095"/>
      <c r="V16" s="1083"/>
      <c r="W16" s="1084">
        <v>0</v>
      </c>
      <c r="X16" s="1085"/>
    </row>
    <row r="17" spans="1:24" s="1063" customFormat="1" x14ac:dyDescent="0.15">
      <c r="A17" s="1081" t="s">
        <v>14</v>
      </c>
      <c r="B17" s="1090" t="s">
        <v>48</v>
      </c>
      <c r="C17" s="1090"/>
      <c r="D17" s="1076" t="s">
        <v>25</v>
      </c>
      <c r="E17" s="1082">
        <f t="shared" si="6"/>
        <v>2000</v>
      </c>
      <c r="F17" s="1083">
        <f t="shared" si="6"/>
        <v>7335</v>
      </c>
      <c r="G17" s="1083">
        <f t="shared" si="6"/>
        <v>7333</v>
      </c>
      <c r="H17" s="1084">
        <f t="shared" si="0"/>
        <v>99.972733469665982</v>
      </c>
      <c r="I17" s="1085">
        <f t="shared" si="6"/>
        <v>1345</v>
      </c>
      <c r="J17" s="1082">
        <v>2000</v>
      </c>
      <c r="K17" s="1083">
        <v>7335</v>
      </c>
      <c r="L17" s="1083">
        <v>7333</v>
      </c>
      <c r="M17" s="1084">
        <f t="shared" si="2"/>
        <v>99.972733469665982</v>
      </c>
      <c r="N17" s="1085">
        <v>1345</v>
      </c>
      <c r="O17" s="1082"/>
      <c r="P17" s="1083"/>
      <c r="Q17" s="1083"/>
      <c r="R17" s="1084">
        <v>0</v>
      </c>
      <c r="S17" s="1085"/>
      <c r="T17" s="1082"/>
      <c r="U17" s="1095"/>
      <c r="V17" s="1083"/>
      <c r="W17" s="1084">
        <v>0</v>
      </c>
      <c r="X17" s="1085"/>
    </row>
    <row r="18" spans="1:24" s="1063" customFormat="1" x14ac:dyDescent="0.15">
      <c r="A18" s="1081" t="s">
        <v>15</v>
      </c>
      <c r="B18" s="1660" t="s">
        <v>31</v>
      </c>
      <c r="C18" s="1660"/>
      <c r="D18" s="1076" t="s">
        <v>25</v>
      </c>
      <c r="E18" s="1082">
        <f t="shared" si="6"/>
        <v>2836040</v>
      </c>
      <c r="F18" s="1083">
        <f t="shared" si="6"/>
        <v>2750940</v>
      </c>
      <c r="G18" s="1083">
        <f t="shared" si="6"/>
        <v>2743486.6</v>
      </c>
      <c r="H18" s="1084">
        <f t="shared" si="0"/>
        <v>99.729059884984778</v>
      </c>
      <c r="I18" s="1085">
        <f t="shared" si="6"/>
        <v>2718982.79</v>
      </c>
      <c r="J18" s="1082">
        <v>2836040</v>
      </c>
      <c r="K18" s="1083">
        <v>2750940</v>
      </c>
      <c r="L18" s="1083">
        <v>2650891.6</v>
      </c>
      <c r="M18" s="1084">
        <f t="shared" si="2"/>
        <v>96.363119515511059</v>
      </c>
      <c r="N18" s="1085">
        <v>2678664.79</v>
      </c>
      <c r="O18" s="1082"/>
      <c r="P18" s="1083"/>
      <c r="Q18" s="1083">
        <f>90492+2103</f>
        <v>92595</v>
      </c>
      <c r="R18" s="1084">
        <v>925.95</v>
      </c>
      <c r="S18" s="1085">
        <v>40318</v>
      </c>
      <c r="T18" s="1082">
        <v>35700</v>
      </c>
      <c r="U18" s="1095">
        <f t="shared" ref="U18:U29" si="7">T18</f>
        <v>35700</v>
      </c>
      <c r="V18" s="1083">
        <v>14529.8</v>
      </c>
      <c r="W18" s="1084">
        <f t="shared" si="4"/>
        <v>40.699719887955183</v>
      </c>
      <c r="X18" s="1085">
        <v>34813</v>
      </c>
    </row>
    <row r="19" spans="1:24" s="1066" customFormat="1" x14ac:dyDescent="0.15">
      <c r="A19" s="1081" t="s">
        <v>16</v>
      </c>
      <c r="B19" s="1660" t="s">
        <v>32</v>
      </c>
      <c r="C19" s="1660"/>
      <c r="D19" s="1076" t="s">
        <v>25</v>
      </c>
      <c r="E19" s="1082">
        <f t="shared" si="6"/>
        <v>11639400</v>
      </c>
      <c r="F19" s="1083">
        <f t="shared" si="6"/>
        <v>12386200</v>
      </c>
      <c r="G19" s="1083">
        <f t="shared" si="6"/>
        <v>12867864</v>
      </c>
      <c r="H19" s="1084">
        <f t="shared" si="0"/>
        <v>103.88871486008622</v>
      </c>
      <c r="I19" s="1085">
        <f t="shared" si="6"/>
        <v>11087366</v>
      </c>
      <c r="J19" s="1099">
        <v>3967000</v>
      </c>
      <c r="K19" s="1083">
        <v>4281100</v>
      </c>
      <c r="L19" s="1083">
        <v>4280890</v>
      </c>
      <c r="M19" s="1084">
        <f t="shared" si="2"/>
        <v>99.995094718647081</v>
      </c>
      <c r="N19" s="1085">
        <v>3905274</v>
      </c>
      <c r="O19" s="1082">
        <f>6876100+516300+280000</f>
        <v>7672400</v>
      </c>
      <c r="P19" s="1083">
        <f>7158800+666300+280000</f>
        <v>8105100</v>
      </c>
      <c r="Q19" s="1083">
        <f>7832096+280000+14840+310+22421+239935+197372</f>
        <v>8586974</v>
      </c>
      <c r="R19" s="1084">
        <f t="shared" si="3"/>
        <v>105.94531837978556</v>
      </c>
      <c r="S19" s="1085">
        <v>7182092</v>
      </c>
      <c r="T19" s="1099">
        <v>505000</v>
      </c>
      <c r="U19" s="1095">
        <f t="shared" si="7"/>
        <v>505000</v>
      </c>
      <c r="V19" s="1100">
        <f>511913-14840-310</f>
        <v>496763</v>
      </c>
      <c r="W19" s="1084">
        <f t="shared" si="4"/>
        <v>98.368910891089115</v>
      </c>
      <c r="X19" s="1101">
        <v>432905</v>
      </c>
    </row>
    <row r="20" spans="1:24" s="1063" customFormat="1" x14ac:dyDescent="0.15">
      <c r="A20" s="1081" t="s">
        <v>17</v>
      </c>
      <c r="B20" s="1660" t="s">
        <v>49</v>
      </c>
      <c r="C20" s="1660"/>
      <c r="D20" s="1076" t="s">
        <v>25</v>
      </c>
      <c r="E20" s="1082">
        <f t="shared" si="6"/>
        <v>3784900</v>
      </c>
      <c r="F20" s="1083">
        <f t="shared" si="6"/>
        <v>4081970</v>
      </c>
      <c r="G20" s="1083">
        <f t="shared" si="6"/>
        <v>3805450.4499999997</v>
      </c>
      <c r="H20" s="1084">
        <f t="shared" si="0"/>
        <v>93.225830910075274</v>
      </c>
      <c r="I20" s="1085">
        <f t="shared" si="6"/>
        <v>3279193.59</v>
      </c>
      <c r="J20" s="1082">
        <v>1134000</v>
      </c>
      <c r="K20" s="1083">
        <v>1278270</v>
      </c>
      <c r="L20" s="1083">
        <f>1262252.39+15737.89</f>
        <v>1277990.2799999998</v>
      </c>
      <c r="M20" s="1084">
        <f t="shared" si="2"/>
        <v>99.978117299162122</v>
      </c>
      <c r="N20" s="1085">
        <v>1112009.5900000001</v>
      </c>
      <c r="O20" s="1082">
        <f>2650900</f>
        <v>2650900</v>
      </c>
      <c r="P20" s="1083">
        <f>O20+152800</f>
        <v>2803700</v>
      </c>
      <c r="Q20" s="1083">
        <f>2436603.42+30196.27+477+173+8.09+7579+51780+643.39</f>
        <v>2527460.17</v>
      </c>
      <c r="R20" s="1084">
        <f t="shared" si="3"/>
        <v>90.147311409922608</v>
      </c>
      <c r="S20" s="1085">
        <v>2167184</v>
      </c>
      <c r="T20" s="1082">
        <v>173500</v>
      </c>
      <c r="U20" s="1095">
        <f t="shared" si="7"/>
        <v>173500</v>
      </c>
      <c r="V20" s="1083">
        <f>169083.19+2094.34-477-173-8.09</f>
        <v>170519.44</v>
      </c>
      <c r="W20" s="1084">
        <f t="shared" si="4"/>
        <v>98.282097982708933</v>
      </c>
      <c r="X20" s="1085">
        <v>149006</v>
      </c>
    </row>
    <row r="21" spans="1:24" s="1063" customFormat="1" x14ac:dyDescent="0.15">
      <c r="A21" s="1081" t="s">
        <v>18</v>
      </c>
      <c r="B21" s="1660" t="s">
        <v>50</v>
      </c>
      <c r="C21" s="1660"/>
      <c r="D21" s="1076" t="s">
        <v>25</v>
      </c>
      <c r="E21" s="1082">
        <f t="shared" si="6"/>
        <v>129200</v>
      </c>
      <c r="F21" s="1083">
        <f t="shared" si="6"/>
        <v>149310</v>
      </c>
      <c r="G21" s="1083">
        <f t="shared" si="6"/>
        <v>296419.70999999996</v>
      </c>
      <c r="H21" s="1084">
        <f t="shared" si="0"/>
        <v>198.52636126180428</v>
      </c>
      <c r="I21" s="1085">
        <f t="shared" si="6"/>
        <v>274294.40000000002</v>
      </c>
      <c r="J21" s="1082">
        <v>129200</v>
      </c>
      <c r="K21" s="1083">
        <v>149310</v>
      </c>
      <c r="L21" s="1083">
        <v>149141.06</v>
      </c>
      <c r="M21" s="1084">
        <f t="shared" si="2"/>
        <v>99.886852856473112</v>
      </c>
      <c r="N21" s="1085">
        <v>150868.4</v>
      </c>
      <c r="O21" s="1082"/>
      <c r="P21" s="1083"/>
      <c r="Q21" s="1083">
        <f>143315.95+991.9+2970.8</f>
        <v>147278.65</v>
      </c>
      <c r="R21" s="1084">
        <v>0</v>
      </c>
      <c r="S21" s="1085">
        <v>123426</v>
      </c>
      <c r="T21" s="1082">
        <v>10100</v>
      </c>
      <c r="U21" s="1095">
        <f t="shared" si="7"/>
        <v>10100</v>
      </c>
      <c r="V21" s="1083">
        <f>9935.26-991.9</f>
        <v>8943.36</v>
      </c>
      <c r="W21" s="1084">
        <f t="shared" si="4"/>
        <v>88.548118811881196</v>
      </c>
      <c r="X21" s="1085">
        <v>8658</v>
      </c>
    </row>
    <row r="22" spans="1:24" s="1063" customFormat="1" x14ac:dyDescent="0.15">
      <c r="A22" s="1081" t="s">
        <v>19</v>
      </c>
      <c r="B22" s="1660" t="s">
        <v>65</v>
      </c>
      <c r="C22" s="1660"/>
      <c r="D22" s="1076" t="s">
        <v>25</v>
      </c>
      <c r="E22" s="1082">
        <f t="shared" si="6"/>
        <v>5000</v>
      </c>
      <c r="F22" s="1083">
        <f t="shared" si="6"/>
        <v>5950</v>
      </c>
      <c r="G22" s="1083">
        <f t="shared" si="6"/>
        <v>5947</v>
      </c>
      <c r="H22" s="1084">
        <f t="shared" si="0"/>
        <v>99.94957983193278</v>
      </c>
      <c r="I22" s="1085">
        <f t="shared" si="6"/>
        <v>4445</v>
      </c>
      <c r="J22" s="1082">
        <v>5000</v>
      </c>
      <c r="K22" s="1083">
        <v>5950</v>
      </c>
      <c r="L22" s="1083">
        <v>5947</v>
      </c>
      <c r="M22" s="1084">
        <f t="shared" si="2"/>
        <v>99.94957983193278</v>
      </c>
      <c r="N22" s="1085">
        <v>4445</v>
      </c>
      <c r="O22" s="1082"/>
      <c r="P22" s="1083"/>
      <c r="Q22" s="1083"/>
      <c r="R22" s="1084">
        <v>0</v>
      </c>
      <c r="S22" s="1085"/>
      <c r="T22" s="1082">
        <v>6000</v>
      </c>
      <c r="U22" s="1095">
        <f t="shared" si="7"/>
        <v>6000</v>
      </c>
      <c r="V22" s="1083">
        <v>1940</v>
      </c>
      <c r="W22" s="1084">
        <f t="shared" si="4"/>
        <v>32.333333333333329</v>
      </c>
      <c r="X22" s="1085">
        <v>1052</v>
      </c>
    </row>
    <row r="23" spans="1:24" s="1063" customFormat="1" x14ac:dyDescent="0.15">
      <c r="A23" s="1081" t="s">
        <v>20</v>
      </c>
      <c r="B23" s="1090" t="s">
        <v>66</v>
      </c>
      <c r="C23" s="1090"/>
      <c r="D23" s="1076" t="s">
        <v>25</v>
      </c>
      <c r="E23" s="1082">
        <f t="shared" si="6"/>
        <v>0</v>
      </c>
      <c r="F23" s="1083">
        <f t="shared" si="6"/>
        <v>1000</v>
      </c>
      <c r="G23" s="1083">
        <f t="shared" si="6"/>
        <v>630</v>
      </c>
      <c r="H23" s="1084">
        <f t="shared" si="0"/>
        <v>63</v>
      </c>
      <c r="I23" s="1085">
        <f t="shared" si="6"/>
        <v>208</v>
      </c>
      <c r="J23" s="1082"/>
      <c r="K23" s="1083">
        <v>1000</v>
      </c>
      <c r="L23" s="1083">
        <f>130+500</f>
        <v>630</v>
      </c>
      <c r="M23" s="1084">
        <f t="shared" si="2"/>
        <v>63</v>
      </c>
      <c r="N23" s="1085">
        <v>208</v>
      </c>
      <c r="O23" s="1082"/>
      <c r="P23" s="1083"/>
      <c r="Q23" s="1083"/>
      <c r="R23" s="1084">
        <v>0</v>
      </c>
      <c r="S23" s="1085"/>
      <c r="T23" s="1082"/>
      <c r="U23" s="1095"/>
      <c r="V23" s="1083"/>
      <c r="W23" s="1084">
        <v>0</v>
      </c>
      <c r="X23" s="1085"/>
    </row>
    <row r="24" spans="1:24" s="1063" customFormat="1" x14ac:dyDescent="0.15">
      <c r="A24" s="1081" t="s">
        <v>21</v>
      </c>
      <c r="B24" s="1090" t="s">
        <v>73</v>
      </c>
      <c r="C24" s="1090"/>
      <c r="D24" s="1076" t="s">
        <v>25</v>
      </c>
      <c r="E24" s="1082">
        <f t="shared" si="6"/>
        <v>0</v>
      </c>
      <c r="F24" s="1083">
        <f t="shared" si="6"/>
        <v>0</v>
      </c>
      <c r="G24" s="1083">
        <f t="shared" si="6"/>
        <v>0</v>
      </c>
      <c r="H24" s="1084">
        <v>0</v>
      </c>
      <c r="I24" s="1085">
        <f t="shared" si="6"/>
        <v>0</v>
      </c>
      <c r="J24" s="1082"/>
      <c r="K24" s="1083"/>
      <c r="L24" s="1083"/>
      <c r="M24" s="1084">
        <v>0</v>
      </c>
      <c r="N24" s="1085"/>
      <c r="O24" s="1082"/>
      <c r="P24" s="1083"/>
      <c r="Q24" s="1083"/>
      <c r="R24" s="1084">
        <v>0</v>
      </c>
      <c r="S24" s="1085"/>
      <c r="T24" s="1082"/>
      <c r="U24" s="1095"/>
      <c r="V24" s="1083"/>
      <c r="W24" s="1084">
        <v>0</v>
      </c>
      <c r="X24" s="1085"/>
    </row>
    <row r="25" spans="1:24" s="1063" customFormat="1" x14ac:dyDescent="0.15">
      <c r="A25" s="1094" t="s">
        <v>22</v>
      </c>
      <c r="B25" s="1102" t="s">
        <v>68</v>
      </c>
      <c r="C25" s="1102"/>
      <c r="D25" s="1076" t="s">
        <v>25</v>
      </c>
      <c r="E25" s="1082">
        <f t="shared" si="6"/>
        <v>0</v>
      </c>
      <c r="F25" s="1083">
        <f t="shared" si="6"/>
        <v>0</v>
      </c>
      <c r="G25" s="1083">
        <f t="shared" si="6"/>
        <v>0</v>
      </c>
      <c r="H25" s="1084">
        <v>0</v>
      </c>
      <c r="I25" s="1085">
        <f t="shared" si="6"/>
        <v>0</v>
      </c>
      <c r="J25" s="1082"/>
      <c r="K25" s="1095"/>
      <c r="L25" s="1095"/>
      <c r="M25" s="1084">
        <v>0</v>
      </c>
      <c r="N25" s="1096"/>
      <c r="O25" s="1097"/>
      <c r="P25" s="1095"/>
      <c r="Q25" s="1095"/>
      <c r="R25" s="1084">
        <v>0</v>
      </c>
      <c r="S25" s="1098"/>
      <c r="T25" s="1097"/>
      <c r="U25" s="1095"/>
      <c r="V25" s="1095"/>
      <c r="W25" s="1084">
        <v>0</v>
      </c>
      <c r="X25" s="1098"/>
    </row>
    <row r="26" spans="1:24" s="1067" customFormat="1" x14ac:dyDescent="0.15">
      <c r="A26" s="1081" t="s">
        <v>23</v>
      </c>
      <c r="B26" s="1660" t="s">
        <v>69</v>
      </c>
      <c r="C26" s="1660"/>
      <c r="D26" s="1076" t="s">
        <v>25</v>
      </c>
      <c r="E26" s="1082">
        <f t="shared" si="6"/>
        <v>2153160</v>
      </c>
      <c r="F26" s="1083">
        <f t="shared" si="6"/>
        <v>2596519</v>
      </c>
      <c r="G26" s="1083">
        <f t="shared" si="6"/>
        <v>2596518.06</v>
      </c>
      <c r="H26" s="1103">
        <f t="shared" si="0"/>
        <v>99.999963797684515</v>
      </c>
      <c r="I26" s="1085">
        <f t="shared" si="6"/>
        <v>2125985.88</v>
      </c>
      <c r="J26" s="1082">
        <v>2153160</v>
      </c>
      <c r="K26" s="1104">
        <v>2596519</v>
      </c>
      <c r="L26" s="1104">
        <v>2596518.06</v>
      </c>
      <c r="M26" s="1084">
        <f t="shared" si="2"/>
        <v>99.999963797684515</v>
      </c>
      <c r="N26" s="1085">
        <v>2125985.88</v>
      </c>
      <c r="O26" s="1105"/>
      <c r="P26" s="1104"/>
      <c r="Q26" s="1104"/>
      <c r="R26" s="1084">
        <v>0</v>
      </c>
      <c r="S26" s="1096"/>
      <c r="T26" s="1106">
        <v>307600</v>
      </c>
      <c r="U26" s="1095">
        <f>T26+90525</f>
        <v>398125</v>
      </c>
      <c r="V26" s="1107">
        <v>398122.94</v>
      </c>
      <c r="W26" s="1084">
        <f t="shared" si="4"/>
        <v>99.99948257456829</v>
      </c>
      <c r="X26" s="1108">
        <v>328963</v>
      </c>
    </row>
    <row r="27" spans="1:24" s="1068" customFormat="1" x14ac:dyDescent="0.15">
      <c r="A27" s="1081" t="s">
        <v>45</v>
      </c>
      <c r="B27" s="1090" t="s">
        <v>70</v>
      </c>
      <c r="C27" s="1090"/>
      <c r="D27" s="1076" t="s">
        <v>25</v>
      </c>
      <c r="E27" s="1082">
        <f t="shared" si="6"/>
        <v>0</v>
      </c>
      <c r="F27" s="1083">
        <f t="shared" si="6"/>
        <v>0</v>
      </c>
      <c r="G27" s="1083">
        <f t="shared" si="6"/>
        <v>0</v>
      </c>
      <c r="H27" s="1103">
        <v>0</v>
      </c>
      <c r="I27" s="1085">
        <f t="shared" si="6"/>
        <v>-2035</v>
      </c>
      <c r="J27" s="1082"/>
      <c r="K27" s="1104"/>
      <c r="L27" s="1104"/>
      <c r="M27" s="1084">
        <v>0</v>
      </c>
      <c r="N27" s="1096">
        <v>-2035</v>
      </c>
      <c r="O27" s="1105"/>
      <c r="P27" s="1104"/>
      <c r="Q27" s="1104"/>
      <c r="R27" s="1084">
        <v>0</v>
      </c>
      <c r="S27" s="1096"/>
      <c r="T27" s="1106"/>
      <c r="U27" s="1095"/>
      <c r="V27" s="1107"/>
      <c r="W27" s="1084">
        <v>0</v>
      </c>
      <c r="X27" s="1108">
        <v>-79200.69</v>
      </c>
    </row>
    <row r="28" spans="1:24" s="1068" customFormat="1" x14ac:dyDescent="0.15">
      <c r="A28" s="1081" t="s">
        <v>51</v>
      </c>
      <c r="B28" s="1090" t="s">
        <v>74</v>
      </c>
      <c r="C28" s="1090"/>
      <c r="D28" s="1076" t="s">
        <v>25</v>
      </c>
      <c r="E28" s="1082">
        <f t="shared" si="6"/>
        <v>120000</v>
      </c>
      <c r="F28" s="1083">
        <f t="shared" si="6"/>
        <v>1033206</v>
      </c>
      <c r="G28" s="1083">
        <f t="shared" si="6"/>
        <v>1212680.33</v>
      </c>
      <c r="H28" s="1103">
        <f t="shared" si="0"/>
        <v>117.37062405754517</v>
      </c>
      <c r="I28" s="1085">
        <f t="shared" si="6"/>
        <v>394285.04000000004</v>
      </c>
      <c r="J28" s="1082">
        <v>120000</v>
      </c>
      <c r="K28" s="1104">
        <v>1033206</v>
      </c>
      <c r="L28" s="1104">
        <v>1032443.18</v>
      </c>
      <c r="M28" s="1084">
        <f t="shared" si="2"/>
        <v>99.926169611868303</v>
      </c>
      <c r="N28" s="1096">
        <v>237205.04</v>
      </c>
      <c r="O28" s="1105"/>
      <c r="P28" s="1104"/>
      <c r="Q28" s="1104">
        <f>172287.15+7950</f>
        <v>180237.15</v>
      </c>
      <c r="R28" s="1084">
        <v>0</v>
      </c>
      <c r="S28" s="1096">
        <v>157080</v>
      </c>
      <c r="T28" s="1106"/>
      <c r="U28" s="1095">
        <f>10000</f>
        <v>10000</v>
      </c>
      <c r="V28" s="1107">
        <v>2987.72</v>
      </c>
      <c r="W28" s="1084">
        <f t="shared" si="4"/>
        <v>29.877199999999998</v>
      </c>
      <c r="X28" s="1108">
        <v>6859</v>
      </c>
    </row>
    <row r="29" spans="1:24" s="1067" customFormat="1" x14ac:dyDescent="0.15">
      <c r="A29" s="1081" t="s">
        <v>52</v>
      </c>
      <c r="B29" s="1660" t="s">
        <v>67</v>
      </c>
      <c r="C29" s="1660"/>
      <c r="D29" s="1076" t="s">
        <v>25</v>
      </c>
      <c r="E29" s="1082">
        <f t="shared" ref="E29:G31" si="8">SUM(J29,O29)</f>
        <v>130000</v>
      </c>
      <c r="F29" s="1083">
        <f t="shared" si="8"/>
        <v>215000</v>
      </c>
      <c r="G29" s="1083">
        <f t="shared" si="8"/>
        <v>93554.25</v>
      </c>
      <c r="H29" s="1103">
        <f t="shared" si="0"/>
        <v>43.513604651162794</v>
      </c>
      <c r="I29" s="1085">
        <f t="shared" ref="I29:I32" si="9">SUM(N29,S29)</f>
        <v>112044</v>
      </c>
      <c r="J29" s="1082">
        <v>130000</v>
      </c>
      <c r="K29" s="1104">
        <v>215000</v>
      </c>
      <c r="L29" s="1104">
        <v>93554.25</v>
      </c>
      <c r="M29" s="1084">
        <f t="shared" si="2"/>
        <v>43.513604651162794</v>
      </c>
      <c r="N29" s="1096">
        <v>112044</v>
      </c>
      <c r="O29" s="1105"/>
      <c r="P29" s="1104"/>
      <c r="Q29" s="1104"/>
      <c r="R29" s="1084">
        <v>0</v>
      </c>
      <c r="S29" s="1096"/>
      <c r="T29" s="1106">
        <v>16500</v>
      </c>
      <c r="U29" s="1095">
        <f t="shared" si="7"/>
        <v>16500</v>
      </c>
      <c r="V29" s="1107">
        <v>5022.75</v>
      </c>
      <c r="W29" s="1084">
        <f t="shared" si="4"/>
        <v>30.440909090909091</v>
      </c>
      <c r="X29" s="1108">
        <v>15918</v>
      </c>
    </row>
    <row r="30" spans="1:24" s="1063" customFormat="1" x14ac:dyDescent="0.15">
      <c r="A30" s="1081" t="s">
        <v>54</v>
      </c>
      <c r="B30" s="1090" t="s">
        <v>53</v>
      </c>
      <c r="C30" s="1090"/>
      <c r="D30" s="1076" t="s">
        <v>25</v>
      </c>
      <c r="E30" s="1082">
        <f t="shared" si="8"/>
        <v>0</v>
      </c>
      <c r="F30" s="1083">
        <f t="shared" si="8"/>
        <v>0</v>
      </c>
      <c r="G30" s="1083">
        <f t="shared" si="8"/>
        <v>0</v>
      </c>
      <c r="H30" s="1103">
        <v>0</v>
      </c>
      <c r="I30" s="1085">
        <f t="shared" si="9"/>
        <v>0</v>
      </c>
      <c r="J30" s="1082"/>
      <c r="K30" s="1104"/>
      <c r="L30" s="1104"/>
      <c r="M30" s="1084">
        <v>0</v>
      </c>
      <c r="N30" s="1096"/>
      <c r="O30" s="1105"/>
      <c r="P30" s="1104"/>
      <c r="Q30" s="1104"/>
      <c r="R30" s="1084">
        <v>0</v>
      </c>
      <c r="S30" s="1096"/>
      <c r="T30" s="1106"/>
      <c r="U30" s="1107"/>
      <c r="V30" s="1107"/>
      <c r="W30" s="1084">
        <v>0</v>
      </c>
      <c r="X30" s="1108"/>
    </row>
    <row r="31" spans="1:24" s="1069" customFormat="1" x14ac:dyDescent="0.15">
      <c r="A31" s="1081" t="s">
        <v>55</v>
      </c>
      <c r="B31" s="1089" t="s">
        <v>71</v>
      </c>
      <c r="C31" s="1089"/>
      <c r="D31" s="1076" t="s">
        <v>25</v>
      </c>
      <c r="E31" s="1082">
        <f t="shared" si="8"/>
        <v>0</v>
      </c>
      <c r="F31" s="1083">
        <f t="shared" si="8"/>
        <v>0</v>
      </c>
      <c r="G31" s="1083">
        <f t="shared" si="8"/>
        <v>0</v>
      </c>
      <c r="H31" s="1103">
        <v>0</v>
      </c>
      <c r="I31" s="1085">
        <f t="shared" si="9"/>
        <v>0</v>
      </c>
      <c r="J31" s="1082"/>
      <c r="K31" s="1109"/>
      <c r="L31" s="1109"/>
      <c r="M31" s="1084">
        <v>0</v>
      </c>
      <c r="N31" s="1110"/>
      <c r="O31" s="1111"/>
      <c r="P31" s="1109"/>
      <c r="Q31" s="1109"/>
      <c r="R31" s="1084">
        <v>0</v>
      </c>
      <c r="S31" s="1110"/>
      <c r="T31" s="1112"/>
      <c r="U31" s="1113"/>
      <c r="V31" s="1113"/>
      <c r="W31" s="1084">
        <v>0</v>
      </c>
      <c r="X31" s="1114"/>
    </row>
    <row r="32" spans="1:24" s="1069" customFormat="1" x14ac:dyDescent="0.15">
      <c r="A32" s="1094" t="s">
        <v>56</v>
      </c>
      <c r="B32" s="1102" t="s">
        <v>72</v>
      </c>
      <c r="C32" s="1102"/>
      <c r="D32" s="1076" t="s">
        <v>25</v>
      </c>
      <c r="E32" s="1082">
        <f>SUM(J32,O32)</f>
        <v>0</v>
      </c>
      <c r="F32" s="1083">
        <f>SUM(K32,P32)</f>
        <v>0</v>
      </c>
      <c r="G32" s="1083">
        <f>SUM(L32,Q32)</f>
        <v>0</v>
      </c>
      <c r="H32" s="1103">
        <v>0</v>
      </c>
      <c r="I32" s="1085">
        <f t="shared" si="9"/>
        <v>0</v>
      </c>
      <c r="J32" s="1097"/>
      <c r="K32" s="1113"/>
      <c r="L32" s="1113"/>
      <c r="M32" s="1084">
        <v>0</v>
      </c>
      <c r="N32" s="1114"/>
      <c r="O32" s="1112"/>
      <c r="P32" s="1113"/>
      <c r="Q32" s="1113"/>
      <c r="R32" s="1084">
        <v>0</v>
      </c>
      <c r="S32" s="1114"/>
      <c r="T32" s="1112"/>
      <c r="U32" s="1113"/>
      <c r="V32" s="1113"/>
      <c r="W32" s="1084">
        <v>0</v>
      </c>
      <c r="X32" s="1114"/>
    </row>
    <row r="33" spans="1:24" s="1069" customFormat="1" x14ac:dyDescent="0.15">
      <c r="A33" s="1075" t="s">
        <v>57</v>
      </c>
      <c r="B33" s="1115" t="s">
        <v>58</v>
      </c>
      <c r="C33" s="1115"/>
      <c r="D33" s="1076" t="s">
        <v>25</v>
      </c>
      <c r="E33" s="1077">
        <f>E6-E11</f>
        <v>0</v>
      </c>
      <c r="F33" s="1078">
        <f t="shared" ref="F33:G33" si="10">F6-F11</f>
        <v>-0.25</v>
      </c>
      <c r="G33" s="1078">
        <f t="shared" si="10"/>
        <v>87377.579999998212</v>
      </c>
      <c r="H33" s="1116">
        <v>0</v>
      </c>
      <c r="I33" s="1080">
        <f t="shared" ref="I33:L33" si="11">I6-I11</f>
        <v>-22844.539999999106</v>
      </c>
      <c r="J33" s="1077">
        <f t="shared" si="11"/>
        <v>0</v>
      </c>
      <c r="K33" s="1078">
        <f t="shared" si="11"/>
        <v>-0.25</v>
      </c>
      <c r="L33" s="1078">
        <f t="shared" si="11"/>
        <v>104177.57000000402</v>
      </c>
      <c r="M33" s="1079">
        <v>0</v>
      </c>
      <c r="N33" s="1080">
        <f t="shared" ref="N33:Q33" si="12">N6-N11</f>
        <v>-22844.539999999106</v>
      </c>
      <c r="O33" s="1077">
        <f t="shared" si="12"/>
        <v>0</v>
      </c>
      <c r="P33" s="1078">
        <f t="shared" si="12"/>
        <v>0</v>
      </c>
      <c r="Q33" s="1078">
        <f t="shared" si="12"/>
        <v>-16799.990000000224</v>
      </c>
      <c r="R33" s="1079">
        <v>0</v>
      </c>
      <c r="S33" s="1080">
        <f t="shared" ref="S33:V33" si="13">S6-S11</f>
        <v>0</v>
      </c>
      <c r="T33" s="1077">
        <f t="shared" si="13"/>
        <v>30000</v>
      </c>
      <c r="U33" s="1078">
        <f t="shared" si="13"/>
        <v>30000</v>
      </c>
      <c r="V33" s="1078">
        <f t="shared" si="13"/>
        <v>19508</v>
      </c>
      <c r="W33" s="1079">
        <f t="shared" si="4"/>
        <v>65.026666666666671</v>
      </c>
      <c r="X33" s="1080">
        <f>X6-X11</f>
        <v>238866.68999999994</v>
      </c>
    </row>
    <row r="34" spans="1:24" s="1070" customFormat="1" ht="8.4" x14ac:dyDescent="0.15">
      <c r="A34" s="1117" t="s">
        <v>59</v>
      </c>
      <c r="B34" s="1662" t="s">
        <v>24</v>
      </c>
      <c r="C34" s="1662"/>
      <c r="D34" s="1118" t="s">
        <v>25</v>
      </c>
      <c r="E34" s="1119">
        <v>20510</v>
      </c>
      <c r="F34" s="1120">
        <v>20510</v>
      </c>
      <c r="G34" s="1120">
        <v>23804</v>
      </c>
      <c r="H34" s="1103">
        <v>0</v>
      </c>
      <c r="I34" s="1121">
        <v>22589</v>
      </c>
      <c r="J34" s="1122">
        <v>16672</v>
      </c>
      <c r="K34" s="1123">
        <v>16672</v>
      </c>
      <c r="L34" s="1123">
        <v>17148</v>
      </c>
      <c r="M34" s="1084">
        <v>0</v>
      </c>
      <c r="N34" s="1124">
        <v>16658</v>
      </c>
      <c r="O34" s="1122">
        <v>28187</v>
      </c>
      <c r="P34" s="1123">
        <v>28187</v>
      </c>
      <c r="Q34" s="1123">
        <v>29273</v>
      </c>
      <c r="R34" s="1084">
        <v>0</v>
      </c>
      <c r="S34" s="1124">
        <v>27149</v>
      </c>
      <c r="T34" s="1122">
        <v>16672</v>
      </c>
      <c r="U34" s="1123">
        <v>16672</v>
      </c>
      <c r="V34" s="1123">
        <v>17148</v>
      </c>
      <c r="W34" s="1084">
        <v>0</v>
      </c>
      <c r="X34" s="1124">
        <v>16658</v>
      </c>
    </row>
    <row r="35" spans="1:24" s="1071" customFormat="1" ht="8.4" x14ac:dyDescent="0.15">
      <c r="A35" s="1125" t="s">
        <v>60</v>
      </c>
      <c r="B35" s="1658" t="s">
        <v>33</v>
      </c>
      <c r="C35" s="1658"/>
      <c r="D35" s="1126" t="s">
        <v>26</v>
      </c>
      <c r="E35" s="1127">
        <v>37.130000000000003</v>
      </c>
      <c r="F35" s="1128">
        <v>37.78</v>
      </c>
      <c r="G35" s="1128">
        <v>38</v>
      </c>
      <c r="H35" s="1103">
        <v>0</v>
      </c>
      <c r="I35" s="1129">
        <v>34</v>
      </c>
      <c r="J35" s="1130">
        <v>15.65</v>
      </c>
      <c r="K35" s="1131">
        <v>15.65</v>
      </c>
      <c r="L35" s="1131">
        <v>14.8</v>
      </c>
      <c r="M35" s="1084">
        <v>0</v>
      </c>
      <c r="N35" s="1132">
        <v>15</v>
      </c>
      <c r="O35" s="1130">
        <v>18.96</v>
      </c>
      <c r="P35" s="1131">
        <v>19.61</v>
      </c>
      <c r="Q35" s="1131">
        <v>20.86</v>
      </c>
      <c r="R35" s="1084">
        <v>0</v>
      </c>
      <c r="S35" s="1132">
        <v>17</v>
      </c>
      <c r="T35" s="1130">
        <v>2.52</v>
      </c>
      <c r="U35" s="1131">
        <v>2.52</v>
      </c>
      <c r="V35" s="1131">
        <v>2.34</v>
      </c>
      <c r="W35" s="1084">
        <v>0</v>
      </c>
      <c r="X35" s="1132">
        <v>3</v>
      </c>
    </row>
    <row r="36" spans="1:24" s="1070" customFormat="1" ht="9" thickBot="1" x14ac:dyDescent="0.2">
      <c r="A36" s="1133" t="s">
        <v>61</v>
      </c>
      <c r="B36" s="1659" t="s">
        <v>27</v>
      </c>
      <c r="C36" s="1659"/>
      <c r="D36" s="1134" t="s">
        <v>26</v>
      </c>
      <c r="E36" s="1135">
        <v>41</v>
      </c>
      <c r="F36" s="1136">
        <v>42</v>
      </c>
      <c r="G36" s="1136">
        <v>45</v>
      </c>
      <c r="H36" s="1137">
        <v>0</v>
      </c>
      <c r="I36" s="1138">
        <v>38</v>
      </c>
      <c r="J36" s="1139">
        <v>28</v>
      </c>
      <c r="K36" s="1140">
        <v>28</v>
      </c>
      <c r="L36" s="1140">
        <v>20</v>
      </c>
      <c r="M36" s="1141">
        <v>0</v>
      </c>
      <c r="N36" s="1142">
        <v>26</v>
      </c>
      <c r="O36" s="1139">
        <v>23</v>
      </c>
      <c r="P36" s="1140">
        <v>25</v>
      </c>
      <c r="Q36" s="1140">
        <v>25</v>
      </c>
      <c r="R36" s="1141">
        <v>0</v>
      </c>
      <c r="S36" s="1142">
        <v>22</v>
      </c>
      <c r="T36" s="1139">
        <v>20</v>
      </c>
      <c r="U36" s="1140">
        <v>20</v>
      </c>
      <c r="V36" s="1140">
        <v>15</v>
      </c>
      <c r="W36" s="1141">
        <v>0</v>
      </c>
      <c r="X36" s="1142">
        <v>26</v>
      </c>
    </row>
  </sheetData>
  <mergeCells count="39">
    <mergeCell ref="B8:C8"/>
    <mergeCell ref="B7:C7"/>
    <mergeCell ref="B11:C11"/>
    <mergeCell ref="B12:C12"/>
    <mergeCell ref="B13:C13"/>
    <mergeCell ref="S4:S5"/>
    <mergeCell ref="T4:T5"/>
    <mergeCell ref="N4:N5"/>
    <mergeCell ref="O4:O5"/>
    <mergeCell ref="P4:R4"/>
    <mergeCell ref="U4:W4"/>
    <mergeCell ref="X4:X5"/>
    <mergeCell ref="B6:C6"/>
    <mergeCell ref="A1:X1"/>
    <mergeCell ref="A3:A5"/>
    <mergeCell ref="B3:C5"/>
    <mergeCell ref="D3:D5"/>
    <mergeCell ref="E3:I3"/>
    <mergeCell ref="J3:N3"/>
    <mergeCell ref="O3:S3"/>
    <mergeCell ref="T3:X3"/>
    <mergeCell ref="E4:E5"/>
    <mergeCell ref="F4:H4"/>
    <mergeCell ref="I4:I5"/>
    <mergeCell ref="J4:J5"/>
    <mergeCell ref="K4:M4"/>
    <mergeCell ref="B35:C35"/>
    <mergeCell ref="B36:C36"/>
    <mergeCell ref="B21:C21"/>
    <mergeCell ref="B22:C22"/>
    <mergeCell ref="B10:C10"/>
    <mergeCell ref="B15:C15"/>
    <mergeCell ref="B18:C18"/>
    <mergeCell ref="B26:C26"/>
    <mergeCell ref="B29:C29"/>
    <mergeCell ref="B34:C34"/>
    <mergeCell ref="B16:C16"/>
    <mergeCell ref="B19:C19"/>
    <mergeCell ref="B20:C20"/>
  </mergeCells>
  <pageMargins left="0.23622047244094491" right="0.23622047244094491" top="0.74803149606299213" bottom="0.74803149606299213" header="0.31496062992125984" footer="0.31496062992125984"/>
  <pageSetup paperSize="9" scale="97" firstPageNumber="192" fitToHeight="10"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130" zoomScaleNormal="130" zoomScaleSheetLayoutView="110" workbookViewId="0">
      <selection activeCell="G33" sqref="G33"/>
    </sheetView>
  </sheetViews>
  <sheetFormatPr defaultColWidth="6.3984375" defaultRowHeight="7.8" x14ac:dyDescent="0.15"/>
  <cols>
    <col min="1" max="1" width="5.3984375" style="1" customWidth="1"/>
    <col min="2" max="2" width="6.3984375" customWidth="1"/>
    <col min="3" max="3" width="36.796875" customWidth="1"/>
    <col min="4" max="4" width="8.3984375" customWidth="1"/>
    <col min="5" max="7" width="11" customWidth="1"/>
    <col min="8" max="8" width="8.796875" customWidth="1"/>
    <col min="9" max="12" width="11" customWidth="1"/>
    <col min="13" max="13" width="8.796875" customWidth="1"/>
    <col min="14" max="17" width="11" customWidth="1"/>
    <col min="18" max="18" width="8.796875" customWidth="1"/>
    <col min="19" max="19" width="11" customWidth="1"/>
    <col min="20" max="20" width="0.19921875" customWidth="1"/>
    <col min="21" max="22" width="11" hidden="1" customWidth="1"/>
    <col min="23" max="24" width="0.19921875" customWidth="1"/>
  </cols>
  <sheetData>
    <row r="1" spans="1:24" s="2" customFormat="1" ht="15.6" x14ac:dyDescent="0.3">
      <c r="A1" s="1216" t="s">
        <v>161</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x14ac:dyDescent="0.15">
      <c r="E2" s="159"/>
      <c r="F2" s="159"/>
      <c r="G2" s="159"/>
      <c r="H2" s="159"/>
      <c r="I2" s="159"/>
    </row>
    <row r="3" spans="1:24" s="34" customFormat="1" x14ac:dyDescent="0.15">
      <c r="A3" s="1302" t="s">
        <v>40</v>
      </c>
      <c r="B3" s="1303" t="s">
        <v>41</v>
      </c>
      <c r="C3" s="1221"/>
      <c r="D3" s="1303" t="s">
        <v>42</v>
      </c>
      <c r="E3" s="1304" t="s">
        <v>162</v>
      </c>
      <c r="F3" s="1304"/>
      <c r="G3" s="1304"/>
      <c r="H3" s="1304"/>
      <c r="I3" s="1304"/>
      <c r="J3" s="1304" t="s">
        <v>39</v>
      </c>
      <c r="K3" s="1304"/>
      <c r="L3" s="1304"/>
      <c r="M3" s="1304"/>
      <c r="N3" s="1304"/>
      <c r="O3" s="1304" t="s">
        <v>163</v>
      </c>
      <c r="P3" s="1304"/>
      <c r="Q3" s="1304"/>
      <c r="R3" s="1304"/>
      <c r="S3" s="1304"/>
      <c r="T3" s="1304" t="s">
        <v>164</v>
      </c>
      <c r="U3" s="1304"/>
      <c r="V3" s="1304"/>
      <c r="W3" s="1304"/>
      <c r="X3" s="1304"/>
    </row>
    <row r="4" spans="1:24" s="35" customFormat="1" x14ac:dyDescent="0.15">
      <c r="A4" s="1221"/>
      <c r="B4" s="1221"/>
      <c r="C4" s="1221"/>
      <c r="D4" s="1303"/>
      <c r="E4" s="1301" t="s">
        <v>165</v>
      </c>
      <c r="F4" s="1229" t="s">
        <v>100</v>
      </c>
      <c r="G4" s="1229"/>
      <c r="H4" s="1229"/>
      <c r="I4" s="1302" t="s">
        <v>101</v>
      </c>
      <c r="J4" s="1301" t="s">
        <v>165</v>
      </c>
      <c r="K4" s="1229" t="s">
        <v>100</v>
      </c>
      <c r="L4" s="1229"/>
      <c r="M4" s="1229"/>
      <c r="N4" s="1302" t="s">
        <v>101</v>
      </c>
      <c r="O4" s="1301" t="s">
        <v>165</v>
      </c>
      <c r="P4" s="1229" t="s">
        <v>100</v>
      </c>
      <c r="Q4" s="1229"/>
      <c r="R4" s="1229"/>
      <c r="S4" s="1302" t="s">
        <v>101</v>
      </c>
      <c r="T4" s="1301" t="s">
        <v>165</v>
      </c>
      <c r="U4" s="1229" t="s">
        <v>166</v>
      </c>
      <c r="V4" s="1229"/>
      <c r="W4" s="1229"/>
      <c r="X4" s="1302" t="s">
        <v>167</v>
      </c>
    </row>
    <row r="5" spans="1:24" s="36" customFormat="1" x14ac:dyDescent="0.15">
      <c r="A5" s="1221"/>
      <c r="B5" s="1221"/>
      <c r="C5" s="1221"/>
      <c r="D5" s="1303"/>
      <c r="E5" s="1301"/>
      <c r="F5" s="3" t="s">
        <v>168</v>
      </c>
      <c r="G5" s="3" t="s">
        <v>36</v>
      </c>
      <c r="H5" s="3" t="s">
        <v>37</v>
      </c>
      <c r="I5" s="1302"/>
      <c r="J5" s="1301"/>
      <c r="K5" s="3" t="s">
        <v>168</v>
      </c>
      <c r="L5" s="3" t="s">
        <v>36</v>
      </c>
      <c r="M5" s="3" t="s">
        <v>37</v>
      </c>
      <c r="N5" s="1302"/>
      <c r="O5" s="1301"/>
      <c r="P5" s="3" t="s">
        <v>168</v>
      </c>
      <c r="Q5" s="3" t="s">
        <v>36</v>
      </c>
      <c r="R5" s="3" t="s">
        <v>37</v>
      </c>
      <c r="S5" s="1302"/>
      <c r="T5" s="1301"/>
      <c r="U5" s="3" t="s">
        <v>168</v>
      </c>
      <c r="V5" s="3" t="s">
        <v>36</v>
      </c>
      <c r="W5" s="3" t="s">
        <v>37</v>
      </c>
      <c r="X5" s="1302"/>
    </row>
    <row r="6" spans="1:24" s="34" customFormat="1" x14ac:dyDescent="0.15">
      <c r="A6" s="160" t="s">
        <v>0</v>
      </c>
      <c r="B6" s="1236" t="s">
        <v>1</v>
      </c>
      <c r="C6" s="1236"/>
      <c r="D6" s="161" t="s">
        <v>25</v>
      </c>
      <c r="E6" s="52">
        <f>SUM(E7:E9)</f>
        <v>17075540</v>
      </c>
      <c r="F6" s="52">
        <f>SUM(F7:F9)</f>
        <v>19676354</v>
      </c>
      <c r="G6" s="52">
        <f>SUM(G7:G9)</f>
        <v>19675454</v>
      </c>
      <c r="H6" s="4">
        <f t="shared" ref="H6:H36" si="0">G6/F6*100</f>
        <v>99.995425981866362</v>
      </c>
      <c r="I6" s="52">
        <f>SUM(I7:I9)</f>
        <v>17710835</v>
      </c>
      <c r="J6" s="52">
        <f>SUM(J7:J9)</f>
        <v>3775240</v>
      </c>
      <c r="K6" s="52">
        <f t="shared" ref="K6:X6" si="1">SUM(K7:K9)</f>
        <v>4995109</v>
      </c>
      <c r="L6" s="52">
        <f t="shared" si="1"/>
        <v>4994209</v>
      </c>
      <c r="M6" s="4">
        <f t="shared" ref="M6:M36" si="2">L6/K6*100</f>
        <v>99.98198237515939</v>
      </c>
      <c r="N6" s="52">
        <f t="shared" si="1"/>
        <v>5926176</v>
      </c>
      <c r="O6" s="52">
        <f t="shared" si="1"/>
        <v>13300300</v>
      </c>
      <c r="P6" s="52">
        <f t="shared" si="1"/>
        <v>14681245</v>
      </c>
      <c r="Q6" s="52">
        <f t="shared" si="1"/>
        <v>14681245</v>
      </c>
      <c r="R6" s="4">
        <f t="shared" ref="R6:R36" si="3">Q6/P6*100</f>
        <v>100</v>
      </c>
      <c r="S6" s="52">
        <f t="shared" si="1"/>
        <v>11784659</v>
      </c>
      <c r="T6" s="52">
        <f t="shared" si="1"/>
        <v>0</v>
      </c>
      <c r="U6" s="52">
        <f t="shared" si="1"/>
        <v>0</v>
      </c>
      <c r="V6" s="52">
        <f t="shared" si="1"/>
        <v>0</v>
      </c>
      <c r="W6" s="4" t="e">
        <f t="shared" ref="W6:W36" si="4">V6/U6*100</f>
        <v>#DIV/0!</v>
      </c>
      <c r="X6" s="52">
        <f t="shared" si="1"/>
        <v>0</v>
      </c>
    </row>
    <row r="7" spans="1:24" s="34" customFormat="1" x14ac:dyDescent="0.15">
      <c r="A7" s="162" t="s">
        <v>2</v>
      </c>
      <c r="B7" s="1233" t="s">
        <v>46</v>
      </c>
      <c r="C7" s="1233"/>
      <c r="D7" s="163" t="s">
        <v>25</v>
      </c>
      <c r="E7" s="57">
        <f t="shared" ref="E7:G10" si="5">SUM(J7,O7)</f>
        <v>1187300</v>
      </c>
      <c r="F7" s="57">
        <f t="shared" si="5"/>
        <v>1561674</v>
      </c>
      <c r="G7" s="57">
        <f t="shared" si="5"/>
        <v>1561674</v>
      </c>
      <c r="H7" s="58">
        <f t="shared" si="0"/>
        <v>100</v>
      </c>
      <c r="I7" s="57">
        <v>1426395</v>
      </c>
      <c r="J7" s="164">
        <v>1187300</v>
      </c>
      <c r="K7" s="61">
        <v>1561674</v>
      </c>
      <c r="L7" s="61">
        <v>1561674</v>
      </c>
      <c r="M7" s="58">
        <f t="shared" si="2"/>
        <v>100</v>
      </c>
      <c r="N7" s="61">
        <v>1426395</v>
      </c>
      <c r="O7" s="61">
        <v>0</v>
      </c>
      <c r="P7" s="61">
        <v>0</v>
      </c>
      <c r="Q7" s="61">
        <v>0</v>
      </c>
      <c r="R7" s="58" t="e">
        <f t="shared" si="3"/>
        <v>#DIV/0!</v>
      </c>
      <c r="S7" s="61">
        <v>0</v>
      </c>
      <c r="T7" s="61"/>
      <c r="U7" s="61"/>
      <c r="V7" s="61"/>
      <c r="W7" s="58" t="e">
        <f t="shared" si="4"/>
        <v>#DIV/0!</v>
      </c>
      <c r="X7" s="61"/>
    </row>
    <row r="8" spans="1:24" s="34" customFormat="1" x14ac:dyDescent="0.15">
      <c r="A8" s="165" t="s">
        <v>3</v>
      </c>
      <c r="B8" s="1237" t="s">
        <v>47</v>
      </c>
      <c r="C8" s="1237"/>
      <c r="D8" s="163" t="s">
        <v>25</v>
      </c>
      <c r="E8" s="57">
        <f t="shared" si="5"/>
        <v>500</v>
      </c>
      <c r="F8" s="57">
        <f t="shared" si="5"/>
        <v>500</v>
      </c>
      <c r="G8" s="57">
        <f t="shared" si="5"/>
        <v>0</v>
      </c>
      <c r="H8" s="58">
        <f t="shared" si="0"/>
        <v>0</v>
      </c>
      <c r="I8" s="57">
        <v>179</v>
      </c>
      <c r="J8" s="166">
        <v>500</v>
      </c>
      <c r="K8" s="57">
        <v>500</v>
      </c>
      <c r="L8" s="57">
        <v>0</v>
      </c>
      <c r="M8" s="58">
        <f t="shared" si="2"/>
        <v>0</v>
      </c>
      <c r="N8" s="57">
        <v>179</v>
      </c>
      <c r="O8" s="57">
        <v>0</v>
      </c>
      <c r="P8" s="57">
        <v>0</v>
      </c>
      <c r="Q8" s="57">
        <v>0</v>
      </c>
      <c r="R8" s="58" t="e">
        <f t="shared" si="3"/>
        <v>#DIV/0!</v>
      </c>
      <c r="S8" s="57">
        <v>0</v>
      </c>
      <c r="T8" s="57"/>
      <c r="U8" s="57"/>
      <c r="V8" s="57"/>
      <c r="W8" s="58" t="e">
        <f t="shared" si="4"/>
        <v>#DIV/0!</v>
      </c>
      <c r="X8" s="57"/>
    </row>
    <row r="9" spans="1:24" s="34" customFormat="1" x14ac:dyDescent="0.15">
      <c r="A9" s="165" t="s">
        <v>4</v>
      </c>
      <c r="B9" s="76" t="s">
        <v>62</v>
      </c>
      <c r="C9" s="67"/>
      <c r="D9" s="163" t="s">
        <v>25</v>
      </c>
      <c r="E9" s="57">
        <f t="shared" si="5"/>
        <v>15887740</v>
      </c>
      <c r="F9" s="57">
        <f t="shared" si="5"/>
        <v>18114180</v>
      </c>
      <c r="G9" s="57">
        <f t="shared" si="5"/>
        <v>18113780</v>
      </c>
      <c r="H9" s="58">
        <f t="shared" si="0"/>
        <v>99.997791785220201</v>
      </c>
      <c r="I9" s="57">
        <v>16284261</v>
      </c>
      <c r="J9" s="166">
        <v>2587440</v>
      </c>
      <c r="K9" s="57">
        <v>3432935</v>
      </c>
      <c r="L9" s="57">
        <v>3432535</v>
      </c>
      <c r="M9" s="58">
        <f t="shared" si="2"/>
        <v>99.988348162723724</v>
      </c>
      <c r="N9" s="57">
        <v>4499602</v>
      </c>
      <c r="O9" s="57">
        <v>13300300</v>
      </c>
      <c r="P9" s="57">
        <v>14681245</v>
      </c>
      <c r="Q9" s="57">
        <v>14681245</v>
      </c>
      <c r="R9" s="58">
        <f t="shared" si="3"/>
        <v>100</v>
      </c>
      <c r="S9" s="57">
        <v>11784659</v>
      </c>
      <c r="T9" s="57"/>
      <c r="U9" s="57"/>
      <c r="V9" s="57"/>
      <c r="W9" s="58" t="e">
        <f t="shared" si="4"/>
        <v>#DIV/0!</v>
      </c>
      <c r="X9" s="57"/>
    </row>
    <row r="10" spans="1:24" s="34" customFormat="1" x14ac:dyDescent="0.15">
      <c r="A10" s="160" t="s">
        <v>5</v>
      </c>
      <c r="B10" s="1236" t="s">
        <v>7</v>
      </c>
      <c r="C10" s="1236"/>
      <c r="D10" s="161" t="s">
        <v>25</v>
      </c>
      <c r="E10" s="69">
        <f t="shared" si="5"/>
        <v>0</v>
      </c>
      <c r="F10" s="69">
        <f t="shared" si="5"/>
        <v>0</v>
      </c>
      <c r="G10" s="69">
        <f t="shared" si="5"/>
        <v>0</v>
      </c>
      <c r="H10" s="4" t="e">
        <f t="shared" si="0"/>
        <v>#DIV/0!</v>
      </c>
      <c r="I10" s="69">
        <f>SUM(N10,S10)</f>
        <v>0</v>
      </c>
      <c r="J10" s="167">
        <v>0</v>
      </c>
      <c r="K10" s="69">
        <v>0</v>
      </c>
      <c r="L10" s="69">
        <v>0</v>
      </c>
      <c r="M10" s="4" t="e">
        <f t="shared" si="2"/>
        <v>#DIV/0!</v>
      </c>
      <c r="N10" s="69">
        <v>0</v>
      </c>
      <c r="O10" s="69">
        <v>0</v>
      </c>
      <c r="P10" s="69">
        <v>0</v>
      </c>
      <c r="Q10" s="69">
        <v>0</v>
      </c>
      <c r="R10" s="4" t="e">
        <f t="shared" si="3"/>
        <v>#DIV/0!</v>
      </c>
      <c r="S10" s="69">
        <v>0</v>
      </c>
      <c r="T10" s="69"/>
      <c r="U10" s="69"/>
      <c r="V10" s="69"/>
      <c r="W10" s="4" t="e">
        <f t="shared" si="4"/>
        <v>#DIV/0!</v>
      </c>
      <c r="X10" s="69"/>
    </row>
    <row r="11" spans="1:24" s="34" customFormat="1" x14ac:dyDescent="0.15">
      <c r="A11" s="160" t="s">
        <v>6</v>
      </c>
      <c r="B11" s="1236" t="s">
        <v>9</v>
      </c>
      <c r="C11" s="1236"/>
      <c r="D11" s="161" t="s">
        <v>25</v>
      </c>
      <c r="E11" s="52">
        <f>SUM(E12:E31)</f>
        <v>17075540</v>
      </c>
      <c r="F11" s="52">
        <f>SUM(F12:F31)</f>
        <v>19676354</v>
      </c>
      <c r="G11" s="52">
        <f>SUM(G12:G31)</f>
        <v>19480524.899999999</v>
      </c>
      <c r="H11" s="4">
        <f t="shared" si="0"/>
        <v>99.004749050560875</v>
      </c>
      <c r="I11" s="52">
        <f>SUM(I12:I31)</f>
        <v>17444346</v>
      </c>
      <c r="J11" s="52">
        <f>SUM(J12:J31)</f>
        <v>3775240</v>
      </c>
      <c r="K11" s="52">
        <f>SUM(K12:K31)</f>
        <v>4995109</v>
      </c>
      <c r="L11" s="52">
        <f>SUM(L12:L31)</f>
        <v>4799064</v>
      </c>
      <c r="M11" s="4">
        <f t="shared" si="2"/>
        <v>96.075260820134261</v>
      </c>
      <c r="N11" s="52">
        <f>SUM(N12:N31)</f>
        <v>5659687</v>
      </c>
      <c r="O11" s="52">
        <f>SUM(O12:O31)</f>
        <v>13300300</v>
      </c>
      <c r="P11" s="52">
        <f>SUM(P12:P31)</f>
        <v>14681245</v>
      </c>
      <c r="Q11" s="52">
        <f>SUM(Q12:Q31)</f>
        <v>14681460.9</v>
      </c>
      <c r="R11" s="4">
        <f t="shared" si="3"/>
        <v>100.00147058372775</v>
      </c>
      <c r="S11" s="52">
        <f>SUM(S12:S31)</f>
        <v>11784659</v>
      </c>
      <c r="T11" s="52">
        <f>SUM(T12:T31)</f>
        <v>11274916</v>
      </c>
      <c r="U11" s="52">
        <f>SUM(U12:U31)</f>
        <v>0</v>
      </c>
      <c r="V11" s="52">
        <f>SUM(V12:V31)</f>
        <v>0</v>
      </c>
      <c r="W11" s="4" t="e">
        <f t="shared" si="4"/>
        <v>#DIV/0!</v>
      </c>
      <c r="X11" s="52">
        <f>SUM(X12:X31)</f>
        <v>0</v>
      </c>
    </row>
    <row r="12" spans="1:24" s="34" customFormat="1" x14ac:dyDescent="0.15">
      <c r="A12" s="162" t="s">
        <v>8</v>
      </c>
      <c r="B12" s="1233" t="s">
        <v>28</v>
      </c>
      <c r="C12" s="1233"/>
      <c r="D12" s="163" t="s">
        <v>25</v>
      </c>
      <c r="E12" s="57">
        <f t="shared" ref="E12:I29" si="6">SUM(J12,O12)</f>
        <v>868131</v>
      </c>
      <c r="F12" s="57">
        <f t="shared" si="6"/>
        <v>901846</v>
      </c>
      <c r="G12" s="57">
        <f t="shared" si="6"/>
        <v>875224</v>
      </c>
      <c r="H12" s="58">
        <f t="shared" si="0"/>
        <v>97.048054767665434</v>
      </c>
      <c r="I12" s="57">
        <f t="shared" si="6"/>
        <v>1036512</v>
      </c>
      <c r="J12" s="168">
        <v>868131</v>
      </c>
      <c r="K12" s="75">
        <v>861327</v>
      </c>
      <c r="L12" s="75">
        <v>834705</v>
      </c>
      <c r="M12" s="58">
        <f t="shared" si="2"/>
        <v>96.909187799755486</v>
      </c>
      <c r="N12" s="82">
        <v>879477</v>
      </c>
      <c r="O12" s="75">
        <v>0</v>
      </c>
      <c r="P12" s="75">
        <v>40519</v>
      </c>
      <c r="Q12" s="75">
        <v>40519</v>
      </c>
      <c r="R12" s="58">
        <f t="shared" si="3"/>
        <v>100</v>
      </c>
      <c r="S12" s="75">
        <v>157035</v>
      </c>
      <c r="T12" s="75"/>
      <c r="U12" s="75"/>
      <c r="V12" s="75"/>
      <c r="W12" s="58" t="e">
        <f t="shared" si="4"/>
        <v>#DIV/0!</v>
      </c>
      <c r="X12" s="82"/>
    </row>
    <row r="13" spans="1:24" s="34" customFormat="1" x14ac:dyDescent="0.15">
      <c r="A13" s="162" t="s">
        <v>10</v>
      </c>
      <c r="B13" s="1233" t="s">
        <v>29</v>
      </c>
      <c r="C13" s="1233"/>
      <c r="D13" s="163" t="s">
        <v>25</v>
      </c>
      <c r="E13" s="57">
        <f t="shared" si="6"/>
        <v>980000</v>
      </c>
      <c r="F13" s="57">
        <f t="shared" si="6"/>
        <v>980000</v>
      </c>
      <c r="G13" s="57">
        <f t="shared" si="6"/>
        <v>966493</v>
      </c>
      <c r="H13" s="58">
        <f t="shared" si="0"/>
        <v>98.621734693877556</v>
      </c>
      <c r="I13" s="57">
        <f t="shared" si="6"/>
        <v>776382</v>
      </c>
      <c r="J13" s="168">
        <v>980000</v>
      </c>
      <c r="K13" s="57">
        <v>980000</v>
      </c>
      <c r="L13" s="57">
        <v>966493</v>
      </c>
      <c r="M13" s="58">
        <f t="shared" si="2"/>
        <v>98.621734693877556</v>
      </c>
      <c r="N13" s="57">
        <v>776382</v>
      </c>
      <c r="O13" s="57">
        <v>0</v>
      </c>
      <c r="P13" s="57">
        <v>0</v>
      </c>
      <c r="Q13" s="57">
        <v>0</v>
      </c>
      <c r="R13" s="58" t="e">
        <f t="shared" si="3"/>
        <v>#DIV/0!</v>
      </c>
      <c r="S13" s="57">
        <v>0</v>
      </c>
      <c r="T13" s="57"/>
      <c r="U13" s="57"/>
      <c r="V13" s="57"/>
      <c r="W13" s="58" t="e">
        <f t="shared" si="4"/>
        <v>#DIV/0!</v>
      </c>
      <c r="X13" s="57"/>
    </row>
    <row r="14" spans="1:24" s="34" customFormat="1" x14ac:dyDescent="0.15">
      <c r="A14" s="162" t="s">
        <v>11</v>
      </c>
      <c r="B14" s="76" t="s">
        <v>63</v>
      </c>
      <c r="C14" s="76"/>
      <c r="D14" s="163" t="s">
        <v>25</v>
      </c>
      <c r="E14" s="57">
        <f t="shared" si="6"/>
        <v>0</v>
      </c>
      <c r="F14" s="57">
        <f t="shared" si="6"/>
        <v>0</v>
      </c>
      <c r="G14" s="57">
        <f t="shared" si="6"/>
        <v>0</v>
      </c>
      <c r="H14" s="58" t="e">
        <f t="shared" si="0"/>
        <v>#DIV/0!</v>
      </c>
      <c r="I14" s="57">
        <f t="shared" si="6"/>
        <v>0</v>
      </c>
      <c r="J14" s="168">
        <v>0</v>
      </c>
      <c r="K14" s="57">
        <v>0</v>
      </c>
      <c r="L14" s="57">
        <v>0</v>
      </c>
      <c r="M14" s="58" t="e">
        <f t="shared" si="2"/>
        <v>#DIV/0!</v>
      </c>
      <c r="N14" s="57">
        <v>0</v>
      </c>
      <c r="O14" s="57">
        <v>0</v>
      </c>
      <c r="P14" s="57">
        <v>0</v>
      </c>
      <c r="Q14" s="57">
        <v>0</v>
      </c>
      <c r="R14" s="58" t="e">
        <f t="shared" si="3"/>
        <v>#DIV/0!</v>
      </c>
      <c r="S14" s="57">
        <v>0</v>
      </c>
      <c r="T14" s="57"/>
      <c r="U14" s="57"/>
      <c r="V14" s="57"/>
      <c r="W14" s="58" t="e">
        <f t="shared" si="4"/>
        <v>#DIV/0!</v>
      </c>
      <c r="X14" s="57"/>
    </row>
    <row r="15" spans="1:24" s="34" customFormat="1" x14ac:dyDescent="0.15">
      <c r="A15" s="162" t="s">
        <v>12</v>
      </c>
      <c r="B15" s="1233" t="s">
        <v>64</v>
      </c>
      <c r="C15" s="1233"/>
      <c r="D15" s="163" t="s">
        <v>25</v>
      </c>
      <c r="E15" s="57">
        <f t="shared" si="6"/>
        <v>570300</v>
      </c>
      <c r="F15" s="57">
        <f t="shared" si="6"/>
        <v>1628070</v>
      </c>
      <c r="G15" s="57">
        <f t="shared" si="6"/>
        <v>1548132</v>
      </c>
      <c r="H15" s="58">
        <f t="shared" si="0"/>
        <v>95.090014557113633</v>
      </c>
      <c r="I15" s="57">
        <f t="shared" si="6"/>
        <v>2602878</v>
      </c>
      <c r="J15" s="168">
        <v>570300</v>
      </c>
      <c r="K15" s="57">
        <v>1628070</v>
      </c>
      <c r="L15" s="57">
        <v>1548132</v>
      </c>
      <c r="M15" s="58">
        <f t="shared" si="2"/>
        <v>95.090014557113633</v>
      </c>
      <c r="N15" s="57">
        <v>2602878</v>
      </c>
      <c r="O15" s="57">
        <v>0</v>
      </c>
      <c r="P15" s="57">
        <v>0</v>
      </c>
      <c r="Q15" s="57">
        <v>0</v>
      </c>
      <c r="R15" s="58" t="e">
        <f t="shared" si="3"/>
        <v>#DIV/0!</v>
      </c>
      <c r="S15" s="57">
        <v>0</v>
      </c>
      <c r="T15" s="57"/>
      <c r="U15" s="57"/>
      <c r="V15" s="57"/>
      <c r="W15" s="58" t="e">
        <f t="shared" si="4"/>
        <v>#DIV/0!</v>
      </c>
      <c r="X15" s="57"/>
    </row>
    <row r="16" spans="1:24" s="34" customFormat="1" x14ac:dyDescent="0.15">
      <c r="A16" s="162" t="s">
        <v>13</v>
      </c>
      <c r="B16" s="1233" t="s">
        <v>30</v>
      </c>
      <c r="C16" s="1233"/>
      <c r="D16" s="163" t="s">
        <v>25</v>
      </c>
      <c r="E16" s="57">
        <f t="shared" si="6"/>
        <v>1000</v>
      </c>
      <c r="F16" s="57">
        <f t="shared" si="6"/>
        <v>1000</v>
      </c>
      <c r="G16" s="57">
        <f t="shared" si="6"/>
        <v>212</v>
      </c>
      <c r="H16" s="58">
        <f t="shared" si="0"/>
        <v>21.2</v>
      </c>
      <c r="I16" s="57">
        <f t="shared" si="6"/>
        <v>722</v>
      </c>
      <c r="J16" s="168">
        <v>1000</v>
      </c>
      <c r="K16" s="57">
        <v>1000</v>
      </c>
      <c r="L16" s="57">
        <v>212</v>
      </c>
      <c r="M16" s="58">
        <f t="shared" si="2"/>
        <v>21.2</v>
      </c>
      <c r="N16" s="57">
        <v>722</v>
      </c>
      <c r="O16" s="57">
        <v>0</v>
      </c>
      <c r="P16" s="57">
        <v>0</v>
      </c>
      <c r="Q16" s="57">
        <v>0</v>
      </c>
      <c r="R16" s="58" t="e">
        <f t="shared" si="3"/>
        <v>#DIV/0!</v>
      </c>
      <c r="S16" s="57">
        <v>0</v>
      </c>
      <c r="T16" s="57"/>
      <c r="U16" s="57"/>
      <c r="V16" s="57"/>
      <c r="W16" s="58" t="e">
        <f t="shared" si="4"/>
        <v>#DIV/0!</v>
      </c>
      <c r="X16" s="57"/>
    </row>
    <row r="17" spans="1:24" s="34" customFormat="1" x14ac:dyDescent="0.15">
      <c r="A17" s="162" t="s">
        <v>14</v>
      </c>
      <c r="B17" s="76" t="s">
        <v>48</v>
      </c>
      <c r="C17" s="76"/>
      <c r="D17" s="163" t="s">
        <v>25</v>
      </c>
      <c r="E17" s="57">
        <f t="shared" si="6"/>
        <v>2000</v>
      </c>
      <c r="F17" s="57">
        <f t="shared" si="6"/>
        <v>2000</v>
      </c>
      <c r="G17" s="57">
        <f t="shared" si="6"/>
        <v>485</v>
      </c>
      <c r="H17" s="58">
        <f t="shared" si="0"/>
        <v>24.25</v>
      </c>
      <c r="I17" s="57">
        <f t="shared" si="6"/>
        <v>7368</v>
      </c>
      <c r="J17" s="168">
        <v>2000</v>
      </c>
      <c r="K17" s="57">
        <v>2000</v>
      </c>
      <c r="L17" s="57">
        <v>485</v>
      </c>
      <c r="M17" s="58">
        <f t="shared" si="2"/>
        <v>24.25</v>
      </c>
      <c r="N17" s="57">
        <v>1286</v>
      </c>
      <c r="O17" s="57">
        <v>0</v>
      </c>
      <c r="P17" s="57">
        <v>0</v>
      </c>
      <c r="Q17" s="57">
        <v>0</v>
      </c>
      <c r="R17" s="58" t="e">
        <f t="shared" si="3"/>
        <v>#DIV/0!</v>
      </c>
      <c r="S17" s="57">
        <v>6082</v>
      </c>
      <c r="T17" s="57"/>
      <c r="U17" s="57"/>
      <c r="V17" s="57"/>
      <c r="W17" s="58" t="e">
        <f t="shared" si="4"/>
        <v>#DIV/0!</v>
      </c>
      <c r="X17" s="57"/>
    </row>
    <row r="18" spans="1:24" s="34" customFormat="1" x14ac:dyDescent="0.15">
      <c r="A18" s="162" t="s">
        <v>15</v>
      </c>
      <c r="B18" s="1233" t="s">
        <v>31</v>
      </c>
      <c r="C18" s="1233"/>
      <c r="D18" s="163" t="s">
        <v>25</v>
      </c>
      <c r="E18" s="57">
        <f t="shared" si="6"/>
        <v>624900</v>
      </c>
      <c r="F18" s="57">
        <f t="shared" si="6"/>
        <v>709752</v>
      </c>
      <c r="G18" s="57">
        <f t="shared" si="6"/>
        <v>670554.9</v>
      </c>
      <c r="H18" s="58">
        <f t="shared" si="0"/>
        <v>94.477352652757588</v>
      </c>
      <c r="I18" s="57">
        <f t="shared" si="6"/>
        <v>723222</v>
      </c>
      <c r="J18" s="168">
        <v>624900</v>
      </c>
      <c r="K18" s="57">
        <v>617900</v>
      </c>
      <c r="L18" s="57">
        <v>578703</v>
      </c>
      <c r="M18" s="58">
        <f t="shared" si="2"/>
        <v>93.656416895937852</v>
      </c>
      <c r="N18" s="57">
        <v>543572</v>
      </c>
      <c r="O18" s="57"/>
      <c r="P18" s="57">
        <v>91852</v>
      </c>
      <c r="Q18" s="57">
        <v>91851.9</v>
      </c>
      <c r="R18" s="58">
        <f t="shared" si="3"/>
        <v>99.999891129207853</v>
      </c>
      <c r="S18" s="57">
        <v>179650</v>
      </c>
      <c r="T18" s="57">
        <v>8284407</v>
      </c>
      <c r="U18" s="57"/>
      <c r="V18" s="57"/>
      <c r="W18" s="58" t="e">
        <f t="shared" si="4"/>
        <v>#DIV/0!</v>
      </c>
      <c r="X18" s="57"/>
    </row>
    <row r="19" spans="1:24" s="37" customFormat="1" x14ac:dyDescent="0.15">
      <c r="A19" s="162" t="s">
        <v>16</v>
      </c>
      <c r="B19" s="1233" t="s">
        <v>32</v>
      </c>
      <c r="C19" s="1233"/>
      <c r="D19" s="163" t="s">
        <v>25</v>
      </c>
      <c r="E19" s="57">
        <f t="shared" si="6"/>
        <v>9697900</v>
      </c>
      <c r="F19" s="57">
        <f t="shared" si="6"/>
        <v>10203981</v>
      </c>
      <c r="G19" s="57">
        <f t="shared" si="6"/>
        <v>10203981</v>
      </c>
      <c r="H19" s="58">
        <f t="shared" si="0"/>
        <v>100</v>
      </c>
      <c r="I19" s="57">
        <f t="shared" si="6"/>
        <v>8284407</v>
      </c>
      <c r="J19" s="169">
        <v>0</v>
      </c>
      <c r="K19" s="57">
        <v>0</v>
      </c>
      <c r="L19" s="57">
        <v>0</v>
      </c>
      <c r="M19" s="58" t="e">
        <f t="shared" si="2"/>
        <v>#DIV/0!</v>
      </c>
      <c r="N19" s="57">
        <v>0</v>
      </c>
      <c r="O19" s="57">
        <v>9697900</v>
      </c>
      <c r="P19" s="57">
        <v>10203981</v>
      </c>
      <c r="Q19" s="57">
        <v>10203981</v>
      </c>
      <c r="R19" s="58">
        <f t="shared" si="3"/>
        <v>100</v>
      </c>
      <c r="S19" s="57">
        <v>8284407</v>
      </c>
      <c r="T19" s="78">
        <v>2822223</v>
      </c>
      <c r="U19" s="78"/>
      <c r="V19" s="78"/>
      <c r="W19" s="58" t="e">
        <f t="shared" si="4"/>
        <v>#DIV/0!</v>
      </c>
      <c r="X19" s="78"/>
    </row>
    <row r="20" spans="1:24" s="34" customFormat="1" x14ac:dyDescent="0.15">
      <c r="A20" s="162" t="s">
        <v>17</v>
      </c>
      <c r="B20" s="1233" t="s">
        <v>49</v>
      </c>
      <c r="C20" s="1233"/>
      <c r="D20" s="163" t="s">
        <v>25</v>
      </c>
      <c r="E20" s="57">
        <f t="shared" si="6"/>
        <v>3408400</v>
      </c>
      <c r="F20" s="57">
        <f t="shared" si="6"/>
        <v>3473187</v>
      </c>
      <c r="G20" s="57">
        <f>SUM(Q20)</f>
        <v>3473403</v>
      </c>
      <c r="H20" s="58">
        <f t="shared" si="0"/>
        <v>100.00621907199354</v>
      </c>
      <c r="I20" s="57">
        <f t="shared" si="6"/>
        <v>2822223</v>
      </c>
      <c r="J20" s="168">
        <v>0</v>
      </c>
      <c r="K20" s="57">
        <v>0</v>
      </c>
      <c r="L20" s="57">
        <v>0</v>
      </c>
      <c r="M20" s="58" t="e">
        <f t="shared" si="2"/>
        <v>#DIV/0!</v>
      </c>
      <c r="N20" s="57">
        <v>0</v>
      </c>
      <c r="O20" s="57">
        <v>3408400</v>
      </c>
      <c r="P20" s="57">
        <v>3473187</v>
      </c>
      <c r="Q20" s="57">
        <v>3473403</v>
      </c>
      <c r="R20" s="58">
        <f t="shared" si="3"/>
        <v>100.00621907199354</v>
      </c>
      <c r="S20" s="57">
        <v>2822223</v>
      </c>
      <c r="T20" s="57">
        <v>168286</v>
      </c>
      <c r="U20" s="57"/>
      <c r="V20" s="57"/>
      <c r="W20" s="58" t="e">
        <f t="shared" si="4"/>
        <v>#DIV/0!</v>
      </c>
      <c r="X20" s="57"/>
    </row>
    <row r="21" spans="1:24" s="34" customFormat="1" x14ac:dyDescent="0.15">
      <c r="A21" s="162" t="s">
        <v>18</v>
      </c>
      <c r="B21" s="1233" t="s">
        <v>50</v>
      </c>
      <c r="C21" s="1233"/>
      <c r="D21" s="163" t="s">
        <v>25</v>
      </c>
      <c r="E21" s="57">
        <f t="shared" si="6"/>
        <v>194000</v>
      </c>
      <c r="F21" s="57">
        <f t="shared" si="6"/>
        <v>207862</v>
      </c>
      <c r="G21" s="57">
        <f t="shared" si="6"/>
        <v>207862</v>
      </c>
      <c r="H21" s="58">
        <f t="shared" si="0"/>
        <v>100</v>
      </c>
      <c r="I21" s="57">
        <f t="shared" si="6"/>
        <v>168286</v>
      </c>
      <c r="J21" s="168">
        <v>0</v>
      </c>
      <c r="K21" s="57">
        <v>0</v>
      </c>
      <c r="L21" s="57">
        <v>0</v>
      </c>
      <c r="M21" s="58" t="e">
        <f t="shared" si="2"/>
        <v>#DIV/0!</v>
      </c>
      <c r="N21" s="57">
        <v>0</v>
      </c>
      <c r="O21" s="57">
        <v>194000</v>
      </c>
      <c r="P21" s="57">
        <v>207862</v>
      </c>
      <c r="Q21" s="57">
        <v>207862</v>
      </c>
      <c r="R21" s="58">
        <f t="shared" si="3"/>
        <v>100</v>
      </c>
      <c r="S21" s="57">
        <v>168286</v>
      </c>
      <c r="T21" s="57"/>
      <c r="U21" s="57"/>
      <c r="V21" s="57"/>
      <c r="W21" s="58" t="e">
        <f t="shared" si="4"/>
        <v>#DIV/0!</v>
      </c>
      <c r="X21" s="57"/>
    </row>
    <row r="22" spans="1:24" s="34" customFormat="1" x14ac:dyDescent="0.15">
      <c r="A22" s="162" t="s">
        <v>19</v>
      </c>
      <c r="B22" s="1233" t="s">
        <v>65</v>
      </c>
      <c r="C22" s="1233"/>
      <c r="D22" s="163" t="s">
        <v>25</v>
      </c>
      <c r="E22" s="57">
        <f t="shared" si="6"/>
        <v>0</v>
      </c>
      <c r="F22" s="57">
        <f t="shared" si="6"/>
        <v>0</v>
      </c>
      <c r="G22" s="57">
        <f t="shared" si="6"/>
        <v>0</v>
      </c>
      <c r="H22" s="58" t="e">
        <f t="shared" si="0"/>
        <v>#DIV/0!</v>
      </c>
      <c r="I22" s="57">
        <f t="shared" si="6"/>
        <v>0</v>
      </c>
      <c r="J22" s="168">
        <v>0</v>
      </c>
      <c r="K22" s="57">
        <v>0</v>
      </c>
      <c r="L22" s="57">
        <v>0</v>
      </c>
      <c r="M22" s="58" t="e">
        <f t="shared" si="2"/>
        <v>#DIV/0!</v>
      </c>
      <c r="N22" s="57">
        <v>0</v>
      </c>
      <c r="O22" s="57">
        <v>0</v>
      </c>
      <c r="P22" s="57">
        <v>0</v>
      </c>
      <c r="Q22" s="57">
        <v>0</v>
      </c>
      <c r="R22" s="58" t="e">
        <f t="shared" si="3"/>
        <v>#DIV/0!</v>
      </c>
      <c r="S22" s="57">
        <v>0</v>
      </c>
      <c r="T22" s="57"/>
      <c r="U22" s="57"/>
      <c r="V22" s="57"/>
      <c r="W22" s="58" t="e">
        <f t="shared" si="4"/>
        <v>#DIV/0!</v>
      </c>
      <c r="X22" s="57"/>
    </row>
    <row r="23" spans="1:24" s="34" customFormat="1" x14ac:dyDescent="0.15">
      <c r="A23" s="162" t="s">
        <v>20</v>
      </c>
      <c r="B23" s="76" t="s">
        <v>169</v>
      </c>
      <c r="C23" s="76"/>
      <c r="D23" s="163" t="s">
        <v>25</v>
      </c>
      <c r="E23" s="57">
        <f t="shared" si="6"/>
        <v>0</v>
      </c>
      <c r="F23" s="57">
        <f t="shared" si="6"/>
        <v>7000</v>
      </c>
      <c r="G23" s="57">
        <f t="shared" si="6"/>
        <v>7000</v>
      </c>
      <c r="H23" s="58">
        <f t="shared" si="0"/>
        <v>100</v>
      </c>
      <c r="I23" s="57">
        <f t="shared" si="6"/>
        <v>0</v>
      </c>
      <c r="J23" s="168">
        <v>0</v>
      </c>
      <c r="K23" s="57">
        <v>7000</v>
      </c>
      <c r="L23" s="57">
        <v>7000</v>
      </c>
      <c r="M23" s="58">
        <f t="shared" si="2"/>
        <v>100</v>
      </c>
      <c r="N23" s="57">
        <v>0</v>
      </c>
      <c r="O23" s="57">
        <v>0</v>
      </c>
      <c r="P23" s="57">
        <v>0</v>
      </c>
      <c r="Q23" s="57">
        <v>0</v>
      </c>
      <c r="R23" s="58" t="e">
        <f t="shared" si="3"/>
        <v>#DIV/0!</v>
      </c>
      <c r="S23" s="57">
        <v>0</v>
      </c>
      <c r="T23" s="57"/>
      <c r="U23" s="57"/>
      <c r="V23" s="57"/>
      <c r="W23" s="58" t="e">
        <f t="shared" si="4"/>
        <v>#DIV/0!</v>
      </c>
      <c r="X23" s="57"/>
    </row>
    <row r="24" spans="1:24" s="34" customFormat="1" x14ac:dyDescent="0.15">
      <c r="A24" s="162" t="s">
        <v>21</v>
      </c>
      <c r="B24" s="76" t="s">
        <v>73</v>
      </c>
      <c r="C24" s="76"/>
      <c r="D24" s="163" t="s">
        <v>25</v>
      </c>
      <c r="E24" s="57">
        <f t="shared" si="6"/>
        <v>0</v>
      </c>
      <c r="F24" s="57">
        <f t="shared" si="6"/>
        <v>0</v>
      </c>
      <c r="G24" s="57">
        <f t="shared" si="6"/>
        <v>0</v>
      </c>
      <c r="H24" s="58" t="e">
        <f t="shared" si="0"/>
        <v>#DIV/0!</v>
      </c>
      <c r="I24" s="57">
        <f t="shared" si="6"/>
        <v>0</v>
      </c>
      <c r="J24" s="168">
        <v>0</v>
      </c>
      <c r="K24" s="57">
        <v>0</v>
      </c>
      <c r="L24" s="57">
        <v>0</v>
      </c>
      <c r="M24" s="58" t="e">
        <f t="shared" si="2"/>
        <v>#DIV/0!</v>
      </c>
      <c r="N24" s="57">
        <v>0</v>
      </c>
      <c r="O24" s="57">
        <v>0</v>
      </c>
      <c r="P24" s="57">
        <v>0</v>
      </c>
      <c r="Q24" s="57">
        <v>0</v>
      </c>
      <c r="R24" s="58" t="e">
        <f t="shared" si="3"/>
        <v>#DIV/0!</v>
      </c>
      <c r="S24" s="57">
        <v>0</v>
      </c>
      <c r="T24" s="57"/>
      <c r="U24" s="57"/>
      <c r="V24" s="57"/>
      <c r="W24" s="58" t="e">
        <f t="shared" si="4"/>
        <v>#DIV/0!</v>
      </c>
      <c r="X24" s="57"/>
    </row>
    <row r="25" spans="1:24" s="34" customFormat="1" x14ac:dyDescent="0.15">
      <c r="A25" s="162" t="s">
        <v>22</v>
      </c>
      <c r="B25" s="76" t="s">
        <v>68</v>
      </c>
      <c r="C25" s="76"/>
      <c r="D25" s="163" t="s">
        <v>25</v>
      </c>
      <c r="E25" s="57">
        <f t="shared" si="6"/>
        <v>0</v>
      </c>
      <c r="F25" s="57">
        <f t="shared" si="6"/>
        <v>0</v>
      </c>
      <c r="G25" s="57">
        <f>SUM(L25,Q25)</f>
        <v>0</v>
      </c>
      <c r="H25" s="58" t="e">
        <f t="shared" si="0"/>
        <v>#DIV/0!</v>
      </c>
      <c r="I25" s="57">
        <f t="shared" si="6"/>
        <v>0</v>
      </c>
      <c r="J25" s="168">
        <v>0</v>
      </c>
      <c r="K25" s="75">
        <v>0</v>
      </c>
      <c r="L25" s="75">
        <v>0</v>
      </c>
      <c r="M25" s="58" t="e">
        <f t="shared" si="2"/>
        <v>#DIV/0!</v>
      </c>
      <c r="N25" s="82">
        <v>0</v>
      </c>
      <c r="O25" s="75">
        <v>0</v>
      </c>
      <c r="P25" s="75">
        <v>0</v>
      </c>
      <c r="Q25" s="75"/>
      <c r="R25" s="58" t="e">
        <f t="shared" si="3"/>
        <v>#DIV/0!</v>
      </c>
      <c r="S25" s="75">
        <v>0</v>
      </c>
      <c r="T25" s="75"/>
      <c r="U25" s="75"/>
      <c r="V25" s="75"/>
      <c r="W25" s="58" t="e">
        <f t="shared" si="4"/>
        <v>#DIV/0!</v>
      </c>
      <c r="X25" s="75"/>
    </row>
    <row r="26" spans="1:24" s="38" customFormat="1" x14ac:dyDescent="0.15">
      <c r="A26" s="162" t="s">
        <v>23</v>
      </c>
      <c r="B26" s="1233" t="s">
        <v>69</v>
      </c>
      <c r="C26" s="1233"/>
      <c r="D26" s="163" t="s">
        <v>25</v>
      </c>
      <c r="E26" s="57">
        <f t="shared" si="6"/>
        <v>600781</v>
      </c>
      <c r="F26" s="57">
        <f t="shared" si="6"/>
        <v>600781</v>
      </c>
      <c r="G26" s="57">
        <f t="shared" si="6"/>
        <v>600781</v>
      </c>
      <c r="H26" s="81">
        <f>G26/F26*100</f>
        <v>100</v>
      </c>
      <c r="I26" s="57">
        <f>SUM(N26,S26)</f>
        <v>586118</v>
      </c>
      <c r="J26" s="168">
        <v>600781</v>
      </c>
      <c r="K26" s="82">
        <v>600781</v>
      </c>
      <c r="L26" s="82">
        <v>600781</v>
      </c>
      <c r="M26" s="58">
        <f>L26/K26*100</f>
        <v>100</v>
      </c>
      <c r="N26" s="82">
        <v>586118</v>
      </c>
      <c r="O26" s="82">
        <v>0</v>
      </c>
      <c r="P26" s="82">
        <v>0</v>
      </c>
      <c r="Q26" s="82">
        <v>0</v>
      </c>
      <c r="R26" s="58" t="e">
        <f>Q26/P26*100</f>
        <v>#DIV/0!</v>
      </c>
      <c r="S26" s="82">
        <v>0</v>
      </c>
      <c r="T26" s="83"/>
      <c r="U26" s="83"/>
      <c r="V26" s="83"/>
      <c r="W26" s="58" t="e">
        <f>V26/U26*100</f>
        <v>#DIV/0!</v>
      </c>
      <c r="X26" s="83"/>
    </row>
    <row r="27" spans="1:24" s="38" customFormat="1" x14ac:dyDescent="0.15">
      <c r="A27" s="162" t="s">
        <v>45</v>
      </c>
      <c r="B27" s="76" t="s">
        <v>70</v>
      </c>
      <c r="C27" s="76"/>
      <c r="D27" s="163" t="s">
        <v>25</v>
      </c>
      <c r="E27" s="57">
        <f t="shared" si="6"/>
        <v>0</v>
      </c>
      <c r="F27" s="57">
        <f t="shared" si="6"/>
        <v>0</v>
      </c>
      <c r="G27" s="57">
        <f t="shared" si="6"/>
        <v>0</v>
      </c>
      <c r="H27" s="81" t="e">
        <f t="shared" si="0"/>
        <v>#DIV/0!</v>
      </c>
      <c r="I27" s="57">
        <f t="shared" si="6"/>
        <v>0</v>
      </c>
      <c r="J27" s="168">
        <v>0</v>
      </c>
      <c r="K27" s="82">
        <v>0</v>
      </c>
      <c r="L27" s="82">
        <v>0</v>
      </c>
      <c r="M27" s="58" t="e">
        <f t="shared" si="2"/>
        <v>#DIV/0!</v>
      </c>
      <c r="N27" s="57">
        <v>0</v>
      </c>
      <c r="O27" s="82">
        <v>0</v>
      </c>
      <c r="P27" s="82">
        <v>0</v>
      </c>
      <c r="Q27" s="82">
        <v>0</v>
      </c>
      <c r="R27" s="58" t="e">
        <f t="shared" si="3"/>
        <v>#DIV/0!</v>
      </c>
      <c r="S27" s="82">
        <v>0</v>
      </c>
      <c r="T27" s="83"/>
      <c r="U27" s="83"/>
      <c r="V27" s="83"/>
      <c r="W27" s="58" t="e">
        <f t="shared" si="4"/>
        <v>#DIV/0!</v>
      </c>
      <c r="X27" s="83"/>
    </row>
    <row r="28" spans="1:24" s="38" customFormat="1" x14ac:dyDescent="0.15">
      <c r="A28" s="162" t="s">
        <v>51</v>
      </c>
      <c r="B28" s="76" t="s">
        <v>74</v>
      </c>
      <c r="C28" s="76"/>
      <c r="D28" s="163" t="s">
        <v>25</v>
      </c>
      <c r="E28" s="57">
        <f>SUM(J28,O28)</f>
        <v>127900</v>
      </c>
      <c r="F28" s="57">
        <f>SUM(K28,P28)</f>
        <v>953844</v>
      </c>
      <c r="G28" s="57">
        <f>SUM(L28,Q28)</f>
        <v>919366</v>
      </c>
      <c r="H28" s="81">
        <f>G28/F28*100</f>
        <v>96.385362805657948</v>
      </c>
      <c r="I28" s="57">
        <f>SUM(N28,S28)</f>
        <v>436000</v>
      </c>
      <c r="J28" s="168">
        <v>127900</v>
      </c>
      <c r="K28" s="82">
        <v>290000</v>
      </c>
      <c r="L28" s="82">
        <v>255522</v>
      </c>
      <c r="M28" s="58">
        <f>L28/K28*100</f>
        <v>88.111034482758626</v>
      </c>
      <c r="N28" s="57">
        <v>269024</v>
      </c>
      <c r="O28" s="82">
        <v>0</v>
      </c>
      <c r="P28" s="82">
        <v>663844</v>
      </c>
      <c r="Q28" s="82">
        <v>663844</v>
      </c>
      <c r="R28" s="58">
        <f>Q28/P28*100</f>
        <v>100</v>
      </c>
      <c r="S28" s="82">
        <v>166976</v>
      </c>
      <c r="T28" s="83"/>
      <c r="U28" s="83"/>
      <c r="V28" s="83"/>
      <c r="W28" s="58" t="e">
        <f>V28/U28*100</f>
        <v>#DIV/0!</v>
      </c>
      <c r="X28" s="83"/>
    </row>
    <row r="29" spans="1:24" s="39" customFormat="1" x14ac:dyDescent="0.15">
      <c r="A29" s="162" t="s">
        <v>52</v>
      </c>
      <c r="B29" s="76" t="s">
        <v>67</v>
      </c>
      <c r="C29" s="76"/>
      <c r="D29" s="163" t="s">
        <v>25</v>
      </c>
      <c r="E29" s="57">
        <f t="shared" si="6"/>
        <v>228</v>
      </c>
      <c r="F29" s="57">
        <f t="shared" si="6"/>
        <v>7031</v>
      </c>
      <c r="G29" s="57">
        <f>SUM(L29,Q29)</f>
        <v>7031</v>
      </c>
      <c r="H29" s="81">
        <f t="shared" si="0"/>
        <v>100</v>
      </c>
      <c r="I29" s="57">
        <f t="shared" si="6"/>
        <v>228</v>
      </c>
      <c r="J29" s="168">
        <v>228</v>
      </c>
      <c r="K29" s="82">
        <v>7031</v>
      </c>
      <c r="L29" s="82">
        <v>7031</v>
      </c>
      <c r="M29" s="58">
        <f t="shared" si="2"/>
        <v>100</v>
      </c>
      <c r="N29" s="82">
        <v>228</v>
      </c>
      <c r="O29" s="82">
        <v>0</v>
      </c>
      <c r="P29" s="82">
        <v>0</v>
      </c>
      <c r="Q29" s="82">
        <v>0</v>
      </c>
      <c r="R29" s="58" t="e">
        <f t="shared" si="3"/>
        <v>#DIV/0!</v>
      </c>
      <c r="S29" s="82">
        <v>0</v>
      </c>
      <c r="T29" s="83"/>
      <c r="U29" s="83"/>
      <c r="V29" s="83"/>
      <c r="W29" s="58" t="e">
        <f t="shared" si="4"/>
        <v>#DIV/0!</v>
      </c>
      <c r="X29" s="83"/>
    </row>
    <row r="30" spans="1:24" s="34" customFormat="1" x14ac:dyDescent="0.15">
      <c r="A30" s="162" t="s">
        <v>54</v>
      </c>
      <c r="B30" s="76" t="s">
        <v>53</v>
      </c>
      <c r="C30" s="76"/>
      <c r="D30" s="163" t="s">
        <v>25</v>
      </c>
      <c r="E30" s="57">
        <f t="shared" ref="E30:G31" si="7">SUM(J30,O30)</f>
        <v>0</v>
      </c>
      <c r="F30" s="57">
        <f t="shared" si="7"/>
        <v>0</v>
      </c>
      <c r="G30" s="57">
        <f t="shared" si="7"/>
        <v>0</v>
      </c>
      <c r="H30" s="81" t="e">
        <f t="shared" si="0"/>
        <v>#DIV/0!</v>
      </c>
      <c r="I30" s="57">
        <f>SUM(N30,S30)</f>
        <v>0</v>
      </c>
      <c r="J30" s="168">
        <v>0</v>
      </c>
      <c r="K30" s="82">
        <v>0</v>
      </c>
      <c r="L30" s="82">
        <v>0</v>
      </c>
      <c r="M30" s="58" t="e">
        <f t="shared" si="2"/>
        <v>#DIV/0!</v>
      </c>
      <c r="N30" s="82">
        <v>0</v>
      </c>
      <c r="O30" s="82">
        <v>0</v>
      </c>
      <c r="P30" s="82">
        <v>0</v>
      </c>
      <c r="Q30" s="82">
        <v>0</v>
      </c>
      <c r="R30" s="58" t="e">
        <f t="shared" si="3"/>
        <v>#DIV/0!</v>
      </c>
      <c r="S30" s="82">
        <v>0</v>
      </c>
      <c r="T30" s="83"/>
      <c r="U30" s="83"/>
      <c r="V30" s="83"/>
      <c r="W30" s="58" t="e">
        <f t="shared" si="4"/>
        <v>#DIV/0!</v>
      </c>
      <c r="X30" s="83"/>
    </row>
    <row r="31" spans="1:24" s="5" customFormat="1" x14ac:dyDescent="0.15">
      <c r="A31" s="162" t="s">
        <v>55</v>
      </c>
      <c r="B31" s="76" t="s">
        <v>71</v>
      </c>
      <c r="C31" s="76"/>
      <c r="D31" s="163" t="s">
        <v>25</v>
      </c>
      <c r="E31" s="57">
        <f t="shared" si="7"/>
        <v>0</v>
      </c>
      <c r="F31" s="57">
        <f t="shared" si="7"/>
        <v>0</v>
      </c>
      <c r="G31" s="57">
        <f t="shared" si="7"/>
        <v>0</v>
      </c>
      <c r="H31" s="81" t="e">
        <f t="shared" si="0"/>
        <v>#DIV/0!</v>
      </c>
      <c r="I31" s="57">
        <f>SUM(N31,S31)</f>
        <v>0</v>
      </c>
      <c r="J31" s="168">
        <v>0</v>
      </c>
      <c r="K31" s="84">
        <v>0</v>
      </c>
      <c r="L31" s="84">
        <v>0</v>
      </c>
      <c r="M31" s="58" t="e">
        <f t="shared" si="2"/>
        <v>#DIV/0!</v>
      </c>
      <c r="N31" s="84">
        <v>0</v>
      </c>
      <c r="O31" s="84">
        <v>0</v>
      </c>
      <c r="P31" s="84">
        <v>0</v>
      </c>
      <c r="Q31" s="84">
        <v>0</v>
      </c>
      <c r="R31" s="58" t="e">
        <f t="shared" si="3"/>
        <v>#DIV/0!</v>
      </c>
      <c r="S31" s="84">
        <v>0</v>
      </c>
      <c r="T31" s="31"/>
      <c r="U31" s="31"/>
      <c r="V31" s="31"/>
      <c r="W31" s="58" t="e">
        <f t="shared" si="4"/>
        <v>#DIV/0!</v>
      </c>
      <c r="X31" s="31"/>
    </row>
    <row r="32" spans="1:24" s="5" customFormat="1" x14ac:dyDescent="0.15">
      <c r="A32" s="162" t="s">
        <v>56</v>
      </c>
      <c r="B32" s="76" t="s">
        <v>72</v>
      </c>
      <c r="C32" s="76"/>
      <c r="D32" s="163" t="s">
        <v>25</v>
      </c>
      <c r="E32" s="57">
        <f>SUM(J32,O32)</f>
        <v>0</v>
      </c>
      <c r="F32" s="57">
        <f>SUM(K32,P32)</f>
        <v>0</v>
      </c>
      <c r="G32" s="57">
        <f>SUM(L32,Q32)</f>
        <v>0</v>
      </c>
      <c r="H32" s="81" t="e">
        <f t="shared" si="0"/>
        <v>#DIV/0!</v>
      </c>
      <c r="I32" s="57">
        <f>SUM(N32,S32)</f>
        <v>0</v>
      </c>
      <c r="J32" s="170">
        <v>0</v>
      </c>
      <c r="K32" s="31">
        <v>0</v>
      </c>
      <c r="L32" s="31">
        <v>0</v>
      </c>
      <c r="M32" s="58" t="e">
        <f t="shared" si="2"/>
        <v>#DIV/0!</v>
      </c>
      <c r="N32" s="31">
        <v>0</v>
      </c>
      <c r="O32" s="31">
        <v>0</v>
      </c>
      <c r="P32" s="31">
        <v>0</v>
      </c>
      <c r="Q32" s="31">
        <v>0</v>
      </c>
      <c r="R32" s="58" t="e">
        <f t="shared" si="3"/>
        <v>#DIV/0!</v>
      </c>
      <c r="S32" s="31">
        <v>0</v>
      </c>
      <c r="T32" s="31"/>
      <c r="U32" s="31"/>
      <c r="V32" s="31"/>
      <c r="W32" s="58" t="e">
        <f t="shared" si="4"/>
        <v>#DIV/0!</v>
      </c>
      <c r="X32" s="31"/>
    </row>
    <row r="33" spans="1:24" s="5" customFormat="1" x14ac:dyDescent="0.15">
      <c r="A33" s="160" t="s">
        <v>57</v>
      </c>
      <c r="B33" s="88" t="s">
        <v>170</v>
      </c>
      <c r="C33" s="88"/>
      <c r="D33" s="161" t="s">
        <v>25</v>
      </c>
      <c r="E33" s="52">
        <f>E6-E11</f>
        <v>0</v>
      </c>
      <c r="F33" s="52">
        <f>F6-F11</f>
        <v>0</v>
      </c>
      <c r="G33" s="52">
        <f>G6-G11</f>
        <v>194929.10000000149</v>
      </c>
      <c r="H33" s="89" t="e">
        <f t="shared" si="0"/>
        <v>#DIV/0!</v>
      </c>
      <c r="I33" s="52">
        <f>I6-I11</f>
        <v>266489</v>
      </c>
      <c r="J33" s="52">
        <f>J6-J11</f>
        <v>0</v>
      </c>
      <c r="K33" s="52">
        <f>K6-K11</f>
        <v>0</v>
      </c>
      <c r="L33" s="52">
        <f>L6-L11</f>
        <v>195145</v>
      </c>
      <c r="M33" s="4" t="e">
        <f t="shared" si="2"/>
        <v>#DIV/0!</v>
      </c>
      <c r="N33" s="52">
        <f>N6-N11</f>
        <v>266489</v>
      </c>
      <c r="O33" s="52">
        <f>O6-O11</f>
        <v>0</v>
      </c>
      <c r="P33" s="52">
        <f>P6-P11</f>
        <v>0</v>
      </c>
      <c r="Q33" s="52">
        <f>Q6-Q11</f>
        <v>-215.90000000037253</v>
      </c>
      <c r="R33" s="4" t="e">
        <f t="shared" si="3"/>
        <v>#DIV/0!</v>
      </c>
      <c r="S33" s="52">
        <f>S6-S11</f>
        <v>0</v>
      </c>
      <c r="T33" s="52">
        <f>T6-T11</f>
        <v>-11274916</v>
      </c>
      <c r="U33" s="52">
        <f>U6-U11</f>
        <v>0</v>
      </c>
      <c r="V33" s="52">
        <f>V6-V11</f>
        <v>0</v>
      </c>
      <c r="W33" s="4" t="e">
        <f t="shared" si="4"/>
        <v>#DIV/0!</v>
      </c>
      <c r="X33" s="52">
        <f>X6-X11</f>
        <v>0</v>
      </c>
    </row>
    <row r="34" spans="1:24" s="6" customFormat="1" x14ac:dyDescent="0.15">
      <c r="A34" s="171" t="s">
        <v>59</v>
      </c>
      <c r="B34" s="1239" t="s">
        <v>24</v>
      </c>
      <c r="C34" s="1239"/>
      <c r="D34" s="172" t="s">
        <v>25</v>
      </c>
      <c r="E34" s="173">
        <v>26069</v>
      </c>
      <c r="F34" s="173">
        <v>27430</v>
      </c>
      <c r="G34" s="173">
        <v>27430</v>
      </c>
      <c r="H34" s="81">
        <f t="shared" si="0"/>
        <v>100</v>
      </c>
      <c r="I34" s="173">
        <v>23012</v>
      </c>
      <c r="J34" s="98">
        <v>0</v>
      </c>
      <c r="K34" s="98">
        <v>0</v>
      </c>
      <c r="L34" s="98">
        <v>0</v>
      </c>
      <c r="M34" s="4" t="e">
        <f t="shared" si="2"/>
        <v>#DIV/0!</v>
      </c>
      <c r="N34" s="98">
        <v>0</v>
      </c>
      <c r="O34" s="98">
        <v>26069</v>
      </c>
      <c r="P34" s="98">
        <v>27430</v>
      </c>
      <c r="Q34" s="98">
        <v>27430</v>
      </c>
      <c r="R34" s="4">
        <f t="shared" si="3"/>
        <v>100</v>
      </c>
      <c r="S34" s="98">
        <v>23012</v>
      </c>
      <c r="T34" s="98"/>
      <c r="U34" s="98"/>
      <c r="V34" s="98"/>
      <c r="W34" s="4" t="e">
        <f t="shared" si="4"/>
        <v>#DIV/0!</v>
      </c>
      <c r="X34" s="98"/>
    </row>
    <row r="35" spans="1:24" s="6" customFormat="1" x14ac:dyDescent="0.15">
      <c r="A35" s="174" t="s">
        <v>60</v>
      </c>
      <c r="B35" s="1240" t="s">
        <v>33</v>
      </c>
      <c r="C35" s="1240"/>
      <c r="D35" s="174" t="s">
        <v>26</v>
      </c>
      <c r="E35" s="173">
        <v>29</v>
      </c>
      <c r="F35" s="173">
        <v>29</v>
      </c>
      <c r="G35" s="173">
        <v>29</v>
      </c>
      <c r="H35" s="81">
        <f t="shared" si="0"/>
        <v>100</v>
      </c>
      <c r="I35" s="173">
        <v>27</v>
      </c>
      <c r="J35" s="98">
        <v>0</v>
      </c>
      <c r="K35" s="175">
        <v>0</v>
      </c>
      <c r="L35" s="98">
        <v>0</v>
      </c>
      <c r="M35" s="4" t="e">
        <f t="shared" si="2"/>
        <v>#DIV/0!</v>
      </c>
      <c r="N35" s="98">
        <v>0</v>
      </c>
      <c r="O35" s="98">
        <v>29</v>
      </c>
      <c r="P35" s="98">
        <v>29</v>
      </c>
      <c r="Q35" s="98">
        <v>29</v>
      </c>
      <c r="R35" s="4">
        <f t="shared" si="3"/>
        <v>100</v>
      </c>
      <c r="S35" s="98">
        <v>27</v>
      </c>
      <c r="T35" s="98"/>
      <c r="U35" s="98"/>
      <c r="V35" s="98"/>
      <c r="W35" s="4" t="e">
        <f t="shared" si="4"/>
        <v>#DIV/0!</v>
      </c>
      <c r="X35" s="98"/>
    </row>
    <row r="36" spans="1:24" s="6" customFormat="1" x14ac:dyDescent="0.15">
      <c r="A36" s="171" t="s">
        <v>61</v>
      </c>
      <c r="B36" s="1239" t="s">
        <v>27</v>
      </c>
      <c r="C36" s="1239"/>
      <c r="D36" s="172" t="s">
        <v>26</v>
      </c>
      <c r="E36" s="173">
        <v>31</v>
      </c>
      <c r="F36" s="173">
        <v>31</v>
      </c>
      <c r="G36" s="173">
        <v>31</v>
      </c>
      <c r="H36" s="81">
        <f t="shared" si="0"/>
        <v>100</v>
      </c>
      <c r="I36" s="173">
        <v>30</v>
      </c>
      <c r="J36" s="98">
        <v>0</v>
      </c>
      <c r="K36" s="98">
        <v>0</v>
      </c>
      <c r="L36" s="98">
        <v>0</v>
      </c>
      <c r="M36" s="4" t="e">
        <f t="shared" si="2"/>
        <v>#DIV/0!</v>
      </c>
      <c r="N36" s="98">
        <v>0</v>
      </c>
      <c r="O36" s="98">
        <v>31</v>
      </c>
      <c r="P36" s="98">
        <v>31</v>
      </c>
      <c r="Q36" s="98">
        <v>31</v>
      </c>
      <c r="R36" s="4">
        <f t="shared" si="3"/>
        <v>100</v>
      </c>
      <c r="S36" s="98">
        <v>30</v>
      </c>
      <c r="T36" s="98"/>
      <c r="U36" s="98"/>
      <c r="V36" s="98"/>
      <c r="W36" s="4" t="e">
        <f t="shared" si="4"/>
        <v>#DIV/0!</v>
      </c>
      <c r="X36" s="98"/>
    </row>
  </sheetData>
  <mergeCells count="38">
    <mergeCell ref="A1:X1"/>
    <mergeCell ref="A3:A5"/>
    <mergeCell ref="B3:C5"/>
    <mergeCell ref="D3:D5"/>
    <mergeCell ref="E3:I3"/>
    <mergeCell ref="J3:N3"/>
    <mergeCell ref="O3:S3"/>
    <mergeCell ref="T3:X3"/>
    <mergeCell ref="E4:E5"/>
    <mergeCell ref="F4:H4"/>
    <mergeCell ref="I4:I5"/>
    <mergeCell ref="J4:J5"/>
    <mergeCell ref="X4:X5"/>
    <mergeCell ref="S4:S5"/>
    <mergeCell ref="T4:T5"/>
    <mergeCell ref="U4:W4"/>
    <mergeCell ref="B6:C6"/>
    <mergeCell ref="O4:O5"/>
    <mergeCell ref="P4:R4"/>
    <mergeCell ref="B12:C12"/>
    <mergeCell ref="K4:M4"/>
    <mergeCell ref="N4:N5"/>
    <mergeCell ref="B8:C8"/>
    <mergeCell ref="B10:C10"/>
    <mergeCell ref="B11:C11"/>
    <mergeCell ref="B7:C7"/>
    <mergeCell ref="B13:C13"/>
    <mergeCell ref="B26:C26"/>
    <mergeCell ref="B34:C34"/>
    <mergeCell ref="B35:C35"/>
    <mergeCell ref="B15:C15"/>
    <mergeCell ref="B36:C36"/>
    <mergeCell ref="B16:C16"/>
    <mergeCell ref="B18:C18"/>
    <mergeCell ref="B19:C19"/>
    <mergeCell ref="B20:C20"/>
    <mergeCell ref="B21:C21"/>
    <mergeCell ref="B22:C22"/>
  </mergeCells>
  <pageMargins left="0.23622047244094491" right="0.23622047244094491" top="0.74803149606299213" bottom="0.74803149606299213" header="0.31496062992125984" footer="0.31496062992125984"/>
  <pageSetup paperSize="9" firstPageNumber="127" orientation="landscape" useFirstPageNumber="1" r:id="rId1"/>
  <headerFoot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zoomScaleNormal="100" workbookViewId="0">
      <selection activeCell="A2" sqref="A2"/>
    </sheetView>
  </sheetViews>
  <sheetFormatPr defaultColWidth="16.3984375" defaultRowHeight="13.2" x14ac:dyDescent="0.25"/>
  <cols>
    <col min="1" max="1" width="59.3984375" style="1209" customWidth="1"/>
    <col min="2" max="2" width="34.3984375" style="1209" customWidth="1"/>
    <col min="3" max="5" width="26.3984375" style="1209" customWidth="1"/>
    <col min="6" max="6" width="23.3984375" style="1209" customWidth="1"/>
    <col min="7" max="8" width="16.3984375" style="1209"/>
    <col min="9" max="9" width="21.3984375" style="1209" customWidth="1"/>
    <col min="10" max="16384" width="16.3984375" style="1209"/>
  </cols>
  <sheetData>
    <row r="1" spans="1:9" s="1144" customFormat="1" ht="24" customHeight="1" x14ac:dyDescent="0.3">
      <c r="A1" s="1143" t="s">
        <v>1400</v>
      </c>
    </row>
    <row r="3" spans="1:9" s="1145" customFormat="1" ht="10.199999999999999" x14ac:dyDescent="0.2">
      <c r="A3" s="1681" t="s">
        <v>102</v>
      </c>
      <c r="B3" s="1681"/>
      <c r="C3" s="1681"/>
      <c r="D3" s="1681"/>
      <c r="E3" s="1681"/>
      <c r="F3" s="1681"/>
      <c r="G3" s="1681"/>
      <c r="H3" s="1681"/>
      <c r="I3" s="1681"/>
    </row>
    <row r="4" spans="1:9" s="1146" customFormat="1" ht="10.199999999999999" x14ac:dyDescent="0.2"/>
    <row r="5" spans="1:9" s="1148" customFormat="1" ht="7.8" x14ac:dyDescent="0.15">
      <c r="A5" s="1684" t="s">
        <v>76</v>
      </c>
      <c r="B5" s="1684"/>
      <c r="C5" s="1147" t="s">
        <v>25</v>
      </c>
      <c r="D5" s="1684" t="s">
        <v>103</v>
      </c>
      <c r="E5" s="1684"/>
      <c r="F5" s="1684"/>
      <c r="G5" s="1684"/>
      <c r="H5" s="1684"/>
      <c r="I5" s="1684"/>
    </row>
    <row r="6" spans="1:9" s="1146" customFormat="1" ht="15" customHeight="1" x14ac:dyDescent="0.2">
      <c r="A6" s="1717" t="s">
        <v>104</v>
      </c>
      <c r="B6" s="1718"/>
      <c r="C6" s="1149">
        <f>SUM(C7:C9)</f>
        <v>106885.58</v>
      </c>
      <c r="D6" s="1719"/>
      <c r="E6" s="1720"/>
      <c r="F6" s="1720"/>
      <c r="G6" s="1720"/>
      <c r="H6" s="1720"/>
      <c r="I6" s="1720"/>
    </row>
    <row r="7" spans="1:9" s="1146" customFormat="1" ht="68.25" customHeight="1" x14ac:dyDescent="0.2">
      <c r="A7" s="1721" t="s">
        <v>77</v>
      </c>
      <c r="B7" s="1722"/>
      <c r="C7" s="1150">
        <v>87377.58</v>
      </c>
      <c r="D7" s="1723" t="s">
        <v>1372</v>
      </c>
      <c r="E7" s="1723"/>
      <c r="F7" s="1723"/>
      <c r="G7" s="1723"/>
      <c r="H7" s="1723"/>
      <c r="I7" s="1723"/>
    </row>
    <row r="8" spans="1:9" s="1145" customFormat="1" ht="86.25" customHeight="1" x14ac:dyDescent="0.2">
      <c r="A8" s="1724" t="s">
        <v>78</v>
      </c>
      <c r="B8" s="1725"/>
      <c r="C8" s="1151">
        <v>19508</v>
      </c>
      <c r="D8" s="1723" t="s">
        <v>1373</v>
      </c>
      <c r="E8" s="1723"/>
      <c r="F8" s="1723"/>
      <c r="G8" s="1723"/>
      <c r="H8" s="1723"/>
      <c r="I8" s="1723"/>
    </row>
    <row r="9" spans="1:9" s="1145" customFormat="1" ht="15" customHeight="1" x14ac:dyDescent="0.2">
      <c r="A9" s="1724" t="s">
        <v>79</v>
      </c>
      <c r="B9" s="1725"/>
      <c r="C9" s="1151">
        <v>0</v>
      </c>
      <c r="D9" s="1726"/>
      <c r="E9" s="1727"/>
      <c r="F9" s="1727"/>
      <c r="G9" s="1727"/>
      <c r="H9" s="1727"/>
      <c r="I9" s="1728"/>
    </row>
    <row r="10" spans="1:9" s="1146" customFormat="1" ht="10.199999999999999" x14ac:dyDescent="0.2">
      <c r="C10" s="1152"/>
    </row>
    <row r="11" spans="1:9" s="1146" customFormat="1" ht="10.199999999999999" x14ac:dyDescent="0.2">
      <c r="A11" s="1681" t="s">
        <v>107</v>
      </c>
      <c r="B11" s="1681"/>
      <c r="C11" s="1681"/>
      <c r="D11" s="1681"/>
      <c r="E11" s="1681"/>
      <c r="F11" s="1681"/>
      <c r="G11" s="1681"/>
      <c r="H11" s="1681"/>
      <c r="I11" s="1681"/>
    </row>
    <row r="12" spans="1:9" s="1146" customFormat="1" ht="10.199999999999999" x14ac:dyDescent="0.2">
      <c r="C12" s="1152"/>
      <c r="D12" s="1153"/>
      <c r="E12" s="1153"/>
      <c r="F12" s="1153"/>
      <c r="G12" s="1153"/>
      <c r="H12" s="1153"/>
      <c r="I12" s="1153"/>
    </row>
    <row r="13" spans="1:9" s="1156" customFormat="1" ht="8.4" x14ac:dyDescent="0.2">
      <c r="A13" s="1147" t="s">
        <v>76</v>
      </c>
      <c r="B13" s="1147" t="s">
        <v>80</v>
      </c>
      <c r="C13" s="1147" t="s">
        <v>25</v>
      </c>
      <c r="D13" s="1154"/>
      <c r="E13" s="1155"/>
      <c r="F13" s="1155"/>
      <c r="G13" s="1155"/>
      <c r="H13" s="1155"/>
      <c r="I13" s="1155"/>
    </row>
    <row r="14" spans="1:9" s="1146" customFormat="1" ht="15" customHeight="1" x14ac:dyDescent="0.2">
      <c r="A14" s="1157" t="s">
        <v>81</v>
      </c>
      <c r="B14" s="1158"/>
      <c r="C14" s="1159">
        <v>0</v>
      </c>
      <c r="D14" s="1160"/>
      <c r="E14" s="1161"/>
      <c r="F14" s="1161"/>
      <c r="G14" s="1161"/>
      <c r="H14" s="1161"/>
      <c r="I14" s="1161"/>
    </row>
    <row r="15" spans="1:9" s="1146" customFormat="1" ht="15" customHeight="1" x14ac:dyDescent="0.2">
      <c r="A15" s="1714" t="s">
        <v>82</v>
      </c>
      <c r="B15" s="1162" t="s">
        <v>98</v>
      </c>
      <c r="C15" s="1163">
        <v>0</v>
      </c>
      <c r="D15" s="1160"/>
      <c r="E15" s="1161"/>
      <c r="F15" s="1161"/>
      <c r="G15" s="1161"/>
      <c r="H15" s="1161"/>
      <c r="I15" s="1161"/>
    </row>
    <row r="16" spans="1:9" s="1146" customFormat="1" ht="15" customHeight="1" x14ac:dyDescent="0.2">
      <c r="A16" s="1715"/>
      <c r="B16" s="1164" t="s">
        <v>83</v>
      </c>
      <c r="C16" s="1165">
        <v>21377.58</v>
      </c>
      <c r="D16" s="1166"/>
      <c r="E16" s="1167"/>
      <c r="F16" s="1167"/>
      <c r="G16" s="1167"/>
      <c r="H16" s="1167"/>
      <c r="I16" s="1167"/>
    </row>
    <row r="17" spans="1:9" s="1146" customFormat="1" ht="15" customHeight="1" x14ac:dyDescent="0.2">
      <c r="A17" s="1716"/>
      <c r="B17" s="1168" t="s">
        <v>84</v>
      </c>
      <c r="C17" s="1169">
        <v>85508</v>
      </c>
      <c r="D17" s="1170"/>
      <c r="E17" s="1171"/>
      <c r="F17" s="1171"/>
      <c r="G17" s="1171"/>
      <c r="H17" s="1171"/>
      <c r="I17" s="1171"/>
    </row>
    <row r="18" spans="1:9" s="1146" customFormat="1" ht="15" customHeight="1" x14ac:dyDescent="0.2">
      <c r="A18" s="1172" t="s">
        <v>104</v>
      </c>
      <c r="B18" s="1173"/>
      <c r="C18" s="1174">
        <f>SUM(C14:C17)</f>
        <v>106885.58</v>
      </c>
      <c r="D18" s="1175"/>
      <c r="E18" s="1175"/>
      <c r="F18" s="1175"/>
      <c r="G18" s="1175"/>
      <c r="H18" s="1175"/>
      <c r="I18" s="1175"/>
    </row>
    <row r="19" spans="1:9" s="1177" customFormat="1" ht="10.199999999999999" x14ac:dyDescent="0.2">
      <c r="A19" s="1176"/>
      <c r="C19" s="1178"/>
      <c r="D19" s="1179"/>
      <c r="E19" s="1179"/>
      <c r="F19" s="1179"/>
      <c r="G19" s="1179"/>
      <c r="H19" s="1179"/>
      <c r="I19" s="1179"/>
    </row>
    <row r="20" spans="1:9" s="1146" customFormat="1" ht="10.199999999999999" x14ac:dyDescent="0.2">
      <c r="A20" s="1681" t="s">
        <v>108</v>
      </c>
      <c r="B20" s="1681"/>
      <c r="C20" s="1681"/>
      <c r="D20" s="1681"/>
      <c r="E20" s="1681"/>
      <c r="F20" s="1681"/>
      <c r="G20" s="1681"/>
      <c r="H20" s="1681"/>
      <c r="I20" s="1681"/>
    </row>
    <row r="21" spans="1:9" s="1146" customFormat="1" ht="10.199999999999999" x14ac:dyDescent="0.2">
      <c r="C21" s="1152"/>
    </row>
    <row r="22" spans="1:9" s="1181" customFormat="1" ht="7.8" x14ac:dyDescent="0.15">
      <c r="A22" s="1147" t="s">
        <v>80</v>
      </c>
      <c r="B22" s="1147" t="s">
        <v>109</v>
      </c>
      <c r="C22" s="1180" t="s">
        <v>110</v>
      </c>
      <c r="D22" s="1147" t="s">
        <v>111</v>
      </c>
      <c r="E22" s="1147" t="s">
        <v>112</v>
      </c>
      <c r="F22" s="1684" t="s">
        <v>113</v>
      </c>
      <c r="G22" s="1684"/>
      <c r="H22" s="1684"/>
      <c r="I22" s="1684"/>
    </row>
    <row r="23" spans="1:9" s="1146" customFormat="1" ht="41.1" customHeight="1" x14ac:dyDescent="0.2">
      <c r="A23" s="1182" t="s">
        <v>85</v>
      </c>
      <c r="B23" s="1183">
        <v>425838.09</v>
      </c>
      <c r="C23" s="1183">
        <v>76022.91</v>
      </c>
      <c r="D23" s="1183">
        <v>133494</v>
      </c>
      <c r="E23" s="1183">
        <f>B23+C23-D23</f>
        <v>368367</v>
      </c>
      <c r="F23" s="1688" t="s">
        <v>1374</v>
      </c>
      <c r="G23" s="1689"/>
      <c r="H23" s="1689"/>
      <c r="I23" s="1690"/>
    </row>
    <row r="24" spans="1:9" s="1146" customFormat="1" ht="41.1" customHeight="1" x14ac:dyDescent="0.2">
      <c r="A24" s="1164" t="s">
        <v>86</v>
      </c>
      <c r="B24" s="1184">
        <v>900173.99</v>
      </c>
      <c r="C24" s="1184">
        <v>3324204</v>
      </c>
      <c r="D24" s="1184">
        <v>3968440.25</v>
      </c>
      <c r="E24" s="1184">
        <f>B24+C24-D24</f>
        <v>255937.74000000022</v>
      </c>
      <c r="F24" s="1691" t="s">
        <v>1375</v>
      </c>
      <c r="G24" s="1703"/>
      <c r="H24" s="1703"/>
      <c r="I24" s="1704"/>
    </row>
    <row r="25" spans="1:9" s="1146" customFormat="1" ht="41.1" customHeight="1" x14ac:dyDescent="0.2">
      <c r="A25" s="1164" t="s">
        <v>84</v>
      </c>
      <c r="B25" s="1184">
        <v>2418.61</v>
      </c>
      <c r="C25" s="1184">
        <v>170000</v>
      </c>
      <c r="D25" s="1184">
        <v>170000</v>
      </c>
      <c r="E25" s="1184">
        <f>B25+C25-D25</f>
        <v>2418.609999999986</v>
      </c>
      <c r="F25" s="1691" t="s">
        <v>1376</v>
      </c>
      <c r="G25" s="1703"/>
      <c r="H25" s="1703"/>
      <c r="I25" s="1704"/>
    </row>
    <row r="26" spans="1:9" s="1146" customFormat="1" ht="41.1" customHeight="1" x14ac:dyDescent="0.2">
      <c r="A26" s="1168" t="s">
        <v>87</v>
      </c>
      <c r="B26" s="1185">
        <v>152930.91</v>
      </c>
      <c r="C26" s="1185">
        <v>227633.07</v>
      </c>
      <c r="D26" s="1185">
        <v>176222.48</v>
      </c>
      <c r="E26" s="1184">
        <f>B26+C26-D26</f>
        <v>204341.49999999997</v>
      </c>
      <c r="F26" s="1694" t="s">
        <v>1377</v>
      </c>
      <c r="G26" s="1695"/>
      <c r="H26" s="1695"/>
      <c r="I26" s="1696"/>
    </row>
    <row r="27" spans="1:9" s="1145" customFormat="1" ht="10.199999999999999" x14ac:dyDescent="0.2">
      <c r="A27" s="1186" t="s">
        <v>34</v>
      </c>
      <c r="B27" s="1187">
        <f>SUM(B23:B26)</f>
        <v>1481361.6</v>
      </c>
      <c r="C27" s="1187">
        <f>SUM(C23:C26)</f>
        <v>3797859.98</v>
      </c>
      <c r="D27" s="1187">
        <f>SUM(D23:D26)</f>
        <v>4448156.7300000004</v>
      </c>
      <c r="E27" s="1187">
        <f>SUM(E23:E26)</f>
        <v>831064.85000000021</v>
      </c>
      <c r="F27" s="1705"/>
      <c r="G27" s="1705"/>
      <c r="H27" s="1705"/>
      <c r="I27" s="1706"/>
    </row>
    <row r="28" spans="1:9" s="1146" customFormat="1" ht="10.199999999999999" x14ac:dyDescent="0.2">
      <c r="C28" s="1152"/>
    </row>
    <row r="29" spans="1:9" s="1146" customFormat="1" ht="10.199999999999999" x14ac:dyDescent="0.2">
      <c r="A29" s="1681" t="s">
        <v>118</v>
      </c>
      <c r="B29" s="1681"/>
      <c r="C29" s="1681"/>
      <c r="D29" s="1681"/>
      <c r="E29" s="1681"/>
      <c r="F29" s="1681"/>
      <c r="G29" s="1681"/>
      <c r="H29" s="1681"/>
      <c r="I29" s="1681"/>
    </row>
    <row r="30" spans="1:9" s="1146" customFormat="1" ht="10.199999999999999" x14ac:dyDescent="0.2">
      <c r="C30" s="1152"/>
    </row>
    <row r="31" spans="1:9" s="1146" customFormat="1" ht="10.199999999999999" x14ac:dyDescent="0.2">
      <c r="A31" s="1147" t="s">
        <v>88</v>
      </c>
      <c r="B31" s="1147" t="s">
        <v>25</v>
      </c>
      <c r="C31" s="1180" t="s">
        <v>89</v>
      </c>
      <c r="D31" s="1684" t="s">
        <v>90</v>
      </c>
      <c r="E31" s="1684"/>
      <c r="F31" s="1684"/>
      <c r="G31" s="1684"/>
      <c r="H31" s="1684"/>
      <c r="I31" s="1684"/>
    </row>
    <row r="32" spans="1:9" s="1146" customFormat="1" ht="15" customHeight="1" x14ac:dyDescent="0.2">
      <c r="A32" s="1188" t="s">
        <v>1378</v>
      </c>
      <c r="B32" s="1183">
        <v>14000</v>
      </c>
      <c r="C32" s="1189">
        <v>1184</v>
      </c>
      <c r="D32" s="1707" t="s">
        <v>1379</v>
      </c>
      <c r="E32" s="1708"/>
      <c r="F32" s="1708"/>
      <c r="G32" s="1708"/>
      <c r="H32" s="1708"/>
      <c r="I32" s="1709"/>
    </row>
    <row r="33" spans="1:9" s="1146" customFormat="1" ht="15" customHeight="1" x14ac:dyDescent="0.2">
      <c r="A33" s="1190"/>
      <c r="B33" s="1185">
        <v>0</v>
      </c>
      <c r="C33" s="1191"/>
      <c r="D33" s="1710"/>
      <c r="E33" s="1711"/>
      <c r="F33" s="1711"/>
      <c r="G33" s="1711"/>
      <c r="H33" s="1711"/>
      <c r="I33" s="1712"/>
    </row>
    <row r="34" spans="1:9" s="1146" customFormat="1" ht="15" customHeight="1" x14ac:dyDescent="0.2">
      <c r="A34" s="1190"/>
      <c r="B34" s="1185">
        <v>0</v>
      </c>
      <c r="C34" s="1192"/>
      <c r="D34" s="1710"/>
      <c r="E34" s="1711"/>
      <c r="F34" s="1711"/>
      <c r="G34" s="1711"/>
      <c r="H34" s="1711"/>
      <c r="I34" s="1712"/>
    </row>
    <row r="35" spans="1:9" s="1145" customFormat="1" ht="10.199999999999999" x14ac:dyDescent="0.2">
      <c r="A35" s="1186" t="s">
        <v>34</v>
      </c>
      <c r="B35" s="1187">
        <f>SUM(B32:B34)</f>
        <v>14000</v>
      </c>
      <c r="C35" s="1713"/>
      <c r="D35" s="1713"/>
      <c r="E35" s="1713"/>
      <c r="F35" s="1713"/>
      <c r="G35" s="1713"/>
      <c r="H35" s="1713"/>
      <c r="I35" s="1713"/>
    </row>
    <row r="36" spans="1:9" s="1146" customFormat="1" ht="10.199999999999999" x14ac:dyDescent="0.2">
      <c r="C36" s="1152"/>
    </row>
    <row r="37" spans="1:9" s="1146" customFormat="1" ht="10.199999999999999" x14ac:dyDescent="0.2">
      <c r="A37" s="1681" t="s">
        <v>119</v>
      </c>
      <c r="B37" s="1681"/>
      <c r="C37" s="1681"/>
      <c r="D37" s="1681"/>
      <c r="E37" s="1681"/>
      <c r="F37" s="1681"/>
      <c r="G37" s="1681"/>
      <c r="H37" s="1681"/>
      <c r="I37" s="1681"/>
    </row>
    <row r="38" spans="1:9" s="1146" customFormat="1" ht="10.199999999999999" x14ac:dyDescent="0.2">
      <c r="C38" s="1152"/>
    </row>
    <row r="39" spans="1:9" s="1146" customFormat="1" ht="10.199999999999999" x14ac:dyDescent="0.2">
      <c r="A39" s="1193" t="s">
        <v>88</v>
      </c>
      <c r="B39" s="1193" t="s">
        <v>25</v>
      </c>
      <c r="C39" s="1194" t="s">
        <v>89</v>
      </c>
      <c r="D39" s="1686" t="s">
        <v>90</v>
      </c>
      <c r="E39" s="1686"/>
      <c r="F39" s="1686"/>
      <c r="G39" s="1686"/>
      <c r="H39" s="1686"/>
      <c r="I39" s="1687"/>
    </row>
    <row r="40" spans="1:9" s="1146" customFormat="1" ht="15" customHeight="1" x14ac:dyDescent="0.2">
      <c r="A40" s="1195"/>
      <c r="B40" s="1196">
        <v>0</v>
      </c>
      <c r="C40" s="1189"/>
      <c r="D40" s="1688"/>
      <c r="E40" s="1689"/>
      <c r="F40" s="1689"/>
      <c r="G40" s="1689"/>
      <c r="H40" s="1689"/>
      <c r="I40" s="1690"/>
    </row>
    <row r="41" spans="1:9" s="1146" customFormat="1" ht="15" customHeight="1" x14ac:dyDescent="0.2">
      <c r="A41" s="1197"/>
      <c r="B41" s="1184">
        <v>0</v>
      </c>
      <c r="C41" s="1198"/>
      <c r="D41" s="1691"/>
      <c r="E41" s="1692"/>
      <c r="F41" s="1692"/>
      <c r="G41" s="1692"/>
      <c r="H41" s="1692"/>
      <c r="I41" s="1693"/>
    </row>
    <row r="42" spans="1:9" s="1146" customFormat="1" ht="15" customHeight="1" x14ac:dyDescent="0.2">
      <c r="A42" s="1199"/>
      <c r="B42" s="1200">
        <v>0</v>
      </c>
      <c r="C42" s="1201"/>
      <c r="D42" s="1694"/>
      <c r="E42" s="1695"/>
      <c r="F42" s="1695"/>
      <c r="G42" s="1695"/>
      <c r="H42" s="1695"/>
      <c r="I42" s="1696"/>
    </row>
    <row r="43" spans="1:9" s="1145" customFormat="1" ht="10.199999999999999" x14ac:dyDescent="0.2">
      <c r="A43" s="1202" t="s">
        <v>34</v>
      </c>
      <c r="B43" s="1203">
        <f>SUM(B40:B42)</f>
        <v>0</v>
      </c>
      <c r="C43" s="1697"/>
      <c r="D43" s="1697"/>
      <c r="E43" s="1697"/>
      <c r="F43" s="1697"/>
      <c r="G43" s="1697"/>
      <c r="H43" s="1697"/>
      <c r="I43" s="1697"/>
    </row>
    <row r="44" spans="1:9" s="1146" customFormat="1" ht="10.199999999999999" x14ac:dyDescent="0.2">
      <c r="C44" s="1152"/>
    </row>
    <row r="45" spans="1:9" s="1146" customFormat="1" ht="10.199999999999999" x14ac:dyDescent="0.2">
      <c r="A45" s="1681" t="s">
        <v>120</v>
      </c>
      <c r="B45" s="1681"/>
      <c r="C45" s="1681"/>
      <c r="D45" s="1681"/>
      <c r="E45" s="1681"/>
      <c r="F45" s="1681"/>
      <c r="G45" s="1681"/>
      <c r="H45" s="1681"/>
      <c r="I45" s="1681"/>
    </row>
    <row r="46" spans="1:9" s="1146" customFormat="1" ht="10.199999999999999" x14ac:dyDescent="0.2">
      <c r="C46" s="1152"/>
    </row>
    <row r="47" spans="1:9" s="1146" customFormat="1" ht="10.199999999999999" x14ac:dyDescent="0.2">
      <c r="A47" s="1193" t="s">
        <v>25</v>
      </c>
      <c r="B47" s="1194" t="s">
        <v>122</v>
      </c>
      <c r="C47" s="1698" t="s">
        <v>91</v>
      </c>
      <c r="D47" s="1698"/>
      <c r="E47" s="1698"/>
      <c r="F47" s="1698"/>
      <c r="G47" s="1698"/>
      <c r="H47" s="1698"/>
      <c r="I47" s="1699"/>
    </row>
    <row r="48" spans="1:9" s="1146" customFormat="1" ht="10.199999999999999" x14ac:dyDescent="0.2">
      <c r="A48" s="1184">
        <v>30000</v>
      </c>
      <c r="B48" s="1184">
        <v>30000</v>
      </c>
      <c r="C48" s="1700" t="s">
        <v>1380</v>
      </c>
      <c r="D48" s="1700"/>
      <c r="E48" s="1700"/>
      <c r="F48" s="1700"/>
      <c r="G48" s="1700"/>
      <c r="H48" s="1700"/>
      <c r="I48" s="1700"/>
    </row>
    <row r="49" spans="1:9" s="1146" customFormat="1" ht="10.199999999999999" x14ac:dyDescent="0.2">
      <c r="A49" s="1184"/>
      <c r="B49" s="1184"/>
      <c r="C49" s="1700"/>
      <c r="D49" s="1700"/>
      <c r="E49" s="1700"/>
      <c r="F49" s="1700"/>
      <c r="G49" s="1700"/>
      <c r="H49" s="1700"/>
      <c r="I49" s="1700"/>
    </row>
    <row r="50" spans="1:9" s="1146" customFormat="1" ht="10.199999999999999" x14ac:dyDescent="0.2">
      <c r="A50" s="1185"/>
      <c r="B50" s="1185"/>
      <c r="C50" s="1701"/>
      <c r="D50" s="1701"/>
      <c r="E50" s="1701"/>
      <c r="F50" s="1701"/>
      <c r="G50" s="1701"/>
      <c r="H50" s="1701"/>
      <c r="I50" s="1701"/>
    </row>
    <row r="51" spans="1:9" s="1145" customFormat="1" ht="10.199999999999999" x14ac:dyDescent="0.2">
      <c r="A51" s="1187">
        <f>A48+A49+A50</f>
        <v>30000</v>
      </c>
      <c r="B51" s="1187">
        <f>B48+B49+B50</f>
        <v>30000</v>
      </c>
      <c r="C51" s="1702" t="s">
        <v>34</v>
      </c>
      <c r="D51" s="1702"/>
      <c r="E51" s="1702"/>
      <c r="F51" s="1702"/>
      <c r="G51" s="1702"/>
      <c r="H51" s="1702"/>
      <c r="I51" s="1702"/>
    </row>
    <row r="52" spans="1:9" s="1146" customFormat="1" ht="10.199999999999999" x14ac:dyDescent="0.2">
      <c r="C52" s="1152"/>
    </row>
    <row r="53" spans="1:9" s="1146" customFormat="1" ht="10.199999999999999" x14ac:dyDescent="0.2">
      <c r="A53" s="1681" t="s">
        <v>123</v>
      </c>
      <c r="B53" s="1681"/>
      <c r="C53" s="1681"/>
      <c r="D53" s="1681"/>
      <c r="E53" s="1681"/>
      <c r="F53" s="1681"/>
      <c r="G53" s="1681"/>
      <c r="H53" s="1681"/>
      <c r="I53" s="1681"/>
    </row>
    <row r="54" spans="1:9" s="1146" customFormat="1" ht="10.199999999999999" x14ac:dyDescent="0.2">
      <c r="C54" s="1152"/>
    </row>
    <row r="55" spans="1:9" s="1204" customFormat="1" ht="10.199999999999999" x14ac:dyDescent="0.2">
      <c r="A55" s="1684" t="s">
        <v>92</v>
      </c>
      <c r="B55" s="1684"/>
      <c r="C55" s="1180" t="s">
        <v>93</v>
      </c>
      <c r="D55" s="1147" t="s">
        <v>94</v>
      </c>
      <c r="E55" s="1147" t="s">
        <v>25</v>
      </c>
    </row>
    <row r="56" spans="1:9" s="1146" customFormat="1" ht="11.25" customHeight="1" x14ac:dyDescent="0.2">
      <c r="A56" s="1682" t="s">
        <v>1381</v>
      </c>
      <c r="B56" s="1682"/>
      <c r="C56" s="1205">
        <v>43559</v>
      </c>
      <c r="D56" s="1205">
        <v>43559</v>
      </c>
      <c r="E56" s="1206">
        <v>270150</v>
      </c>
    </row>
    <row r="57" spans="1:9" s="1146" customFormat="1" ht="25.5" customHeight="1" x14ac:dyDescent="0.2">
      <c r="A57" s="1682" t="s">
        <v>1382</v>
      </c>
      <c r="B57" s="1682"/>
      <c r="C57" s="1205">
        <v>43571</v>
      </c>
      <c r="D57" s="1207">
        <v>43571</v>
      </c>
      <c r="E57" s="1206">
        <v>590000</v>
      </c>
    </row>
    <row r="58" spans="1:9" s="1146" customFormat="1" ht="34.5" customHeight="1" x14ac:dyDescent="0.2">
      <c r="A58" s="1682" t="s">
        <v>1383</v>
      </c>
      <c r="B58" s="1682"/>
      <c r="C58" s="1205">
        <v>43586</v>
      </c>
      <c r="D58" s="1205">
        <v>43586</v>
      </c>
      <c r="E58" s="1206">
        <v>1350000</v>
      </c>
    </row>
    <row r="59" spans="1:9" s="1146" customFormat="1" ht="25.5" customHeight="1" x14ac:dyDescent="0.2">
      <c r="A59" s="1682" t="s">
        <v>1384</v>
      </c>
      <c r="B59" s="1682"/>
      <c r="C59" s="1205">
        <v>43586</v>
      </c>
      <c r="D59" s="1205">
        <v>43586</v>
      </c>
      <c r="E59" s="1206">
        <v>5000000</v>
      </c>
    </row>
    <row r="60" spans="1:9" s="1146" customFormat="1" ht="39" customHeight="1" x14ac:dyDescent="0.2">
      <c r="A60" s="1682" t="s">
        <v>1385</v>
      </c>
      <c r="B60" s="1682"/>
      <c r="C60" s="1205">
        <v>43646</v>
      </c>
      <c r="D60" s="1205">
        <v>43646</v>
      </c>
      <c r="E60" s="1206">
        <v>0</v>
      </c>
    </row>
    <row r="61" spans="1:9" s="1146" customFormat="1" ht="25.5" customHeight="1" x14ac:dyDescent="0.2">
      <c r="A61" s="1685" t="s">
        <v>1386</v>
      </c>
      <c r="B61" s="1685"/>
      <c r="C61" s="1205">
        <v>43599</v>
      </c>
      <c r="D61" s="1205">
        <v>43647</v>
      </c>
      <c r="E61" s="1206">
        <v>443359</v>
      </c>
    </row>
    <row r="62" spans="1:9" s="1146" customFormat="1" ht="22.5" customHeight="1" x14ac:dyDescent="0.2">
      <c r="A62" s="1682" t="s">
        <v>1387</v>
      </c>
      <c r="B62" s="1682"/>
      <c r="C62" s="1205">
        <v>43656</v>
      </c>
      <c r="D62" s="1205">
        <v>43656</v>
      </c>
      <c r="E62" s="1206">
        <v>30000</v>
      </c>
    </row>
    <row r="63" spans="1:9" s="1146" customFormat="1" ht="38.25" customHeight="1" x14ac:dyDescent="0.2">
      <c r="A63" s="1682" t="s">
        <v>1388</v>
      </c>
      <c r="B63" s="1682"/>
      <c r="C63" s="1205">
        <v>43685</v>
      </c>
      <c r="D63" s="1205">
        <v>43685</v>
      </c>
      <c r="E63" s="1206">
        <v>-329563</v>
      </c>
    </row>
    <row r="64" spans="1:9" s="1146" customFormat="1" ht="29.25" customHeight="1" x14ac:dyDescent="0.2">
      <c r="A64" s="1682" t="s">
        <v>1389</v>
      </c>
      <c r="B64" s="1682"/>
      <c r="C64" s="1205">
        <v>43710</v>
      </c>
      <c r="D64" s="1205">
        <v>43710</v>
      </c>
      <c r="E64" s="1206">
        <v>270310</v>
      </c>
    </row>
    <row r="65" spans="1:9" s="1146" customFormat="1" ht="24" customHeight="1" x14ac:dyDescent="0.2">
      <c r="A65" s="1682" t="s">
        <v>1390</v>
      </c>
      <c r="B65" s="1682"/>
      <c r="C65" s="1205">
        <v>43676</v>
      </c>
      <c r="D65" s="1205">
        <v>43739</v>
      </c>
      <c r="E65" s="1206">
        <v>445389.25</v>
      </c>
    </row>
    <row r="66" spans="1:9" s="1146" customFormat="1" ht="36" customHeight="1" x14ac:dyDescent="0.2">
      <c r="A66" s="1682" t="s">
        <v>1391</v>
      </c>
      <c r="B66" s="1682"/>
      <c r="C66" s="1205">
        <v>43746</v>
      </c>
      <c r="D66" s="1205">
        <v>43760</v>
      </c>
      <c r="E66" s="1206">
        <v>28435</v>
      </c>
    </row>
    <row r="67" spans="1:9" s="1146" customFormat="1" ht="23.25" customHeight="1" x14ac:dyDescent="0.2">
      <c r="A67" s="1682" t="s">
        <v>1392</v>
      </c>
      <c r="B67" s="1682"/>
      <c r="C67" s="1205">
        <v>43760</v>
      </c>
      <c r="D67" s="1205">
        <v>43760</v>
      </c>
      <c r="E67" s="1206">
        <v>38330</v>
      </c>
    </row>
    <row r="68" spans="1:9" s="1146" customFormat="1" ht="24.75" customHeight="1" x14ac:dyDescent="0.2">
      <c r="A68" s="1682" t="s">
        <v>1393</v>
      </c>
      <c r="B68" s="1682"/>
      <c r="C68" s="1205">
        <v>43773</v>
      </c>
      <c r="D68" s="1205">
        <v>43773</v>
      </c>
      <c r="E68" s="1206">
        <v>28043</v>
      </c>
    </row>
    <row r="69" spans="1:9" s="1146" customFormat="1" ht="24.75" customHeight="1" x14ac:dyDescent="0.2">
      <c r="A69" s="1682" t="s">
        <v>1394</v>
      </c>
      <c r="B69" s="1682"/>
      <c r="C69" s="1205">
        <v>43830</v>
      </c>
      <c r="D69" s="1205">
        <v>43830</v>
      </c>
      <c r="E69" s="1206">
        <v>75451</v>
      </c>
    </row>
    <row r="70" spans="1:9" s="1146" customFormat="1" ht="11.25" customHeight="1" x14ac:dyDescent="0.2">
      <c r="A70" s="1682" t="s">
        <v>1395</v>
      </c>
      <c r="B70" s="1682"/>
      <c r="C70" s="1205">
        <v>43830</v>
      </c>
      <c r="D70" s="1205">
        <v>43830</v>
      </c>
      <c r="E70" s="1206">
        <v>36000</v>
      </c>
    </row>
    <row r="71" spans="1:9" s="1146" customFormat="1" ht="42.75" customHeight="1" x14ac:dyDescent="0.2">
      <c r="A71" s="1682" t="s">
        <v>1396</v>
      </c>
      <c r="B71" s="1682"/>
      <c r="C71" s="1205">
        <v>43830</v>
      </c>
      <c r="D71" s="1205">
        <v>43830</v>
      </c>
      <c r="E71" s="1206">
        <v>17908</v>
      </c>
    </row>
    <row r="72" spans="1:9" s="1146" customFormat="1" ht="72" customHeight="1" x14ac:dyDescent="0.2">
      <c r="A72" s="1208"/>
      <c r="B72" s="1208"/>
      <c r="C72" s="149"/>
      <c r="D72" s="149"/>
      <c r="E72" s="150"/>
    </row>
    <row r="73" spans="1:9" s="1146" customFormat="1" ht="10.199999999999999" x14ac:dyDescent="0.2">
      <c r="A73" s="1683" t="s">
        <v>154</v>
      </c>
      <c r="B73" s="1683"/>
      <c r="C73" s="1683"/>
      <c r="D73" s="1683"/>
      <c r="E73" s="1683"/>
      <c r="F73" s="1683"/>
      <c r="G73" s="1683"/>
      <c r="H73" s="1683"/>
      <c r="I73" s="1683"/>
    </row>
    <row r="74" spans="1:9" s="1146" customFormat="1" ht="10.199999999999999" x14ac:dyDescent="0.2">
      <c r="A74" s="1146" t="s">
        <v>95</v>
      </c>
    </row>
    <row r="75" spans="1:9" s="1146" customFormat="1" ht="38.25" customHeight="1" x14ac:dyDescent="0.2">
      <c r="A75" s="1678" t="s">
        <v>1397</v>
      </c>
      <c r="B75" s="1679"/>
      <c r="C75" s="1679"/>
      <c r="D75" s="1679"/>
      <c r="E75" s="1679"/>
      <c r="F75" s="1679"/>
      <c r="G75" s="1679"/>
      <c r="H75" s="1679"/>
      <c r="I75" s="1680"/>
    </row>
    <row r="76" spans="1:9" s="1146" customFormat="1" ht="10.199999999999999" x14ac:dyDescent="0.2"/>
    <row r="77" spans="1:9" s="1146" customFormat="1" ht="0.75" customHeight="1" x14ac:dyDescent="0.2">
      <c r="A77" s="1678"/>
      <c r="B77" s="1679"/>
      <c r="C77" s="1679"/>
      <c r="D77" s="1679"/>
      <c r="E77" s="1679"/>
      <c r="F77" s="1679"/>
      <c r="G77" s="1679"/>
      <c r="H77" s="1679"/>
      <c r="I77" s="1680"/>
    </row>
    <row r="78" spans="1:9" s="1146" customFormat="1" ht="10.199999999999999" hidden="1" x14ac:dyDescent="0.2"/>
    <row r="79" spans="1:9" s="1145" customFormat="1" ht="10.199999999999999" x14ac:dyDescent="0.2">
      <c r="A79" s="1681" t="s">
        <v>156</v>
      </c>
      <c r="B79" s="1681"/>
      <c r="C79" s="1681"/>
      <c r="D79" s="1681"/>
      <c r="E79" s="1681"/>
      <c r="F79" s="1681"/>
      <c r="G79" s="1681"/>
      <c r="H79" s="1681"/>
      <c r="I79" s="1681"/>
    </row>
    <row r="80" spans="1:9" s="1146" customFormat="1" ht="10.199999999999999" x14ac:dyDescent="0.2">
      <c r="A80" s="1146" t="s">
        <v>95</v>
      </c>
    </row>
    <row r="81" spans="1:9" s="1146" customFormat="1" ht="18.75" customHeight="1" x14ac:dyDescent="0.2">
      <c r="A81" s="1678" t="s">
        <v>1398</v>
      </c>
      <c r="B81" s="1679"/>
      <c r="C81" s="1679"/>
      <c r="D81" s="1679"/>
      <c r="E81" s="1679"/>
      <c r="F81" s="1679"/>
      <c r="G81" s="1679"/>
      <c r="H81" s="1679"/>
      <c r="I81" s="1680"/>
    </row>
    <row r="83" spans="1:9" x14ac:dyDescent="0.25">
      <c r="A83" s="1146" t="s">
        <v>1399</v>
      </c>
    </row>
    <row r="84" spans="1:9" x14ac:dyDescent="0.25">
      <c r="A84" s="1210"/>
    </row>
    <row r="85" spans="1:9" x14ac:dyDescent="0.25">
      <c r="A85" s="1210"/>
    </row>
  </sheetData>
  <mergeCells count="59">
    <mergeCell ref="A15:A17"/>
    <mergeCell ref="A3:I3"/>
    <mergeCell ref="A5:B5"/>
    <mergeCell ref="D5:I5"/>
    <mergeCell ref="A6:B6"/>
    <mergeCell ref="D6:I6"/>
    <mergeCell ref="A7:B7"/>
    <mergeCell ref="D7:I7"/>
    <mergeCell ref="A8:B8"/>
    <mergeCell ref="D8:I8"/>
    <mergeCell ref="A9:B9"/>
    <mergeCell ref="D9:I9"/>
    <mergeCell ref="A11:I11"/>
    <mergeCell ref="A37:I37"/>
    <mergeCell ref="A20:I20"/>
    <mergeCell ref="F22:I22"/>
    <mergeCell ref="F23:I23"/>
    <mergeCell ref="F24:I24"/>
    <mergeCell ref="F25:I25"/>
    <mergeCell ref="F26:I26"/>
    <mergeCell ref="F27:I27"/>
    <mergeCell ref="A29:I29"/>
    <mergeCell ref="D31:I31"/>
    <mergeCell ref="D32:I34"/>
    <mergeCell ref="C35:I35"/>
    <mergeCell ref="A53:I53"/>
    <mergeCell ref="D39:I39"/>
    <mergeCell ref="D40:I40"/>
    <mergeCell ref="D41:I41"/>
    <mergeCell ref="D42:I42"/>
    <mergeCell ref="C43:I43"/>
    <mergeCell ref="A45:I45"/>
    <mergeCell ref="C47:I47"/>
    <mergeCell ref="C48:I48"/>
    <mergeCell ref="C49:I49"/>
    <mergeCell ref="C50:I50"/>
    <mergeCell ref="C51:I51"/>
    <mergeCell ref="A66:B66"/>
    <mergeCell ref="A55:B55"/>
    <mergeCell ref="A56:B56"/>
    <mergeCell ref="A57:B57"/>
    <mergeCell ref="A58:B58"/>
    <mergeCell ref="A59:B59"/>
    <mergeCell ref="A60:B60"/>
    <mergeCell ref="A61:B61"/>
    <mergeCell ref="A62:B62"/>
    <mergeCell ref="A63:B63"/>
    <mergeCell ref="A64:B64"/>
    <mergeCell ref="A65:B65"/>
    <mergeCell ref="A75:I75"/>
    <mergeCell ref="A77:I77"/>
    <mergeCell ref="A79:I79"/>
    <mergeCell ref="A81:I81"/>
    <mergeCell ref="A67:B67"/>
    <mergeCell ref="A68:B68"/>
    <mergeCell ref="A69:B69"/>
    <mergeCell ref="A70:B70"/>
    <mergeCell ref="A71:B71"/>
    <mergeCell ref="A73:I73"/>
  </mergeCells>
  <pageMargins left="0.70866141732283472" right="0.70866141732283472" top="0.78740157480314965" bottom="0.78740157480314965" header="0.31496062992125984" footer="0.31496062992125984"/>
  <pageSetup paperSize="9" scale="98" firstPageNumber="193" fitToHeight="10" orientation="landscape" useFirstPageNumber="1" r:id="rId1"/>
  <headerFoot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topLeftCell="D1" zoomScale="130" zoomScaleNormal="130" workbookViewId="0">
      <selection activeCell="AD13" sqref="AC13:AD13"/>
    </sheetView>
  </sheetViews>
  <sheetFormatPr defaultColWidth="6.3984375" defaultRowHeight="7.8" x14ac:dyDescent="0.15"/>
  <cols>
    <col min="1" max="1" width="5.3984375" style="927" customWidth="1"/>
    <col min="2" max="2" width="6.3984375" style="633" customWidth="1"/>
    <col min="3" max="3" width="36.796875" style="633" customWidth="1"/>
    <col min="4" max="4" width="9.3984375" style="633" customWidth="1"/>
    <col min="5" max="7" width="11" style="633" customWidth="1"/>
    <col min="8" max="8" width="8.796875" style="633" customWidth="1"/>
    <col min="9" max="12" width="11" style="633" customWidth="1"/>
    <col min="13" max="13" width="8.796875" style="633" customWidth="1"/>
    <col min="14" max="17" width="11" style="633" customWidth="1"/>
    <col min="18" max="18" width="8.796875" style="633" customWidth="1"/>
    <col min="19" max="22" width="11" style="633" customWidth="1"/>
    <col min="23" max="23" width="8.796875" style="633" customWidth="1"/>
    <col min="24" max="24" width="11" style="633" customWidth="1"/>
    <col min="25" max="16384" width="6.3984375" style="633"/>
  </cols>
  <sheetData>
    <row r="1" spans="1:24" s="635" customFormat="1" ht="15.6" x14ac:dyDescent="0.3">
      <c r="A1" s="1216" t="s">
        <v>1054</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636"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637"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638" customFormat="1" x14ac:dyDescent="0.15">
      <c r="A5" s="1218"/>
      <c r="B5" s="1221"/>
      <c r="C5" s="1221"/>
      <c r="D5" s="1223"/>
      <c r="E5" s="1228"/>
      <c r="F5" s="642" t="s">
        <v>35</v>
      </c>
      <c r="G5" s="642" t="s">
        <v>36</v>
      </c>
      <c r="H5" s="642" t="s">
        <v>37</v>
      </c>
      <c r="I5" s="1230"/>
      <c r="J5" s="1228"/>
      <c r="K5" s="642" t="s">
        <v>35</v>
      </c>
      <c r="L5" s="642" t="s">
        <v>36</v>
      </c>
      <c r="M5" s="642" t="s">
        <v>37</v>
      </c>
      <c r="N5" s="1230"/>
      <c r="O5" s="1228"/>
      <c r="P5" s="642" t="s">
        <v>35</v>
      </c>
      <c r="Q5" s="642" t="s">
        <v>36</v>
      </c>
      <c r="R5" s="642" t="s">
        <v>37</v>
      </c>
      <c r="S5" s="1230"/>
      <c r="T5" s="1228"/>
      <c r="U5" s="642" t="s">
        <v>35</v>
      </c>
      <c r="V5" s="642" t="s">
        <v>36</v>
      </c>
      <c r="W5" s="642" t="s">
        <v>37</v>
      </c>
      <c r="X5" s="1230"/>
    </row>
    <row r="6" spans="1:24" s="636" customFormat="1" x14ac:dyDescent="0.15">
      <c r="A6" s="704" t="s">
        <v>0</v>
      </c>
      <c r="B6" s="1236" t="s">
        <v>1</v>
      </c>
      <c r="C6" s="1236"/>
      <c r="D6" s="705" t="s">
        <v>25</v>
      </c>
      <c r="E6" s="666">
        <f>SUM(E7:E9)</f>
        <v>12509655</v>
      </c>
      <c r="F6" s="646">
        <f>SUM(F7:F9)</f>
        <v>13532709</v>
      </c>
      <c r="G6" s="646">
        <f>SUM(G7:G9)</f>
        <v>13493069</v>
      </c>
      <c r="H6" s="643">
        <f t="shared" ref="H6:H36" si="0">G6/F6*100</f>
        <v>99.707080082783122</v>
      </c>
      <c r="I6" s="667">
        <f>SUM(I7:I9)</f>
        <v>12983674</v>
      </c>
      <c r="J6" s="666">
        <f>SUM(J7:J9)</f>
        <v>10290000</v>
      </c>
      <c r="K6" s="646">
        <f t="shared" ref="K6:X6" si="1">SUM(K7:K9)</f>
        <v>10927054</v>
      </c>
      <c r="L6" s="646">
        <f t="shared" si="1"/>
        <v>10887414</v>
      </c>
      <c r="M6" s="643">
        <f t="shared" ref="M6:M36" si="2">L6/K6*100</f>
        <v>99.637230675349457</v>
      </c>
      <c r="N6" s="667">
        <f t="shared" si="1"/>
        <v>10764836</v>
      </c>
      <c r="O6" s="666">
        <f t="shared" si="1"/>
        <v>2219655</v>
      </c>
      <c r="P6" s="646">
        <f t="shared" si="1"/>
        <v>2605655</v>
      </c>
      <c r="Q6" s="646">
        <f t="shared" si="1"/>
        <v>2605655</v>
      </c>
      <c r="R6" s="643">
        <f t="shared" ref="R6:R36" si="3">Q6/P6*100</f>
        <v>100</v>
      </c>
      <c r="S6" s="667">
        <f t="shared" si="1"/>
        <v>2218838</v>
      </c>
      <c r="T6" s="666">
        <f t="shared" si="1"/>
        <v>0</v>
      </c>
      <c r="U6" s="646">
        <f t="shared" si="1"/>
        <v>0</v>
      </c>
      <c r="V6" s="646">
        <f t="shared" si="1"/>
        <v>0</v>
      </c>
      <c r="W6" s="643" t="e">
        <f t="shared" ref="W6:W36" si="4">V6/U6*100</f>
        <v>#DIV/0!</v>
      </c>
      <c r="X6" s="667">
        <f t="shared" si="1"/>
        <v>0</v>
      </c>
    </row>
    <row r="7" spans="1:24" s="636" customFormat="1" x14ac:dyDescent="0.15">
      <c r="A7" s="706" t="s">
        <v>2</v>
      </c>
      <c r="B7" s="1233" t="s">
        <v>46</v>
      </c>
      <c r="C7" s="1233"/>
      <c r="D7" s="705" t="s">
        <v>25</v>
      </c>
      <c r="E7" s="668">
        <f t="shared" ref="E7:G10" si="5">SUM(J7,O7)</f>
        <v>625000</v>
      </c>
      <c r="F7" s="650">
        <f t="shared" si="5"/>
        <v>669200</v>
      </c>
      <c r="G7" s="650">
        <f t="shared" si="5"/>
        <v>669564</v>
      </c>
      <c r="H7" s="651">
        <f t="shared" si="0"/>
        <v>100.05439330543933</v>
      </c>
      <c r="I7" s="669">
        <f>SUM(N7,S7)</f>
        <v>641586</v>
      </c>
      <c r="J7" s="678">
        <v>625000</v>
      </c>
      <c r="K7" s="652">
        <v>669200</v>
      </c>
      <c r="L7" s="652">
        <v>669564</v>
      </c>
      <c r="M7" s="651">
        <f t="shared" si="2"/>
        <v>100.05439330543933</v>
      </c>
      <c r="N7" s="679">
        <v>641586</v>
      </c>
      <c r="O7" s="694"/>
      <c r="P7" s="652"/>
      <c r="Q7" s="652"/>
      <c r="R7" s="651" t="e">
        <f t="shared" si="3"/>
        <v>#DIV/0!</v>
      </c>
      <c r="S7" s="679"/>
      <c r="T7" s="694"/>
      <c r="U7" s="652"/>
      <c r="V7" s="652"/>
      <c r="W7" s="651" t="e">
        <f t="shared" si="4"/>
        <v>#DIV/0!</v>
      </c>
      <c r="X7" s="679"/>
    </row>
    <row r="8" spans="1:24" s="636" customFormat="1" x14ac:dyDescent="0.15">
      <c r="A8" s="707" t="s">
        <v>3</v>
      </c>
      <c r="B8" s="1237" t="s">
        <v>47</v>
      </c>
      <c r="C8" s="1237"/>
      <c r="D8" s="705" t="s">
        <v>25</v>
      </c>
      <c r="E8" s="668">
        <f t="shared" si="5"/>
        <v>0</v>
      </c>
      <c r="F8" s="650">
        <f t="shared" si="5"/>
        <v>0</v>
      </c>
      <c r="G8" s="650">
        <f t="shared" si="5"/>
        <v>0</v>
      </c>
      <c r="H8" s="651" t="e">
        <f t="shared" si="0"/>
        <v>#DIV/0!</v>
      </c>
      <c r="I8" s="669">
        <f>SUM(N8,S8)</f>
        <v>0</v>
      </c>
      <c r="J8" s="680"/>
      <c r="K8" s="650"/>
      <c r="L8" s="650"/>
      <c r="M8" s="651" t="e">
        <f t="shared" si="2"/>
        <v>#DIV/0!</v>
      </c>
      <c r="N8" s="669"/>
      <c r="O8" s="668"/>
      <c r="P8" s="650"/>
      <c r="Q8" s="650"/>
      <c r="R8" s="651" t="e">
        <f t="shared" si="3"/>
        <v>#DIV/0!</v>
      </c>
      <c r="S8" s="669"/>
      <c r="T8" s="668"/>
      <c r="U8" s="650"/>
      <c r="V8" s="650"/>
      <c r="W8" s="651" t="e">
        <f t="shared" si="4"/>
        <v>#DIV/0!</v>
      </c>
      <c r="X8" s="669"/>
    </row>
    <row r="9" spans="1:24" s="636" customFormat="1" ht="8.4" x14ac:dyDescent="0.2">
      <c r="A9" s="707" t="s">
        <v>4</v>
      </c>
      <c r="B9" s="653" t="s">
        <v>62</v>
      </c>
      <c r="C9" s="918"/>
      <c r="D9" s="705" t="s">
        <v>25</v>
      </c>
      <c r="E9" s="668">
        <f t="shared" si="5"/>
        <v>11884655</v>
      </c>
      <c r="F9" s="650">
        <f t="shared" si="5"/>
        <v>12863509</v>
      </c>
      <c r="G9" s="650">
        <f t="shared" si="5"/>
        <v>12823505</v>
      </c>
      <c r="H9" s="651">
        <f t="shared" si="0"/>
        <v>99.689011761876174</v>
      </c>
      <c r="I9" s="669">
        <f>SUM(N9,S9)</f>
        <v>12342088</v>
      </c>
      <c r="J9" s="680">
        <v>9665000</v>
      </c>
      <c r="K9" s="650">
        <v>10257854</v>
      </c>
      <c r="L9" s="650">
        <v>10217850</v>
      </c>
      <c r="M9" s="651">
        <f t="shared" si="2"/>
        <v>99.610015896112387</v>
      </c>
      <c r="N9" s="669">
        <v>10123250</v>
      </c>
      <c r="O9" s="668">
        <v>2219655</v>
      </c>
      <c r="P9" s="650">
        <v>2605655</v>
      </c>
      <c r="Q9" s="650">
        <v>2605655</v>
      </c>
      <c r="R9" s="651">
        <f t="shared" si="3"/>
        <v>100</v>
      </c>
      <c r="S9" s="669">
        <v>2218838</v>
      </c>
      <c r="T9" s="668"/>
      <c r="U9" s="650"/>
      <c r="V9" s="650"/>
      <c r="W9" s="651" t="e">
        <f t="shared" si="4"/>
        <v>#DIV/0!</v>
      </c>
      <c r="X9" s="669"/>
    </row>
    <row r="10" spans="1:24" s="636" customFormat="1" x14ac:dyDescent="0.15">
      <c r="A10" s="704" t="s">
        <v>5</v>
      </c>
      <c r="B10" s="1236" t="s">
        <v>7</v>
      </c>
      <c r="C10" s="1236"/>
      <c r="D10" s="705" t="s">
        <v>25</v>
      </c>
      <c r="E10" s="670">
        <f t="shared" si="5"/>
        <v>0</v>
      </c>
      <c r="F10" s="647">
        <f t="shared" si="5"/>
        <v>0</v>
      </c>
      <c r="G10" s="647">
        <f t="shared" si="5"/>
        <v>0</v>
      </c>
      <c r="H10" s="643" t="e">
        <f t="shared" si="0"/>
        <v>#DIV/0!</v>
      </c>
      <c r="I10" s="671">
        <f>SUM(N10,S10)</f>
        <v>0</v>
      </c>
      <c r="J10" s="681"/>
      <c r="K10" s="647"/>
      <c r="L10" s="647"/>
      <c r="M10" s="643" t="e">
        <f t="shared" si="2"/>
        <v>#DIV/0!</v>
      </c>
      <c r="N10" s="671"/>
      <c r="O10" s="670"/>
      <c r="P10" s="647"/>
      <c r="Q10" s="647"/>
      <c r="R10" s="643" t="e">
        <f t="shared" si="3"/>
        <v>#DIV/0!</v>
      </c>
      <c r="S10" s="671"/>
      <c r="T10" s="670"/>
      <c r="U10" s="647"/>
      <c r="V10" s="647"/>
      <c r="W10" s="643" t="e">
        <f t="shared" si="4"/>
        <v>#DIV/0!</v>
      </c>
      <c r="X10" s="671"/>
    </row>
    <row r="11" spans="1:24" s="636" customFormat="1" x14ac:dyDescent="0.15">
      <c r="A11" s="704" t="s">
        <v>6</v>
      </c>
      <c r="B11" s="1236" t="s">
        <v>9</v>
      </c>
      <c r="C11" s="1236"/>
      <c r="D11" s="705" t="s">
        <v>25</v>
      </c>
      <c r="E11" s="666">
        <f>SUM(E12:E31)</f>
        <v>12509655</v>
      </c>
      <c r="F11" s="646">
        <f>SUM(F12:F31)</f>
        <v>13532709</v>
      </c>
      <c r="G11" s="646">
        <f>SUM(G12:G31)</f>
        <v>13394299</v>
      </c>
      <c r="H11" s="643">
        <f t="shared" si="0"/>
        <v>98.97721882588327</v>
      </c>
      <c r="I11" s="667">
        <f>SUM(I12:I31)</f>
        <v>12890073</v>
      </c>
      <c r="J11" s="666">
        <f>SUM(J12:J31)</f>
        <v>10290000</v>
      </c>
      <c r="K11" s="646">
        <f>SUM(K12:K31)</f>
        <v>10927054</v>
      </c>
      <c r="L11" s="646">
        <f>SUM(L12:L31)</f>
        <v>10788644</v>
      </c>
      <c r="M11" s="643">
        <f t="shared" si="2"/>
        <v>98.733327390896036</v>
      </c>
      <c r="N11" s="667">
        <f>SUM(N12:N31)</f>
        <v>10671235</v>
      </c>
      <c r="O11" s="666">
        <f>SUM(O12:O31)</f>
        <v>2219655</v>
      </c>
      <c r="P11" s="646">
        <f>SUM(P12:P31)</f>
        <v>2605655</v>
      </c>
      <c r="Q11" s="646">
        <f>SUM(Q12:Q31)</f>
        <v>2605655</v>
      </c>
      <c r="R11" s="643">
        <f t="shared" si="3"/>
        <v>100</v>
      </c>
      <c r="S11" s="667">
        <f>SUM(S12:S31)</f>
        <v>2218838</v>
      </c>
      <c r="T11" s="666">
        <f>SUM(T12:T31)</f>
        <v>0</v>
      </c>
      <c r="U11" s="646">
        <f>SUM(U12:U31)</f>
        <v>0</v>
      </c>
      <c r="V11" s="646">
        <f>SUM(V12:V31)</f>
        <v>0</v>
      </c>
      <c r="W11" s="643" t="e">
        <f t="shared" si="4"/>
        <v>#DIV/0!</v>
      </c>
      <c r="X11" s="667">
        <f>SUM(X12:X31)</f>
        <v>0</v>
      </c>
    </row>
    <row r="12" spans="1:24" s="636" customFormat="1" x14ac:dyDescent="0.15">
      <c r="A12" s="708" t="s">
        <v>8</v>
      </c>
      <c r="B12" s="1238" t="s">
        <v>28</v>
      </c>
      <c r="C12" s="1238"/>
      <c r="D12" s="705" t="s">
        <v>25</v>
      </c>
      <c r="E12" s="668">
        <f>SUM(J12,O12)</f>
        <v>1630655</v>
      </c>
      <c r="F12" s="650">
        <f t="shared" ref="E12:I27" si="6">SUM(K12,P12)</f>
        <v>1731055</v>
      </c>
      <c r="G12" s="650">
        <f t="shared" si="6"/>
        <v>1722494</v>
      </c>
      <c r="H12" s="651">
        <f t="shared" si="0"/>
        <v>99.505446100788248</v>
      </c>
      <c r="I12" s="669">
        <f t="shared" si="6"/>
        <v>1877662</v>
      </c>
      <c r="J12" s="682">
        <v>1172000</v>
      </c>
      <c r="K12" s="655">
        <v>1193000</v>
      </c>
      <c r="L12" s="655">
        <v>1184196</v>
      </c>
      <c r="M12" s="651">
        <f t="shared" si="2"/>
        <v>99.262028499580893</v>
      </c>
      <c r="N12" s="683">
        <v>1316441</v>
      </c>
      <c r="O12" s="695">
        <v>458655</v>
      </c>
      <c r="P12" s="655">
        <v>538055</v>
      </c>
      <c r="Q12" s="655">
        <v>538298</v>
      </c>
      <c r="R12" s="651">
        <f t="shared" si="3"/>
        <v>100.04516266924387</v>
      </c>
      <c r="S12" s="696">
        <v>561221</v>
      </c>
      <c r="T12" s="695"/>
      <c r="U12" s="655"/>
      <c r="V12" s="655"/>
      <c r="W12" s="651" t="e">
        <f t="shared" si="4"/>
        <v>#DIV/0!</v>
      </c>
      <c r="X12" s="683"/>
    </row>
    <row r="13" spans="1:24" s="636" customFormat="1" x14ac:dyDescent="0.15">
      <c r="A13" s="706" t="s">
        <v>10</v>
      </c>
      <c r="B13" s="1233" t="s">
        <v>29</v>
      </c>
      <c r="C13" s="1233"/>
      <c r="D13" s="705" t="s">
        <v>25</v>
      </c>
      <c r="E13" s="668">
        <f t="shared" si="6"/>
        <v>565000</v>
      </c>
      <c r="F13" s="650">
        <f t="shared" si="6"/>
        <v>565200</v>
      </c>
      <c r="G13" s="650">
        <f t="shared" si="6"/>
        <v>518348</v>
      </c>
      <c r="H13" s="651">
        <f t="shared" si="0"/>
        <v>91.710544939844311</v>
      </c>
      <c r="I13" s="669">
        <f t="shared" si="6"/>
        <v>468386</v>
      </c>
      <c r="J13" s="682">
        <v>560000</v>
      </c>
      <c r="K13" s="650">
        <v>560000</v>
      </c>
      <c r="L13" s="650">
        <v>513178</v>
      </c>
      <c r="M13" s="651">
        <f t="shared" si="2"/>
        <v>91.638928571428565</v>
      </c>
      <c r="N13" s="669">
        <v>463950</v>
      </c>
      <c r="O13" s="668">
        <v>5000</v>
      </c>
      <c r="P13" s="650">
        <v>5200</v>
      </c>
      <c r="Q13" s="650">
        <v>5170</v>
      </c>
      <c r="R13" s="651">
        <f t="shared" si="3"/>
        <v>99.42307692307692</v>
      </c>
      <c r="S13" s="669">
        <v>4436</v>
      </c>
      <c r="T13" s="668"/>
      <c r="U13" s="650"/>
      <c r="V13" s="650"/>
      <c r="W13" s="651" t="e">
        <f t="shared" si="4"/>
        <v>#DIV/0!</v>
      </c>
      <c r="X13" s="669"/>
    </row>
    <row r="14" spans="1:24" s="636" customFormat="1" x14ac:dyDescent="0.15">
      <c r="A14" s="706" t="s">
        <v>11</v>
      </c>
      <c r="B14" s="916" t="s">
        <v>63</v>
      </c>
      <c r="C14" s="916"/>
      <c r="D14" s="705" t="s">
        <v>25</v>
      </c>
      <c r="E14" s="668">
        <f t="shared" si="6"/>
        <v>0</v>
      </c>
      <c r="F14" s="650">
        <f t="shared" si="6"/>
        <v>0</v>
      </c>
      <c r="G14" s="650">
        <f t="shared" si="6"/>
        <v>0</v>
      </c>
      <c r="H14" s="651" t="e">
        <f t="shared" si="0"/>
        <v>#DIV/0!</v>
      </c>
      <c r="I14" s="669">
        <f t="shared" si="6"/>
        <v>0</v>
      </c>
      <c r="J14" s="682"/>
      <c r="K14" s="650"/>
      <c r="L14" s="650"/>
      <c r="M14" s="651" t="e">
        <f t="shared" si="2"/>
        <v>#DIV/0!</v>
      </c>
      <c r="N14" s="669"/>
      <c r="O14" s="668"/>
      <c r="P14" s="650"/>
      <c r="Q14" s="650"/>
      <c r="R14" s="651" t="e">
        <f t="shared" si="3"/>
        <v>#DIV/0!</v>
      </c>
      <c r="S14" s="669"/>
      <c r="T14" s="668"/>
      <c r="U14" s="650"/>
      <c r="V14" s="650"/>
      <c r="W14" s="651" t="e">
        <f t="shared" si="4"/>
        <v>#DIV/0!</v>
      </c>
      <c r="X14" s="669"/>
    </row>
    <row r="15" spans="1:24" s="636" customFormat="1" x14ac:dyDescent="0.15">
      <c r="A15" s="706" t="s">
        <v>12</v>
      </c>
      <c r="B15" s="1233" t="s">
        <v>64</v>
      </c>
      <c r="C15" s="1233"/>
      <c r="D15" s="705" t="s">
        <v>25</v>
      </c>
      <c r="E15" s="668">
        <f t="shared" si="6"/>
        <v>142000</v>
      </c>
      <c r="F15" s="650">
        <f t="shared" si="6"/>
        <v>130000</v>
      </c>
      <c r="G15" s="650">
        <f t="shared" si="6"/>
        <v>116486</v>
      </c>
      <c r="H15" s="651">
        <f t="shared" si="0"/>
        <v>89.604615384615386</v>
      </c>
      <c r="I15" s="669">
        <f t="shared" si="6"/>
        <v>127603</v>
      </c>
      <c r="J15" s="682">
        <v>142000</v>
      </c>
      <c r="K15" s="650">
        <v>130000</v>
      </c>
      <c r="L15" s="650">
        <v>116486</v>
      </c>
      <c r="M15" s="651">
        <f t="shared" si="2"/>
        <v>89.604615384615386</v>
      </c>
      <c r="N15" s="669">
        <v>127603</v>
      </c>
      <c r="O15" s="668"/>
      <c r="P15" s="650"/>
      <c r="Q15" s="650"/>
      <c r="R15" s="651" t="e">
        <f t="shared" si="3"/>
        <v>#DIV/0!</v>
      </c>
      <c r="S15" s="669"/>
      <c r="T15" s="668"/>
      <c r="U15" s="650"/>
      <c r="V15" s="650"/>
      <c r="W15" s="651" t="e">
        <f t="shared" si="4"/>
        <v>#DIV/0!</v>
      </c>
      <c r="X15" s="669"/>
    </row>
    <row r="16" spans="1:24" s="636" customFormat="1" x14ac:dyDescent="0.15">
      <c r="A16" s="706" t="s">
        <v>13</v>
      </c>
      <c r="B16" s="1233" t="s">
        <v>30</v>
      </c>
      <c r="C16" s="1233"/>
      <c r="D16" s="705" t="s">
        <v>25</v>
      </c>
      <c r="E16" s="668">
        <f t="shared" si="6"/>
        <v>42000</v>
      </c>
      <c r="F16" s="650">
        <f t="shared" si="6"/>
        <v>31300</v>
      </c>
      <c r="G16" s="650">
        <f t="shared" si="6"/>
        <v>29734</v>
      </c>
      <c r="H16" s="651">
        <f t="shared" si="0"/>
        <v>94.996805111821075</v>
      </c>
      <c r="I16" s="669">
        <f t="shared" si="6"/>
        <v>40602</v>
      </c>
      <c r="J16" s="682">
        <v>22000</v>
      </c>
      <c r="K16" s="650">
        <v>12000</v>
      </c>
      <c r="L16" s="650">
        <v>10505</v>
      </c>
      <c r="M16" s="651">
        <f t="shared" si="2"/>
        <v>87.541666666666657</v>
      </c>
      <c r="N16" s="669">
        <v>21077</v>
      </c>
      <c r="O16" s="668">
        <v>20000</v>
      </c>
      <c r="P16" s="650">
        <v>19300</v>
      </c>
      <c r="Q16" s="650">
        <v>19229</v>
      </c>
      <c r="R16" s="651">
        <f t="shared" si="3"/>
        <v>99.632124352331601</v>
      </c>
      <c r="S16" s="669">
        <v>19525</v>
      </c>
      <c r="T16" s="668"/>
      <c r="U16" s="650"/>
      <c r="V16" s="650"/>
      <c r="W16" s="651" t="e">
        <f t="shared" si="4"/>
        <v>#DIV/0!</v>
      </c>
      <c r="X16" s="669"/>
    </row>
    <row r="17" spans="1:24" s="636" customFormat="1" x14ac:dyDescent="0.15">
      <c r="A17" s="706" t="s">
        <v>14</v>
      </c>
      <c r="B17" s="916" t="s">
        <v>48</v>
      </c>
      <c r="C17" s="916"/>
      <c r="D17" s="705" t="s">
        <v>25</v>
      </c>
      <c r="E17" s="668">
        <f t="shared" si="6"/>
        <v>6000</v>
      </c>
      <c r="F17" s="650">
        <f t="shared" si="6"/>
        <v>10000</v>
      </c>
      <c r="G17" s="650">
        <f t="shared" si="6"/>
        <v>8216</v>
      </c>
      <c r="H17" s="651">
        <f t="shared" si="0"/>
        <v>82.16</v>
      </c>
      <c r="I17" s="669">
        <f t="shared" si="6"/>
        <v>6186</v>
      </c>
      <c r="J17" s="682">
        <v>6000</v>
      </c>
      <c r="K17" s="650">
        <v>10000</v>
      </c>
      <c r="L17" s="650">
        <v>8216</v>
      </c>
      <c r="M17" s="651">
        <f t="shared" si="2"/>
        <v>82.16</v>
      </c>
      <c r="N17" s="669">
        <v>6186</v>
      </c>
      <c r="O17" s="668"/>
      <c r="P17" s="650"/>
      <c r="Q17" s="650"/>
      <c r="R17" s="651" t="e">
        <f t="shared" si="3"/>
        <v>#DIV/0!</v>
      </c>
      <c r="S17" s="669"/>
      <c r="T17" s="668"/>
      <c r="U17" s="650"/>
      <c r="V17" s="650"/>
      <c r="W17" s="651" t="e">
        <f t="shared" si="4"/>
        <v>#DIV/0!</v>
      </c>
      <c r="X17" s="669"/>
    </row>
    <row r="18" spans="1:24" s="636" customFormat="1" x14ac:dyDescent="0.15">
      <c r="A18" s="706" t="s">
        <v>15</v>
      </c>
      <c r="B18" s="1233" t="s">
        <v>31</v>
      </c>
      <c r="C18" s="1233"/>
      <c r="D18" s="705" t="s">
        <v>25</v>
      </c>
      <c r="E18" s="668">
        <f t="shared" si="6"/>
        <v>652000</v>
      </c>
      <c r="F18" s="650">
        <f t="shared" si="6"/>
        <v>1107640</v>
      </c>
      <c r="G18" s="650">
        <f t="shared" si="6"/>
        <v>1086610</v>
      </c>
      <c r="H18" s="651">
        <f t="shared" si="0"/>
        <v>98.101368675743018</v>
      </c>
      <c r="I18" s="669">
        <f t="shared" si="6"/>
        <v>686432</v>
      </c>
      <c r="J18" s="682">
        <v>640000</v>
      </c>
      <c r="K18" s="650">
        <v>908540</v>
      </c>
      <c r="L18" s="650">
        <v>887512</v>
      </c>
      <c r="M18" s="651">
        <f t="shared" si="2"/>
        <v>97.685517423558679</v>
      </c>
      <c r="N18" s="669">
        <v>665277</v>
      </c>
      <c r="O18" s="668">
        <v>12000</v>
      </c>
      <c r="P18" s="650">
        <v>199100</v>
      </c>
      <c r="Q18" s="650">
        <v>199098</v>
      </c>
      <c r="R18" s="651">
        <f t="shared" si="3"/>
        <v>99.998995479658461</v>
      </c>
      <c r="S18" s="669">
        <v>21155</v>
      </c>
      <c r="T18" s="668"/>
      <c r="U18" s="650"/>
      <c r="V18" s="650"/>
      <c r="W18" s="651" t="e">
        <f t="shared" si="4"/>
        <v>#DIV/0!</v>
      </c>
      <c r="X18" s="669"/>
    </row>
    <row r="19" spans="1:24" s="639" customFormat="1" x14ac:dyDescent="0.15">
      <c r="A19" s="706" t="s">
        <v>16</v>
      </c>
      <c r="B19" s="1233" t="s">
        <v>32</v>
      </c>
      <c r="C19" s="1233"/>
      <c r="D19" s="705" t="s">
        <v>25</v>
      </c>
      <c r="E19" s="668">
        <f t="shared" si="6"/>
        <v>6575000</v>
      </c>
      <c r="F19" s="650">
        <f t="shared" si="6"/>
        <v>6797100</v>
      </c>
      <c r="G19" s="650">
        <f t="shared" si="6"/>
        <v>6796366</v>
      </c>
      <c r="H19" s="651">
        <f t="shared" si="0"/>
        <v>99.989201277015198</v>
      </c>
      <c r="I19" s="669">
        <f t="shared" si="6"/>
        <v>6398608</v>
      </c>
      <c r="J19" s="684">
        <v>5315000</v>
      </c>
      <c r="K19" s="650">
        <v>5515000</v>
      </c>
      <c r="L19" s="650">
        <v>5514345</v>
      </c>
      <c r="M19" s="651">
        <f t="shared" si="2"/>
        <v>99.988123300090663</v>
      </c>
      <c r="N19" s="669">
        <v>5228419</v>
      </c>
      <c r="O19" s="668">
        <v>1260000</v>
      </c>
      <c r="P19" s="650">
        <v>1282100</v>
      </c>
      <c r="Q19" s="650">
        <v>1282021</v>
      </c>
      <c r="R19" s="651">
        <f t="shared" si="3"/>
        <v>99.993838234147105</v>
      </c>
      <c r="S19" s="669">
        <v>1170189</v>
      </c>
      <c r="T19" s="700"/>
      <c r="U19" s="658"/>
      <c r="V19" s="658"/>
      <c r="W19" s="651" t="e">
        <f t="shared" si="4"/>
        <v>#DIV/0!</v>
      </c>
      <c r="X19" s="701"/>
    </row>
    <row r="20" spans="1:24" s="636" customFormat="1" x14ac:dyDescent="0.15">
      <c r="A20" s="706" t="s">
        <v>17</v>
      </c>
      <c r="B20" s="1233" t="s">
        <v>49</v>
      </c>
      <c r="C20" s="1233"/>
      <c r="D20" s="705" t="s">
        <v>25</v>
      </c>
      <c r="E20" s="668">
        <f t="shared" si="6"/>
        <v>2254000</v>
      </c>
      <c r="F20" s="650">
        <f t="shared" si="6"/>
        <v>2327700</v>
      </c>
      <c r="G20" s="650">
        <f t="shared" si="6"/>
        <v>2294569</v>
      </c>
      <c r="H20" s="651">
        <f t="shared" si="0"/>
        <v>98.576663659406279</v>
      </c>
      <c r="I20" s="669">
        <f t="shared" si="6"/>
        <v>2159380</v>
      </c>
      <c r="J20" s="682">
        <v>1822000</v>
      </c>
      <c r="K20" s="650">
        <v>1890000</v>
      </c>
      <c r="L20" s="650">
        <v>1856902</v>
      </c>
      <c r="M20" s="651">
        <f t="shared" si="2"/>
        <v>98.248783068783069</v>
      </c>
      <c r="N20" s="669">
        <v>1761556</v>
      </c>
      <c r="O20" s="668">
        <v>432000</v>
      </c>
      <c r="P20" s="650">
        <v>437700</v>
      </c>
      <c r="Q20" s="650">
        <v>437667</v>
      </c>
      <c r="R20" s="651">
        <f t="shared" si="3"/>
        <v>99.992460589444818</v>
      </c>
      <c r="S20" s="669">
        <v>397824</v>
      </c>
      <c r="T20" s="668"/>
      <c r="U20" s="650"/>
      <c r="V20" s="650"/>
      <c r="W20" s="651" t="e">
        <f t="shared" si="4"/>
        <v>#DIV/0!</v>
      </c>
      <c r="X20" s="669"/>
    </row>
    <row r="21" spans="1:24" s="636" customFormat="1" x14ac:dyDescent="0.15">
      <c r="A21" s="706" t="s">
        <v>18</v>
      </c>
      <c r="B21" s="1233" t="s">
        <v>50</v>
      </c>
      <c r="C21" s="1233"/>
      <c r="D21" s="705" t="s">
        <v>25</v>
      </c>
      <c r="E21" s="668">
        <f t="shared" si="6"/>
        <v>235000</v>
      </c>
      <c r="F21" s="650">
        <f t="shared" si="6"/>
        <v>239200</v>
      </c>
      <c r="G21" s="650">
        <f t="shared" si="6"/>
        <v>233446</v>
      </c>
      <c r="H21" s="651">
        <f t="shared" si="0"/>
        <v>97.594481605351163</v>
      </c>
      <c r="I21" s="669">
        <f t="shared" si="6"/>
        <v>222462</v>
      </c>
      <c r="J21" s="682">
        <v>203000</v>
      </c>
      <c r="K21" s="650">
        <v>207000</v>
      </c>
      <c r="L21" s="650">
        <v>201274</v>
      </c>
      <c r="M21" s="651">
        <f t="shared" si="2"/>
        <v>97.233816425120779</v>
      </c>
      <c r="N21" s="669">
        <v>193430</v>
      </c>
      <c r="O21" s="668">
        <v>32000</v>
      </c>
      <c r="P21" s="650">
        <v>32200</v>
      </c>
      <c r="Q21" s="650">
        <v>32172</v>
      </c>
      <c r="R21" s="651">
        <f t="shared" si="3"/>
        <v>99.91304347826086</v>
      </c>
      <c r="S21" s="669">
        <v>29032</v>
      </c>
      <c r="T21" s="668"/>
      <c r="U21" s="650"/>
      <c r="V21" s="650"/>
      <c r="W21" s="651" t="e">
        <f t="shared" si="4"/>
        <v>#DIV/0!</v>
      </c>
      <c r="X21" s="669"/>
    </row>
    <row r="22" spans="1:24" s="636" customFormat="1" x14ac:dyDescent="0.15">
      <c r="A22" s="706" t="s">
        <v>19</v>
      </c>
      <c r="B22" s="1233" t="s">
        <v>65</v>
      </c>
      <c r="C22" s="1233"/>
      <c r="D22" s="705" t="s">
        <v>25</v>
      </c>
      <c r="E22" s="668">
        <f t="shared" si="6"/>
        <v>0</v>
      </c>
      <c r="F22" s="650">
        <f t="shared" si="6"/>
        <v>0</v>
      </c>
      <c r="G22" s="650">
        <f t="shared" si="6"/>
        <v>0</v>
      </c>
      <c r="H22" s="651" t="e">
        <f t="shared" si="0"/>
        <v>#DIV/0!</v>
      </c>
      <c r="I22" s="669">
        <f t="shared" si="6"/>
        <v>0</v>
      </c>
      <c r="J22" s="682"/>
      <c r="K22" s="650"/>
      <c r="L22" s="650"/>
      <c r="M22" s="651" t="e">
        <f t="shared" si="2"/>
        <v>#DIV/0!</v>
      </c>
      <c r="N22" s="669"/>
      <c r="O22" s="668"/>
      <c r="P22" s="650"/>
      <c r="Q22" s="650"/>
      <c r="R22" s="651" t="e">
        <f t="shared" si="3"/>
        <v>#DIV/0!</v>
      </c>
      <c r="S22" s="669"/>
      <c r="T22" s="668"/>
      <c r="U22" s="650"/>
      <c r="V22" s="650"/>
      <c r="W22" s="651" t="e">
        <f t="shared" si="4"/>
        <v>#DIV/0!</v>
      </c>
      <c r="X22" s="669"/>
    </row>
    <row r="23" spans="1:24" s="636" customFormat="1" x14ac:dyDescent="0.15">
      <c r="A23" s="706" t="s">
        <v>20</v>
      </c>
      <c r="B23" s="916" t="s">
        <v>66</v>
      </c>
      <c r="C23" s="916"/>
      <c r="D23" s="705" t="s">
        <v>25</v>
      </c>
      <c r="E23" s="668">
        <f t="shared" si="6"/>
        <v>0</v>
      </c>
      <c r="F23" s="650">
        <f t="shared" si="6"/>
        <v>0</v>
      </c>
      <c r="G23" s="650">
        <f t="shared" si="6"/>
        <v>0</v>
      </c>
      <c r="H23" s="651" t="e">
        <f t="shared" si="0"/>
        <v>#DIV/0!</v>
      </c>
      <c r="I23" s="669">
        <f t="shared" si="6"/>
        <v>0</v>
      </c>
      <c r="J23" s="682"/>
      <c r="K23" s="650"/>
      <c r="L23" s="650"/>
      <c r="M23" s="651" t="e">
        <f t="shared" si="2"/>
        <v>#DIV/0!</v>
      </c>
      <c r="N23" s="669"/>
      <c r="O23" s="668"/>
      <c r="P23" s="650"/>
      <c r="Q23" s="650"/>
      <c r="R23" s="651" t="e">
        <f t="shared" si="3"/>
        <v>#DIV/0!</v>
      </c>
      <c r="S23" s="669"/>
      <c r="T23" s="668"/>
      <c r="U23" s="650"/>
      <c r="V23" s="650"/>
      <c r="W23" s="651" t="e">
        <f t="shared" si="4"/>
        <v>#DIV/0!</v>
      </c>
      <c r="X23" s="669"/>
    </row>
    <row r="24" spans="1:24" s="636" customFormat="1" x14ac:dyDescent="0.15">
      <c r="A24" s="706" t="s">
        <v>21</v>
      </c>
      <c r="B24" s="916" t="s">
        <v>73</v>
      </c>
      <c r="C24" s="916"/>
      <c r="D24" s="705" t="s">
        <v>25</v>
      </c>
      <c r="E24" s="668">
        <f t="shared" si="6"/>
        <v>0</v>
      </c>
      <c r="F24" s="650">
        <f t="shared" si="6"/>
        <v>0</v>
      </c>
      <c r="G24" s="650">
        <f t="shared" si="6"/>
        <v>0</v>
      </c>
      <c r="H24" s="651" t="e">
        <f t="shared" si="0"/>
        <v>#DIV/0!</v>
      </c>
      <c r="I24" s="669">
        <f t="shared" si="6"/>
        <v>0</v>
      </c>
      <c r="J24" s="682"/>
      <c r="K24" s="650"/>
      <c r="L24" s="650"/>
      <c r="M24" s="651" t="e">
        <f t="shared" si="2"/>
        <v>#DIV/0!</v>
      </c>
      <c r="N24" s="669"/>
      <c r="O24" s="668"/>
      <c r="P24" s="650"/>
      <c r="Q24" s="650"/>
      <c r="R24" s="651" t="e">
        <f t="shared" si="3"/>
        <v>#DIV/0!</v>
      </c>
      <c r="S24" s="669"/>
      <c r="T24" s="668"/>
      <c r="U24" s="650"/>
      <c r="V24" s="650"/>
      <c r="W24" s="651" t="e">
        <f t="shared" si="4"/>
        <v>#DIV/0!</v>
      </c>
      <c r="X24" s="669"/>
    </row>
    <row r="25" spans="1:24" s="636" customFormat="1" x14ac:dyDescent="0.15">
      <c r="A25" s="708" t="s">
        <v>22</v>
      </c>
      <c r="B25" s="919" t="s">
        <v>68</v>
      </c>
      <c r="C25" s="919"/>
      <c r="D25" s="705" t="s">
        <v>25</v>
      </c>
      <c r="E25" s="668">
        <f t="shared" si="6"/>
        <v>0</v>
      </c>
      <c r="F25" s="650">
        <f t="shared" si="6"/>
        <v>0</v>
      </c>
      <c r="G25" s="650">
        <f t="shared" si="6"/>
        <v>0</v>
      </c>
      <c r="H25" s="651" t="e">
        <f t="shared" si="0"/>
        <v>#DIV/0!</v>
      </c>
      <c r="I25" s="669">
        <f t="shared" si="6"/>
        <v>0</v>
      </c>
      <c r="J25" s="682"/>
      <c r="K25" s="655"/>
      <c r="L25" s="655"/>
      <c r="M25" s="651" t="e">
        <f t="shared" si="2"/>
        <v>#DIV/0!</v>
      </c>
      <c r="N25" s="683"/>
      <c r="O25" s="695"/>
      <c r="P25" s="655"/>
      <c r="Q25" s="655"/>
      <c r="R25" s="651" t="e">
        <f t="shared" si="3"/>
        <v>#DIV/0!</v>
      </c>
      <c r="S25" s="696"/>
      <c r="T25" s="695"/>
      <c r="U25" s="655"/>
      <c r="V25" s="655"/>
      <c r="W25" s="651" t="e">
        <f t="shared" si="4"/>
        <v>#DIV/0!</v>
      </c>
      <c r="X25" s="696"/>
    </row>
    <row r="26" spans="1:24" s="640" customFormat="1" x14ac:dyDescent="0.15">
      <c r="A26" s="706" t="s">
        <v>23</v>
      </c>
      <c r="B26" s="1233" t="s">
        <v>69</v>
      </c>
      <c r="C26" s="1233"/>
      <c r="D26" s="705" t="s">
        <v>25</v>
      </c>
      <c r="E26" s="668">
        <f t="shared" si="6"/>
        <v>351000</v>
      </c>
      <c r="F26" s="650">
        <f t="shared" si="6"/>
        <v>398604</v>
      </c>
      <c r="G26" s="650">
        <f t="shared" si="6"/>
        <v>398079</v>
      </c>
      <c r="H26" s="660">
        <f t="shared" si="0"/>
        <v>99.86829033326309</v>
      </c>
      <c r="I26" s="669">
        <f t="shared" si="6"/>
        <v>350484</v>
      </c>
      <c r="J26" s="682">
        <v>351000</v>
      </c>
      <c r="K26" s="656">
        <v>398604</v>
      </c>
      <c r="L26" s="656">
        <v>398079</v>
      </c>
      <c r="M26" s="651">
        <f t="shared" si="2"/>
        <v>99.86829033326309</v>
      </c>
      <c r="N26" s="669">
        <v>350484</v>
      </c>
      <c r="O26" s="697"/>
      <c r="P26" s="656"/>
      <c r="Q26" s="656"/>
      <c r="R26" s="651" t="e">
        <f t="shared" si="3"/>
        <v>#DIV/0!</v>
      </c>
      <c r="S26" s="683"/>
      <c r="T26" s="702"/>
      <c r="U26" s="661"/>
      <c r="V26" s="661"/>
      <c r="W26" s="651" t="e">
        <f t="shared" si="4"/>
        <v>#DIV/0!</v>
      </c>
      <c r="X26" s="703"/>
    </row>
    <row r="27" spans="1:24" s="641" customFormat="1" x14ac:dyDescent="0.15">
      <c r="A27" s="706" t="s">
        <v>45</v>
      </c>
      <c r="B27" s="916" t="s">
        <v>70</v>
      </c>
      <c r="C27" s="916"/>
      <c r="D27" s="705" t="s">
        <v>25</v>
      </c>
      <c r="E27" s="668">
        <f t="shared" si="6"/>
        <v>5800</v>
      </c>
      <c r="F27" s="650">
        <f t="shared" si="6"/>
        <v>5800</v>
      </c>
      <c r="G27" s="650">
        <f t="shared" si="6"/>
        <v>5684</v>
      </c>
      <c r="H27" s="660">
        <f t="shared" si="0"/>
        <v>98</v>
      </c>
      <c r="I27" s="669">
        <f t="shared" si="6"/>
        <v>4894</v>
      </c>
      <c r="J27" s="682">
        <v>5800</v>
      </c>
      <c r="K27" s="656">
        <v>5800</v>
      </c>
      <c r="L27" s="656">
        <v>5684</v>
      </c>
      <c r="M27" s="651">
        <f t="shared" si="2"/>
        <v>98</v>
      </c>
      <c r="N27" s="683">
        <v>4894</v>
      </c>
      <c r="O27" s="697"/>
      <c r="P27" s="656"/>
      <c r="Q27" s="656"/>
      <c r="R27" s="651" t="e">
        <f t="shared" si="3"/>
        <v>#DIV/0!</v>
      </c>
      <c r="S27" s="683"/>
      <c r="T27" s="702"/>
      <c r="U27" s="661"/>
      <c r="V27" s="661"/>
      <c r="W27" s="651" t="e">
        <f t="shared" si="4"/>
        <v>#DIV/0!</v>
      </c>
      <c r="X27" s="703"/>
    </row>
    <row r="28" spans="1:24" s="641" customFormat="1" x14ac:dyDescent="0.15">
      <c r="A28" s="706" t="s">
        <v>51</v>
      </c>
      <c r="B28" s="916" t="s">
        <v>74</v>
      </c>
      <c r="C28" s="916"/>
      <c r="D28" s="705" t="s">
        <v>25</v>
      </c>
      <c r="E28" s="668">
        <f>SUM(J28,O28)</f>
        <v>50000</v>
      </c>
      <c r="F28" s="650">
        <f>SUM(P28,K28)</f>
        <v>180910</v>
      </c>
      <c r="G28" s="650">
        <f>SUM(L28,Q28)</f>
        <v>176156</v>
      </c>
      <c r="H28" s="660">
        <f t="shared" si="0"/>
        <v>97.372174009175836</v>
      </c>
      <c r="I28" s="669">
        <f>SUM(N28,S28)</f>
        <v>545197</v>
      </c>
      <c r="J28" s="682">
        <v>50000</v>
      </c>
      <c r="K28" s="656">
        <v>88910</v>
      </c>
      <c r="L28" s="656">
        <v>84156</v>
      </c>
      <c r="M28" s="651">
        <f t="shared" si="2"/>
        <v>94.653019907771906</v>
      </c>
      <c r="N28" s="683">
        <v>529741</v>
      </c>
      <c r="O28" s="697"/>
      <c r="P28" s="656">
        <v>92000</v>
      </c>
      <c r="Q28" s="656">
        <v>92000</v>
      </c>
      <c r="R28" s="651">
        <f t="shared" si="3"/>
        <v>100</v>
      </c>
      <c r="S28" s="683">
        <v>15456</v>
      </c>
      <c r="T28" s="702"/>
      <c r="U28" s="661"/>
      <c r="V28" s="661"/>
      <c r="W28" s="651" t="e">
        <f t="shared" si="4"/>
        <v>#DIV/0!</v>
      </c>
      <c r="X28" s="703"/>
    </row>
    <row r="29" spans="1:24" s="640" customFormat="1" x14ac:dyDescent="0.15">
      <c r="A29" s="706" t="s">
        <v>52</v>
      </c>
      <c r="B29" s="1233" t="s">
        <v>67</v>
      </c>
      <c r="C29" s="1233"/>
      <c r="D29" s="705" t="s">
        <v>25</v>
      </c>
      <c r="E29" s="668">
        <f t="shared" ref="E29:G31" si="7">SUM(J29,O29)</f>
        <v>1200</v>
      </c>
      <c r="F29" s="650">
        <f t="shared" si="7"/>
        <v>8200</v>
      </c>
      <c r="G29" s="650">
        <f t="shared" si="7"/>
        <v>8111</v>
      </c>
      <c r="H29" s="660">
        <f t="shared" si="0"/>
        <v>98.914634146341456</v>
      </c>
      <c r="I29" s="669">
        <f>SUM(N29,S29)</f>
        <v>2177</v>
      </c>
      <c r="J29" s="682">
        <v>1200</v>
      </c>
      <c r="K29" s="656">
        <v>8200</v>
      </c>
      <c r="L29" s="656">
        <v>8111</v>
      </c>
      <c r="M29" s="651">
        <f t="shared" si="2"/>
        <v>98.914634146341456</v>
      </c>
      <c r="N29" s="683">
        <v>2177</v>
      </c>
      <c r="O29" s="697"/>
      <c r="P29" s="656"/>
      <c r="Q29" s="656"/>
      <c r="R29" s="651" t="e">
        <f t="shared" si="3"/>
        <v>#DIV/0!</v>
      </c>
      <c r="S29" s="683"/>
      <c r="T29" s="702"/>
      <c r="U29" s="661"/>
      <c r="V29" s="661"/>
      <c r="W29" s="651" t="e">
        <f t="shared" si="4"/>
        <v>#DIV/0!</v>
      </c>
      <c r="X29" s="703"/>
    </row>
    <row r="30" spans="1:24" s="636" customFormat="1" x14ac:dyDescent="0.15">
      <c r="A30" s="706" t="s">
        <v>54</v>
      </c>
      <c r="B30" s="916" t="s">
        <v>53</v>
      </c>
      <c r="C30" s="916"/>
      <c r="D30" s="705" t="s">
        <v>25</v>
      </c>
      <c r="E30" s="668">
        <f t="shared" si="7"/>
        <v>0</v>
      </c>
      <c r="F30" s="650">
        <f t="shared" si="7"/>
        <v>0</v>
      </c>
      <c r="G30" s="650">
        <f t="shared" si="7"/>
        <v>0</v>
      </c>
      <c r="H30" s="660" t="e">
        <f t="shared" si="0"/>
        <v>#DIV/0!</v>
      </c>
      <c r="I30" s="669">
        <f>SUM(N30,S30)</f>
        <v>0</v>
      </c>
      <c r="J30" s="682"/>
      <c r="K30" s="656"/>
      <c r="L30" s="656"/>
      <c r="M30" s="651" t="e">
        <f t="shared" si="2"/>
        <v>#DIV/0!</v>
      </c>
      <c r="N30" s="683"/>
      <c r="O30" s="697"/>
      <c r="P30" s="656"/>
      <c r="Q30" s="656"/>
      <c r="R30" s="651" t="e">
        <f t="shared" si="3"/>
        <v>#DIV/0!</v>
      </c>
      <c r="S30" s="683"/>
      <c r="T30" s="702"/>
      <c r="U30" s="661"/>
      <c r="V30" s="661"/>
      <c r="W30" s="651" t="e">
        <f t="shared" si="4"/>
        <v>#DIV/0!</v>
      </c>
      <c r="X30" s="703"/>
    </row>
    <row r="31" spans="1:24" s="644" customFormat="1" ht="8.4" x14ac:dyDescent="0.2">
      <c r="A31" s="706" t="s">
        <v>55</v>
      </c>
      <c r="B31" s="653" t="s">
        <v>71</v>
      </c>
      <c r="C31" s="653"/>
      <c r="D31" s="705" t="s">
        <v>25</v>
      </c>
      <c r="E31" s="668">
        <f t="shared" si="7"/>
        <v>0</v>
      </c>
      <c r="F31" s="650">
        <f t="shared" si="7"/>
        <v>0</v>
      </c>
      <c r="G31" s="650">
        <f t="shared" si="7"/>
        <v>0</v>
      </c>
      <c r="H31" s="660" t="e">
        <f t="shared" si="0"/>
        <v>#DIV/0!</v>
      </c>
      <c r="I31" s="669">
        <f>SUM(N31,S31)</f>
        <v>0</v>
      </c>
      <c r="J31" s="682"/>
      <c r="K31" s="662"/>
      <c r="L31" s="662"/>
      <c r="M31" s="651" t="e">
        <f t="shared" si="2"/>
        <v>#DIV/0!</v>
      </c>
      <c r="N31" s="685"/>
      <c r="O31" s="698"/>
      <c r="P31" s="662"/>
      <c r="Q31" s="662"/>
      <c r="R31" s="651" t="e">
        <f t="shared" si="3"/>
        <v>#DIV/0!</v>
      </c>
      <c r="S31" s="685"/>
      <c r="T31" s="699"/>
      <c r="U31" s="663"/>
      <c r="V31" s="663"/>
      <c r="W31" s="651" t="e">
        <f t="shared" si="4"/>
        <v>#DIV/0!</v>
      </c>
      <c r="X31" s="687"/>
    </row>
    <row r="32" spans="1:24" s="644" customFormat="1" x14ac:dyDescent="0.15">
      <c r="A32" s="708" t="s">
        <v>56</v>
      </c>
      <c r="B32" s="919" t="s">
        <v>72</v>
      </c>
      <c r="C32" s="919"/>
      <c r="D32" s="705" t="s">
        <v>25</v>
      </c>
      <c r="E32" s="668">
        <f>SUM(J32,O32)</f>
        <v>0</v>
      </c>
      <c r="F32" s="650">
        <f>SUM(K32,P32)</f>
        <v>0</v>
      </c>
      <c r="G32" s="650">
        <f>SUM(L32,Q32)</f>
        <v>0</v>
      </c>
      <c r="H32" s="660" t="e">
        <f t="shared" si="0"/>
        <v>#DIV/0!</v>
      </c>
      <c r="I32" s="669">
        <f>SUM(N32,S32)</f>
        <v>0</v>
      </c>
      <c r="J32" s="686"/>
      <c r="K32" s="663"/>
      <c r="L32" s="663"/>
      <c r="M32" s="651" t="e">
        <f t="shared" si="2"/>
        <v>#DIV/0!</v>
      </c>
      <c r="N32" s="687"/>
      <c r="O32" s="699"/>
      <c r="P32" s="663"/>
      <c r="Q32" s="663"/>
      <c r="R32" s="651" t="e">
        <f t="shared" si="3"/>
        <v>#DIV/0!</v>
      </c>
      <c r="S32" s="687"/>
      <c r="T32" s="699"/>
      <c r="U32" s="663"/>
      <c r="V32" s="663"/>
      <c r="W32" s="651" t="e">
        <f t="shared" si="4"/>
        <v>#DIV/0!</v>
      </c>
      <c r="X32" s="687"/>
    </row>
    <row r="33" spans="1:24" s="644" customFormat="1" x14ac:dyDescent="0.15">
      <c r="A33" s="704" t="s">
        <v>57</v>
      </c>
      <c r="B33" s="917" t="s">
        <v>58</v>
      </c>
      <c r="C33" s="917"/>
      <c r="D33" s="705" t="s">
        <v>25</v>
      </c>
      <c r="E33" s="666">
        <f>E6-E11</f>
        <v>0</v>
      </c>
      <c r="F33" s="646">
        <f t="shared" ref="F33:G33" si="8">F6-F11</f>
        <v>0</v>
      </c>
      <c r="G33" s="646">
        <f t="shared" si="8"/>
        <v>98770</v>
      </c>
      <c r="H33" s="664" t="e">
        <f t="shared" si="0"/>
        <v>#DIV/0!</v>
      </c>
      <c r="I33" s="667">
        <f t="shared" ref="I33:L33" si="9">I6-I11</f>
        <v>93601</v>
      </c>
      <c r="J33" s="666">
        <f t="shared" si="9"/>
        <v>0</v>
      </c>
      <c r="K33" s="646">
        <f t="shared" si="9"/>
        <v>0</v>
      </c>
      <c r="L33" s="646">
        <f t="shared" si="9"/>
        <v>98770</v>
      </c>
      <c r="M33" s="643" t="e">
        <f t="shared" si="2"/>
        <v>#DIV/0!</v>
      </c>
      <c r="N33" s="667">
        <f t="shared" ref="N33:Q33" si="10">N6-N11</f>
        <v>93601</v>
      </c>
      <c r="O33" s="666">
        <f t="shared" si="10"/>
        <v>0</v>
      </c>
      <c r="P33" s="646">
        <f t="shared" si="10"/>
        <v>0</v>
      </c>
      <c r="Q33" s="646">
        <f t="shared" si="10"/>
        <v>0</v>
      </c>
      <c r="R33" s="643" t="e">
        <f t="shared" si="3"/>
        <v>#DIV/0!</v>
      </c>
      <c r="S33" s="667">
        <f t="shared" ref="S33:V33" si="11">S6-S11</f>
        <v>0</v>
      </c>
      <c r="T33" s="666">
        <f t="shared" si="11"/>
        <v>0</v>
      </c>
      <c r="U33" s="646">
        <f t="shared" si="11"/>
        <v>0</v>
      </c>
      <c r="V33" s="646">
        <f t="shared" si="11"/>
        <v>0</v>
      </c>
      <c r="W33" s="651" t="e">
        <f t="shared" si="4"/>
        <v>#DIV/0!</v>
      </c>
      <c r="X33" s="667">
        <f>X6-X11</f>
        <v>0</v>
      </c>
    </row>
    <row r="34" spans="1:24" s="645" customFormat="1" x14ac:dyDescent="0.15">
      <c r="A34" s="709" t="s">
        <v>59</v>
      </c>
      <c r="B34" s="1239" t="s">
        <v>24</v>
      </c>
      <c r="C34" s="1239"/>
      <c r="D34" s="710" t="s">
        <v>25</v>
      </c>
      <c r="E34" s="672">
        <v>24450</v>
      </c>
      <c r="F34" s="665">
        <v>25292</v>
      </c>
      <c r="G34" s="665">
        <v>25310</v>
      </c>
      <c r="H34" s="660">
        <f t="shared" si="0"/>
        <v>100.07116874901155</v>
      </c>
      <c r="I34" s="673">
        <v>23799</v>
      </c>
      <c r="J34" s="688">
        <v>24050</v>
      </c>
      <c r="K34" s="648">
        <v>24976</v>
      </c>
      <c r="L34" s="648">
        <v>25156</v>
      </c>
      <c r="M34" s="651">
        <f t="shared" si="2"/>
        <v>100.72069186418962</v>
      </c>
      <c r="N34" s="689">
        <v>23843</v>
      </c>
      <c r="O34" s="688">
        <v>25416</v>
      </c>
      <c r="P34" s="648">
        <v>25877</v>
      </c>
      <c r="Q34" s="648">
        <v>25771</v>
      </c>
      <c r="R34" s="651">
        <f t="shared" si="3"/>
        <v>99.59036982648685</v>
      </c>
      <c r="S34" s="689">
        <v>23754</v>
      </c>
      <c r="T34" s="688"/>
      <c r="U34" s="648"/>
      <c r="V34" s="648"/>
      <c r="W34" s="651" t="e">
        <f t="shared" si="4"/>
        <v>#DIV/0!</v>
      </c>
      <c r="X34" s="689"/>
    </row>
    <row r="35" spans="1:24" s="645" customFormat="1" x14ac:dyDescent="0.15">
      <c r="A35" s="711" t="s">
        <v>60</v>
      </c>
      <c r="B35" s="1240" t="s">
        <v>33</v>
      </c>
      <c r="C35" s="1240"/>
      <c r="D35" s="712" t="s">
        <v>26</v>
      </c>
      <c r="E35" s="260">
        <v>21.8</v>
      </c>
      <c r="F35" s="198">
        <v>21.8</v>
      </c>
      <c r="G35" s="198">
        <v>21.8</v>
      </c>
      <c r="H35" s="660">
        <f t="shared" si="0"/>
        <v>100</v>
      </c>
      <c r="I35" s="434">
        <v>21.8</v>
      </c>
      <c r="J35" s="435">
        <v>18</v>
      </c>
      <c r="K35" s="243">
        <v>18</v>
      </c>
      <c r="L35" s="243">
        <v>18</v>
      </c>
      <c r="M35" s="651">
        <f t="shared" si="2"/>
        <v>100</v>
      </c>
      <c r="N35" s="437">
        <v>18</v>
      </c>
      <c r="O35" s="435">
        <v>3.8</v>
      </c>
      <c r="P35" s="243">
        <v>3.8</v>
      </c>
      <c r="Q35" s="243">
        <v>3.8</v>
      </c>
      <c r="R35" s="651">
        <f t="shared" si="3"/>
        <v>100</v>
      </c>
      <c r="S35" s="437">
        <v>3.8</v>
      </c>
      <c r="T35" s="688"/>
      <c r="U35" s="648"/>
      <c r="V35" s="648"/>
      <c r="W35" s="651" t="e">
        <f t="shared" si="4"/>
        <v>#DIV/0!</v>
      </c>
      <c r="X35" s="689"/>
    </row>
    <row r="36" spans="1:24" s="645" customFormat="1" ht="8.4" thickBot="1" x14ac:dyDescent="0.2">
      <c r="A36" s="713" t="s">
        <v>61</v>
      </c>
      <c r="B36" s="1241" t="s">
        <v>27</v>
      </c>
      <c r="C36" s="1241"/>
      <c r="D36" s="714" t="s">
        <v>26</v>
      </c>
      <c r="E36" s="674">
        <v>22</v>
      </c>
      <c r="F36" s="675">
        <v>22</v>
      </c>
      <c r="G36" s="675">
        <v>22</v>
      </c>
      <c r="H36" s="676">
        <f t="shared" si="0"/>
        <v>100</v>
      </c>
      <c r="I36" s="677">
        <v>22</v>
      </c>
      <c r="J36" s="690">
        <v>20</v>
      </c>
      <c r="K36" s="691">
        <v>20</v>
      </c>
      <c r="L36" s="691">
        <v>20</v>
      </c>
      <c r="M36" s="692">
        <f t="shared" si="2"/>
        <v>100</v>
      </c>
      <c r="N36" s="693">
        <v>20</v>
      </c>
      <c r="O36" s="690">
        <v>2</v>
      </c>
      <c r="P36" s="691">
        <v>2</v>
      </c>
      <c r="Q36" s="691">
        <v>2</v>
      </c>
      <c r="R36" s="692">
        <f t="shared" si="3"/>
        <v>100</v>
      </c>
      <c r="S36" s="693">
        <v>2</v>
      </c>
      <c r="T36" s="690"/>
      <c r="U36" s="691"/>
      <c r="V36" s="691"/>
      <c r="W36" s="692" t="e">
        <f t="shared" si="4"/>
        <v>#DIV/0!</v>
      </c>
      <c r="X36" s="693"/>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97" fitToHeight="6" orientation="landscape" useFirstPageNumber="1" r:id="rId1"/>
  <headerFoot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zoomScaleNormal="100" workbookViewId="0"/>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928" customFormat="1" ht="17.399999999999999" x14ac:dyDescent="0.3">
      <c r="A1" s="928" t="s">
        <v>1011</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920" t="s">
        <v>25</v>
      </c>
      <c r="D5" s="1256" t="s">
        <v>103</v>
      </c>
      <c r="E5" s="1256"/>
      <c r="F5" s="1256"/>
      <c r="G5" s="1256"/>
      <c r="H5" s="1256"/>
      <c r="I5" s="1256"/>
    </row>
    <row r="6" spans="1:9" s="8" customFormat="1" ht="15" customHeight="1" x14ac:dyDescent="0.2">
      <c r="A6" s="1267" t="s">
        <v>104</v>
      </c>
      <c r="B6" s="1267"/>
      <c r="C6" s="113">
        <f>SUM(C7:C9)</f>
        <v>98769.87</v>
      </c>
      <c r="D6" s="1262"/>
      <c r="E6" s="1263"/>
      <c r="F6" s="1263"/>
      <c r="G6" s="1263"/>
      <c r="H6" s="1263"/>
      <c r="I6" s="1263"/>
    </row>
    <row r="7" spans="1:9" s="8" customFormat="1" ht="29.25" customHeight="1" x14ac:dyDescent="0.2">
      <c r="A7" s="1257" t="s">
        <v>77</v>
      </c>
      <c r="B7" s="1258"/>
      <c r="C7" s="114">
        <v>98769.87</v>
      </c>
      <c r="D7" s="1261" t="s">
        <v>1012</v>
      </c>
      <c r="E7" s="1261"/>
      <c r="F7" s="1261"/>
      <c r="G7" s="1261"/>
      <c r="H7" s="1261"/>
      <c r="I7" s="1261"/>
    </row>
    <row r="8" spans="1:9" s="7" customFormat="1" ht="29.25" customHeight="1" x14ac:dyDescent="0.2">
      <c r="A8" s="1259" t="s">
        <v>78</v>
      </c>
      <c r="B8" s="1260"/>
      <c r="C8" s="115">
        <v>0</v>
      </c>
      <c r="D8" s="1261"/>
      <c r="E8" s="1261"/>
      <c r="F8" s="1261"/>
      <c r="G8" s="1261"/>
      <c r="H8" s="1261"/>
      <c r="I8" s="1261"/>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920" t="s">
        <v>76</v>
      </c>
      <c r="B13" s="920" t="s">
        <v>80</v>
      </c>
      <c r="C13" s="920"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23" t="s">
        <v>98</v>
      </c>
      <c r="C15" s="124">
        <v>0</v>
      </c>
      <c r="D15" s="121"/>
      <c r="E15" s="122"/>
      <c r="F15" s="122"/>
      <c r="G15" s="122"/>
      <c r="H15" s="122"/>
      <c r="I15" s="122"/>
    </row>
    <row r="16" spans="1:9" s="8" customFormat="1" ht="15" customHeight="1" x14ac:dyDescent="0.2">
      <c r="A16" s="1250"/>
      <c r="B16" s="14" t="s">
        <v>83</v>
      </c>
      <c r="C16" s="125">
        <v>98769.87</v>
      </c>
      <c r="D16" s="126"/>
      <c r="E16" s="127"/>
      <c r="F16" s="127"/>
      <c r="G16" s="127"/>
      <c r="H16" s="127"/>
      <c r="I16" s="127"/>
    </row>
    <row r="17" spans="1:9" s="8" customFormat="1" ht="15" customHeight="1" x14ac:dyDescent="0.2">
      <c r="A17" s="1251"/>
      <c r="B17" s="15" t="s">
        <v>84</v>
      </c>
      <c r="C17" s="128">
        <v>0</v>
      </c>
      <c r="D17" s="129"/>
      <c r="E17" s="130"/>
      <c r="F17" s="130"/>
      <c r="G17" s="130"/>
      <c r="H17" s="130"/>
      <c r="I17" s="130"/>
    </row>
    <row r="18" spans="1:9" s="8" customFormat="1" ht="15" customHeight="1" x14ac:dyDescent="0.2">
      <c r="A18" s="921" t="s">
        <v>104</v>
      </c>
      <c r="B18" s="16"/>
      <c r="C18" s="131">
        <f>SUM(C14:C17)</f>
        <v>98769.87</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920" t="s">
        <v>80</v>
      </c>
      <c r="B22" s="920" t="s">
        <v>109</v>
      </c>
      <c r="C22" s="926" t="s">
        <v>110</v>
      </c>
      <c r="D22" s="920" t="s">
        <v>111</v>
      </c>
      <c r="E22" s="920" t="s">
        <v>112</v>
      </c>
      <c r="F22" s="1256" t="s">
        <v>113</v>
      </c>
      <c r="G22" s="1256"/>
      <c r="H22" s="1256"/>
      <c r="I22" s="1256"/>
    </row>
    <row r="23" spans="1:9" s="8" customFormat="1" ht="60" customHeight="1" x14ac:dyDescent="0.2">
      <c r="A23" s="17" t="s">
        <v>85</v>
      </c>
      <c r="B23" s="139">
        <v>136171.97</v>
      </c>
      <c r="C23" s="139">
        <v>93601.46</v>
      </c>
      <c r="D23" s="139">
        <v>90746.71</v>
      </c>
      <c r="E23" s="139">
        <f>B23+C23-D23</f>
        <v>139026.71999999997</v>
      </c>
      <c r="F23" s="1253" t="s">
        <v>1013</v>
      </c>
      <c r="G23" s="1254"/>
      <c r="H23" s="1254"/>
      <c r="I23" s="1255"/>
    </row>
    <row r="24" spans="1:9" s="8" customFormat="1" ht="60.75" customHeight="1" x14ac:dyDescent="0.2">
      <c r="A24" s="14" t="s">
        <v>86</v>
      </c>
      <c r="B24" s="140">
        <v>185989.2</v>
      </c>
      <c r="C24" s="140">
        <v>444690</v>
      </c>
      <c r="D24" s="140">
        <v>395215</v>
      </c>
      <c r="E24" s="140">
        <f t="shared" ref="E24:E26" si="0">B24+C24-D24</f>
        <v>235464.19999999995</v>
      </c>
      <c r="F24" s="1242" t="s">
        <v>1014</v>
      </c>
      <c r="G24" s="1243"/>
      <c r="H24" s="1243"/>
      <c r="I24" s="1244"/>
    </row>
    <row r="25" spans="1:9" s="8" customFormat="1" ht="41.1" customHeight="1" x14ac:dyDescent="0.2">
      <c r="A25" s="14" t="s">
        <v>84</v>
      </c>
      <c r="B25" s="140">
        <v>110135</v>
      </c>
      <c r="C25" s="140">
        <v>0</v>
      </c>
      <c r="D25" s="140">
        <v>0</v>
      </c>
      <c r="E25" s="140">
        <f t="shared" si="0"/>
        <v>110135</v>
      </c>
      <c r="F25" s="1242" t="s">
        <v>1015</v>
      </c>
      <c r="G25" s="1243"/>
      <c r="H25" s="1243"/>
      <c r="I25" s="1244"/>
    </row>
    <row r="26" spans="1:9" s="8" customFormat="1" ht="41.1" customHeight="1" x14ac:dyDescent="0.2">
      <c r="A26" s="15" t="s">
        <v>87</v>
      </c>
      <c r="B26" s="141">
        <v>47881.04</v>
      </c>
      <c r="C26" s="141">
        <v>134542</v>
      </c>
      <c r="D26" s="141">
        <v>157216</v>
      </c>
      <c r="E26" s="140">
        <f t="shared" si="0"/>
        <v>25207.040000000008</v>
      </c>
      <c r="F26" s="1245" t="s">
        <v>1016</v>
      </c>
      <c r="G26" s="1246"/>
      <c r="H26" s="1246"/>
      <c r="I26" s="1247"/>
    </row>
    <row r="27" spans="1:9" s="7" customFormat="1" ht="10.199999999999999" x14ac:dyDescent="0.2">
      <c r="A27" s="10" t="s">
        <v>34</v>
      </c>
      <c r="B27" s="113">
        <f>SUM(B23:B26)</f>
        <v>480177.21</v>
      </c>
      <c r="C27" s="113">
        <f t="shared" ref="C27:E27" si="1">SUM(C23:C26)</f>
        <v>672833.46</v>
      </c>
      <c r="D27" s="113">
        <f t="shared" si="1"/>
        <v>643177.71</v>
      </c>
      <c r="E27" s="113">
        <f t="shared" si="1"/>
        <v>509832.95999999996</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920" t="s">
        <v>88</v>
      </c>
      <c r="B31" s="920" t="s">
        <v>25</v>
      </c>
      <c r="C31" s="926" t="s">
        <v>89</v>
      </c>
      <c r="D31" s="1256" t="s">
        <v>90</v>
      </c>
      <c r="E31" s="1256"/>
      <c r="F31" s="1256"/>
      <c r="G31" s="1256"/>
      <c r="H31" s="1256"/>
      <c r="I31" s="1256"/>
    </row>
    <row r="32" spans="1:9" s="8" customFormat="1" ht="49.5" customHeight="1" x14ac:dyDescent="0.2">
      <c r="A32" s="19" t="s">
        <v>1017</v>
      </c>
      <c r="B32" s="139">
        <v>24260</v>
      </c>
      <c r="C32" s="20"/>
      <c r="D32" s="1270" t="s">
        <v>1018</v>
      </c>
      <c r="E32" s="1271"/>
      <c r="F32" s="1271"/>
      <c r="G32" s="1271"/>
      <c r="H32" s="1271"/>
      <c r="I32" s="1272"/>
    </row>
    <row r="33" spans="1:9" s="7" customFormat="1" ht="10.199999999999999" x14ac:dyDescent="0.2">
      <c r="A33" s="10" t="s">
        <v>34</v>
      </c>
      <c r="B33" s="113">
        <f>SUM(B32:B32)</f>
        <v>24260</v>
      </c>
      <c r="C33" s="1276"/>
      <c r="D33" s="1277"/>
      <c r="E33" s="1277"/>
      <c r="F33" s="1277"/>
      <c r="G33" s="1277"/>
      <c r="H33" s="1277"/>
      <c r="I33" s="1278"/>
    </row>
    <row r="34" spans="1:9" s="8" customFormat="1" ht="10.199999999999999" x14ac:dyDescent="0.2">
      <c r="C34" s="116"/>
    </row>
    <row r="35" spans="1:9" s="8" customFormat="1" ht="10.199999999999999" x14ac:dyDescent="0.2">
      <c r="A35" s="1248" t="s">
        <v>119</v>
      </c>
      <c r="B35" s="1248"/>
      <c r="C35" s="1248"/>
      <c r="D35" s="1248"/>
      <c r="E35" s="1248"/>
      <c r="F35" s="1248"/>
      <c r="G35" s="1248"/>
      <c r="H35" s="1248"/>
      <c r="I35" s="1248"/>
    </row>
    <row r="36" spans="1:9" s="8" customFormat="1" ht="10.199999999999999" x14ac:dyDescent="0.2">
      <c r="C36" s="116"/>
    </row>
    <row r="37" spans="1:9" s="8" customFormat="1" ht="10.199999999999999" x14ac:dyDescent="0.2">
      <c r="A37" s="920" t="s">
        <v>88</v>
      </c>
      <c r="B37" s="920" t="s">
        <v>25</v>
      </c>
      <c r="C37" s="926" t="s">
        <v>89</v>
      </c>
      <c r="D37" s="1279" t="s">
        <v>90</v>
      </c>
      <c r="E37" s="1279"/>
      <c r="F37" s="1279"/>
      <c r="G37" s="1279"/>
      <c r="H37" s="1279"/>
      <c r="I37" s="1280"/>
    </row>
    <row r="38" spans="1:9" s="8" customFormat="1" ht="15" customHeight="1" x14ac:dyDescent="0.2">
      <c r="A38" s="19" t="s">
        <v>1019</v>
      </c>
      <c r="B38" s="139"/>
      <c r="C38" s="20"/>
      <c r="D38" s="1242"/>
      <c r="E38" s="1281"/>
      <c r="F38" s="1281"/>
      <c r="G38" s="1281"/>
      <c r="H38" s="1281"/>
      <c r="I38" s="1282"/>
    </row>
    <row r="39" spans="1:9" s="7" customFormat="1" ht="10.199999999999999" x14ac:dyDescent="0.2">
      <c r="A39" s="10" t="s">
        <v>34</v>
      </c>
      <c r="B39" s="113">
        <f>SUM(B38:B38)</f>
        <v>0</v>
      </c>
      <c r="C39" s="1283"/>
      <c r="D39" s="1284"/>
      <c r="E39" s="1284"/>
      <c r="F39" s="1284"/>
      <c r="G39" s="1284"/>
      <c r="H39" s="1284"/>
      <c r="I39" s="1284"/>
    </row>
    <row r="40" spans="1:9" s="8" customFormat="1" ht="10.199999999999999" x14ac:dyDescent="0.2">
      <c r="C40" s="116"/>
    </row>
    <row r="41" spans="1:9" s="8" customFormat="1" ht="10.199999999999999" x14ac:dyDescent="0.2">
      <c r="A41" s="1248" t="s">
        <v>120</v>
      </c>
      <c r="B41" s="1248"/>
      <c r="C41" s="1248"/>
      <c r="D41" s="1248"/>
      <c r="E41" s="1248"/>
      <c r="F41" s="1248"/>
      <c r="G41" s="1248"/>
      <c r="H41" s="1248"/>
      <c r="I41" s="1248"/>
    </row>
    <row r="42" spans="1:9" s="8" customFormat="1" ht="10.199999999999999" x14ac:dyDescent="0.2">
      <c r="C42" s="116"/>
    </row>
    <row r="43" spans="1:9" s="8" customFormat="1" ht="10.199999999999999" x14ac:dyDescent="0.2">
      <c r="A43" s="922" t="s">
        <v>25</v>
      </c>
      <c r="B43" s="923" t="s">
        <v>122</v>
      </c>
      <c r="C43" s="1285" t="s">
        <v>91</v>
      </c>
      <c r="D43" s="1285"/>
      <c r="E43" s="1285"/>
      <c r="F43" s="1285"/>
      <c r="G43" s="1285"/>
      <c r="H43" s="1285"/>
      <c r="I43" s="1286"/>
    </row>
    <row r="44" spans="1:9" s="8" customFormat="1" ht="10.199999999999999" x14ac:dyDescent="0.2">
      <c r="A44" s="140" t="s">
        <v>1020</v>
      </c>
      <c r="B44" s="140"/>
      <c r="C44" s="1287"/>
      <c r="D44" s="1287"/>
      <c r="E44" s="1287"/>
      <c r="F44" s="1287"/>
      <c r="G44" s="1287"/>
      <c r="H44" s="1287"/>
      <c r="I44" s="1287"/>
    </row>
    <row r="45" spans="1:9" s="8" customFormat="1" ht="10.199999999999999" x14ac:dyDescent="0.2">
      <c r="C45" s="116"/>
    </row>
    <row r="46" spans="1:9" s="8" customFormat="1" ht="10.199999999999999" x14ac:dyDescent="0.2">
      <c r="A46" s="1248" t="s">
        <v>123</v>
      </c>
      <c r="B46" s="1248"/>
      <c r="C46" s="1248"/>
      <c r="D46" s="1248"/>
      <c r="E46" s="1248"/>
      <c r="F46" s="1248"/>
      <c r="G46" s="1248"/>
      <c r="H46" s="1248"/>
      <c r="I46" s="1248"/>
    </row>
    <row r="47" spans="1:9" s="8" customFormat="1" ht="10.199999999999999" x14ac:dyDescent="0.2">
      <c r="C47" s="116"/>
    </row>
    <row r="48" spans="1:9" s="23" customFormat="1" ht="10.199999999999999" x14ac:dyDescent="0.2">
      <c r="A48" s="1256" t="s">
        <v>92</v>
      </c>
      <c r="B48" s="1256"/>
      <c r="C48" s="926" t="s">
        <v>93</v>
      </c>
      <c r="D48" s="920" t="s">
        <v>94</v>
      </c>
      <c r="E48" s="920" t="s">
        <v>25</v>
      </c>
    </row>
    <row r="49" spans="1:5" s="8" customFormat="1" ht="11.25" customHeight="1" x14ac:dyDescent="0.2">
      <c r="A49" s="1399" t="s">
        <v>1021</v>
      </c>
      <c r="B49" s="1400"/>
      <c r="C49" s="962">
        <v>43473</v>
      </c>
      <c r="D49" s="962">
        <v>43543</v>
      </c>
      <c r="E49" s="145">
        <v>272000</v>
      </c>
    </row>
    <row r="50" spans="1:5" s="8" customFormat="1" ht="11.25" customHeight="1" x14ac:dyDescent="0.2">
      <c r="A50" s="1295" t="s">
        <v>1022</v>
      </c>
      <c r="B50" s="1296"/>
      <c r="C50" s="962">
        <v>43473</v>
      </c>
      <c r="D50" s="962">
        <v>43543</v>
      </c>
      <c r="E50" s="27">
        <v>200000</v>
      </c>
    </row>
    <row r="51" spans="1:5" s="8" customFormat="1" ht="11.25" customHeight="1" x14ac:dyDescent="0.2">
      <c r="A51" s="1295" t="s">
        <v>1023</v>
      </c>
      <c r="B51" s="1296"/>
      <c r="C51" s="962">
        <v>43473</v>
      </c>
      <c r="D51" s="962">
        <v>43543</v>
      </c>
      <c r="E51" s="27">
        <v>68000</v>
      </c>
    </row>
    <row r="52" spans="1:5" s="8" customFormat="1" ht="11.25" customHeight="1" x14ac:dyDescent="0.2">
      <c r="A52" s="1295" t="s">
        <v>1024</v>
      </c>
      <c r="B52" s="1296"/>
      <c r="C52" s="962">
        <v>43473</v>
      </c>
      <c r="D52" s="962">
        <v>43543</v>
      </c>
      <c r="E52" s="27">
        <v>4000</v>
      </c>
    </row>
    <row r="53" spans="1:5" s="8" customFormat="1" ht="11.25" customHeight="1" x14ac:dyDescent="0.2">
      <c r="A53" s="1295" t="s">
        <v>1025</v>
      </c>
      <c r="B53" s="1296"/>
      <c r="C53" s="963">
        <v>43249</v>
      </c>
      <c r="D53" s="963">
        <v>43529</v>
      </c>
      <c r="E53" s="27">
        <v>58250</v>
      </c>
    </row>
    <row r="54" spans="1:5" s="8" customFormat="1" ht="11.25" customHeight="1" x14ac:dyDescent="0.2">
      <c r="A54" s="1295" t="s">
        <v>1026</v>
      </c>
      <c r="B54" s="1296"/>
      <c r="C54" s="963">
        <v>43249</v>
      </c>
      <c r="D54" s="963">
        <v>43529</v>
      </c>
      <c r="E54" s="27">
        <v>58250</v>
      </c>
    </row>
    <row r="55" spans="1:5" s="8" customFormat="1" ht="11.25" customHeight="1" x14ac:dyDescent="0.2">
      <c r="A55" s="1295" t="s">
        <v>1027</v>
      </c>
      <c r="B55" s="1296"/>
      <c r="C55" s="963">
        <v>43599</v>
      </c>
      <c r="D55" s="963">
        <v>43613</v>
      </c>
      <c r="E55" s="27">
        <v>15000</v>
      </c>
    </row>
    <row r="56" spans="1:5" s="8" customFormat="1" ht="11.25" customHeight="1" x14ac:dyDescent="0.2">
      <c r="A56" s="1295" t="s">
        <v>1028</v>
      </c>
      <c r="B56" s="1296"/>
      <c r="C56" s="963">
        <v>43599</v>
      </c>
      <c r="D56" s="963">
        <v>43613</v>
      </c>
      <c r="E56" s="27">
        <v>4000</v>
      </c>
    </row>
    <row r="57" spans="1:5" s="8" customFormat="1" ht="11.25" customHeight="1" x14ac:dyDescent="0.2">
      <c r="A57" s="1295" t="s">
        <v>1029</v>
      </c>
      <c r="B57" s="1296"/>
      <c r="C57" s="963">
        <v>43599</v>
      </c>
      <c r="D57" s="963">
        <v>43613</v>
      </c>
      <c r="E57" s="27">
        <v>11000</v>
      </c>
    </row>
    <row r="58" spans="1:5" s="8" customFormat="1" ht="11.25" customHeight="1" x14ac:dyDescent="0.2">
      <c r="A58" s="1295" t="s">
        <v>1030</v>
      </c>
      <c r="B58" s="1296"/>
      <c r="C58" s="963">
        <v>43591</v>
      </c>
      <c r="D58" s="963">
        <v>43616</v>
      </c>
      <c r="E58" s="27">
        <v>-7000</v>
      </c>
    </row>
    <row r="59" spans="1:5" s="8" customFormat="1" ht="11.25" customHeight="1" x14ac:dyDescent="0.2">
      <c r="A59" s="1295" t="s">
        <v>1031</v>
      </c>
      <c r="B59" s="1296"/>
      <c r="C59" s="963">
        <v>43591</v>
      </c>
      <c r="D59" s="963">
        <v>43616</v>
      </c>
      <c r="E59" s="27">
        <v>7000</v>
      </c>
    </row>
    <row r="60" spans="1:5" s="8" customFormat="1" ht="11.25" customHeight="1" x14ac:dyDescent="0.2">
      <c r="A60" s="1295" t="s">
        <v>1032</v>
      </c>
      <c r="B60" s="1296"/>
      <c r="C60" s="963">
        <v>43599</v>
      </c>
      <c r="D60" s="963">
        <v>43677</v>
      </c>
      <c r="E60" s="27">
        <v>47604</v>
      </c>
    </row>
    <row r="61" spans="1:5" s="8" customFormat="1" ht="11.25" customHeight="1" x14ac:dyDescent="0.2">
      <c r="A61" s="1295" t="s">
        <v>1033</v>
      </c>
      <c r="B61" s="1296"/>
      <c r="C61" s="963">
        <v>43599</v>
      </c>
      <c r="D61" s="963">
        <v>43677</v>
      </c>
      <c r="E61" s="27">
        <v>47604</v>
      </c>
    </row>
    <row r="62" spans="1:5" s="8" customFormat="1" ht="11.25" customHeight="1" x14ac:dyDescent="0.2">
      <c r="A62" s="924" t="s">
        <v>1034</v>
      </c>
      <c r="B62" s="925"/>
      <c r="C62" s="963">
        <v>43774</v>
      </c>
      <c r="D62" s="963">
        <v>43774</v>
      </c>
      <c r="E62" s="27">
        <v>44200</v>
      </c>
    </row>
    <row r="63" spans="1:5" s="8" customFormat="1" ht="11.25" customHeight="1" x14ac:dyDescent="0.2">
      <c r="A63" s="924" t="s">
        <v>1035</v>
      </c>
      <c r="B63" s="925"/>
      <c r="C63" s="963">
        <v>43774</v>
      </c>
      <c r="D63" s="963">
        <v>43774</v>
      </c>
      <c r="E63" s="27">
        <v>33910</v>
      </c>
    </row>
    <row r="64" spans="1:5" s="8" customFormat="1" ht="11.25" customHeight="1" x14ac:dyDescent="0.2">
      <c r="A64" s="924" t="s">
        <v>1036</v>
      </c>
      <c r="B64" s="925"/>
      <c r="C64" s="963">
        <v>43774</v>
      </c>
      <c r="D64" s="963">
        <v>43774</v>
      </c>
      <c r="E64" s="27">
        <v>10290</v>
      </c>
    </row>
    <row r="65" spans="1:9" s="8" customFormat="1" ht="11.25" customHeight="1" x14ac:dyDescent="0.2">
      <c r="A65" s="924" t="s">
        <v>1037</v>
      </c>
      <c r="B65" s="925"/>
      <c r="C65" s="963">
        <v>43788</v>
      </c>
      <c r="D65" s="963">
        <v>43799</v>
      </c>
      <c r="E65" s="27">
        <v>200000</v>
      </c>
    </row>
    <row r="66" spans="1:9" s="8" customFormat="1" ht="11.25" customHeight="1" x14ac:dyDescent="0.2">
      <c r="A66" s="924" t="s">
        <v>1038</v>
      </c>
      <c r="B66" s="925"/>
      <c r="C66" s="963">
        <v>43788</v>
      </c>
      <c r="D66" s="963">
        <v>43799</v>
      </c>
      <c r="E66" s="27">
        <v>200000</v>
      </c>
    </row>
    <row r="67" spans="1:9" s="8" customFormat="1" ht="11.25" customHeight="1" x14ac:dyDescent="0.2">
      <c r="A67" s="924" t="s">
        <v>1030</v>
      </c>
      <c r="B67" s="925"/>
      <c r="C67" s="963">
        <v>43830</v>
      </c>
      <c r="D67" s="963">
        <v>43830</v>
      </c>
      <c r="E67" s="27">
        <v>-5000</v>
      </c>
    </row>
    <row r="68" spans="1:9" s="8" customFormat="1" ht="11.25" customHeight="1" x14ac:dyDescent="0.2">
      <c r="A68" s="924" t="s">
        <v>1039</v>
      </c>
      <c r="B68" s="925"/>
      <c r="C68" s="963">
        <v>43830</v>
      </c>
      <c r="D68" s="963">
        <v>43830</v>
      </c>
      <c r="E68" s="27">
        <v>5000</v>
      </c>
    </row>
    <row r="69" spans="1:9" s="8" customFormat="1" ht="11.25" customHeight="1" x14ac:dyDescent="0.2">
      <c r="A69" s="924" t="s">
        <v>1040</v>
      </c>
      <c r="B69" s="925"/>
      <c r="C69" s="963">
        <v>43830</v>
      </c>
      <c r="D69" s="963">
        <v>43830</v>
      </c>
      <c r="E69" s="27">
        <v>-10000</v>
      </c>
    </row>
    <row r="70" spans="1:9" s="8" customFormat="1" ht="11.25" customHeight="1" x14ac:dyDescent="0.2">
      <c r="A70" s="924" t="s">
        <v>1041</v>
      </c>
      <c r="B70" s="925"/>
      <c r="C70" s="963">
        <v>43830</v>
      </c>
      <c r="D70" s="963">
        <v>43830</v>
      </c>
      <c r="E70" s="27">
        <v>10000</v>
      </c>
    </row>
    <row r="71" spans="1:9" s="8" customFormat="1" ht="11.25" customHeight="1" x14ac:dyDescent="0.2">
      <c r="A71" s="924" t="s">
        <v>1042</v>
      </c>
      <c r="B71" s="925"/>
      <c r="C71" s="963">
        <v>43830</v>
      </c>
      <c r="D71" s="963">
        <v>43830</v>
      </c>
      <c r="E71" s="27">
        <v>1400</v>
      </c>
    </row>
    <row r="72" spans="1:9" s="8" customFormat="1" ht="11.25" customHeight="1" x14ac:dyDescent="0.2">
      <c r="A72" s="924" t="s">
        <v>1043</v>
      </c>
      <c r="B72" s="925"/>
      <c r="C72" s="963">
        <v>43830</v>
      </c>
      <c r="D72" s="963">
        <v>43830</v>
      </c>
      <c r="E72" s="27">
        <v>-1400</v>
      </c>
    </row>
    <row r="73" spans="1:9" s="8" customFormat="1" ht="11.25" customHeight="1" x14ac:dyDescent="0.2">
      <c r="A73" s="924" t="s">
        <v>1044</v>
      </c>
      <c r="B73" s="925"/>
      <c r="C73" s="963">
        <v>43830</v>
      </c>
      <c r="D73" s="963">
        <v>43830</v>
      </c>
      <c r="E73" s="27">
        <v>-10000</v>
      </c>
    </row>
    <row r="74" spans="1:9" s="8" customFormat="1" ht="11.25" customHeight="1" x14ac:dyDescent="0.2">
      <c r="A74" s="924" t="s">
        <v>1045</v>
      </c>
      <c r="B74" s="925"/>
      <c r="C74" s="963">
        <v>43830</v>
      </c>
      <c r="D74" s="963">
        <v>43830</v>
      </c>
      <c r="E74" s="27">
        <v>400</v>
      </c>
    </row>
    <row r="75" spans="1:9" s="8" customFormat="1" ht="11.25" customHeight="1" x14ac:dyDescent="0.2">
      <c r="A75" s="924" t="s">
        <v>1046</v>
      </c>
      <c r="B75" s="925"/>
      <c r="C75" s="963">
        <v>43830</v>
      </c>
      <c r="D75" s="963">
        <v>43830</v>
      </c>
      <c r="E75" s="27">
        <v>3400</v>
      </c>
    </row>
    <row r="76" spans="1:9" s="8" customFormat="1" ht="11.25" customHeight="1" x14ac:dyDescent="0.2">
      <c r="A76" s="924" t="s">
        <v>1047</v>
      </c>
      <c r="B76" s="925"/>
      <c r="C76" s="963">
        <v>43830</v>
      </c>
      <c r="D76" s="963">
        <v>43830</v>
      </c>
      <c r="E76" s="27">
        <v>6200</v>
      </c>
    </row>
    <row r="77" spans="1:9" s="8" customFormat="1" ht="11.25" customHeight="1" x14ac:dyDescent="0.2">
      <c r="A77" s="147"/>
      <c r="B77" s="148"/>
      <c r="C77" s="149"/>
      <c r="D77" s="149"/>
      <c r="E77" s="150"/>
    </row>
    <row r="78" spans="1:9" s="8" customFormat="1" ht="10.199999999999999" x14ac:dyDescent="0.2">
      <c r="A78" s="1300" t="s">
        <v>154</v>
      </c>
      <c r="B78" s="1300"/>
      <c r="C78" s="1300"/>
      <c r="D78" s="1300"/>
      <c r="E78" s="1300"/>
      <c r="F78" s="1300"/>
      <c r="G78" s="1300"/>
      <c r="H78" s="1300"/>
      <c r="I78" s="1300"/>
    </row>
    <row r="79" spans="1:9" s="8" customFormat="1" ht="10.199999999999999" x14ac:dyDescent="0.2">
      <c r="A79" s="8" t="s">
        <v>1048</v>
      </c>
    </row>
    <row r="80" spans="1:9" s="8" customFormat="1" ht="10.199999999999999" x14ac:dyDescent="0.2">
      <c r="A80" s="1297"/>
      <c r="B80" s="1298"/>
      <c r="C80" s="1298"/>
      <c r="D80" s="1298"/>
      <c r="E80" s="1298"/>
      <c r="F80" s="1298"/>
      <c r="G80" s="1298"/>
      <c r="H80" s="1298"/>
      <c r="I80" s="1299"/>
    </row>
    <row r="81" spans="1:9" s="8" customFormat="1" ht="10.199999999999999" x14ac:dyDescent="0.2"/>
    <row r="82" spans="1:9" s="8" customFormat="1" ht="0.75" customHeight="1" x14ac:dyDescent="0.2">
      <c r="A82" s="1297"/>
      <c r="B82" s="1298"/>
      <c r="C82" s="1298"/>
      <c r="D82" s="1298"/>
      <c r="E82" s="1298"/>
      <c r="F82" s="1298"/>
      <c r="G82" s="1298"/>
      <c r="H82" s="1298"/>
      <c r="I82" s="1299"/>
    </row>
    <row r="83" spans="1:9" s="8" customFormat="1" ht="10.199999999999999" hidden="1" x14ac:dyDescent="0.2"/>
    <row r="84" spans="1:9" s="7" customFormat="1" ht="10.199999999999999" x14ac:dyDescent="0.2">
      <c r="A84" s="1248" t="s">
        <v>156</v>
      </c>
      <c r="B84" s="1248"/>
      <c r="C84" s="1248"/>
      <c r="D84" s="1248"/>
      <c r="E84" s="1248"/>
      <c r="F84" s="1248"/>
      <c r="G84" s="1248"/>
      <c r="H84" s="1248"/>
      <c r="I84" s="1248"/>
    </row>
    <row r="85" spans="1:9" s="8" customFormat="1" ht="10.199999999999999" x14ac:dyDescent="0.2">
      <c r="A85" s="964"/>
    </row>
    <row r="86" spans="1:9" s="8" customFormat="1" ht="35.25" customHeight="1" x14ac:dyDescent="0.2">
      <c r="A86" s="1297" t="s">
        <v>1049</v>
      </c>
      <c r="B86" s="1298"/>
      <c r="C86" s="1298"/>
      <c r="D86" s="1298"/>
      <c r="E86" s="1298"/>
      <c r="F86" s="1298"/>
      <c r="G86" s="1298"/>
      <c r="H86" s="1298"/>
      <c r="I86" s="1299"/>
    </row>
    <row r="87" spans="1:9" s="8" customFormat="1" ht="26.25" customHeight="1" x14ac:dyDescent="0.2">
      <c r="A87" s="1297" t="s">
        <v>1050</v>
      </c>
      <c r="B87" s="1298"/>
      <c r="C87" s="1298"/>
      <c r="D87" s="1298"/>
      <c r="E87" s="1298"/>
      <c r="F87" s="1298"/>
      <c r="G87" s="1298"/>
      <c r="H87" s="1298"/>
      <c r="I87" s="1299"/>
    </row>
    <row r="88" spans="1:9" s="8" customFormat="1" ht="85.5" customHeight="1" x14ac:dyDescent="0.2">
      <c r="A88" s="1297" t="s">
        <v>1051</v>
      </c>
      <c r="B88" s="1298"/>
      <c r="C88" s="1298"/>
      <c r="D88" s="1298"/>
      <c r="E88" s="1298"/>
      <c r="F88" s="1298"/>
      <c r="G88" s="1298"/>
      <c r="H88" s="1298"/>
      <c r="I88" s="1299"/>
    </row>
    <row r="90" spans="1:9" x14ac:dyDescent="0.25">
      <c r="A90" s="44" t="s">
        <v>835</v>
      </c>
      <c r="B90" s="44" t="s">
        <v>1052</v>
      </c>
    </row>
    <row r="91" spans="1:9" x14ac:dyDescent="0.25">
      <c r="A91" s="26"/>
      <c r="B91" s="44" t="s">
        <v>1053</v>
      </c>
    </row>
    <row r="92" spans="1:9" x14ac:dyDescent="0.25">
      <c r="A92" s="26"/>
    </row>
  </sheetData>
  <mergeCells count="53">
    <mergeCell ref="A7:B7"/>
    <mergeCell ref="D7:I7"/>
    <mergeCell ref="A3:I3"/>
    <mergeCell ref="A5:B5"/>
    <mergeCell ref="D5:I5"/>
    <mergeCell ref="A6:B6"/>
    <mergeCell ref="D6:I6"/>
    <mergeCell ref="F26:I26"/>
    <mergeCell ref="A8:B8"/>
    <mergeCell ref="D8:I8"/>
    <mergeCell ref="A9:B9"/>
    <mergeCell ref="D9:I9"/>
    <mergeCell ref="A11:I11"/>
    <mergeCell ref="A15:A17"/>
    <mergeCell ref="A20:I20"/>
    <mergeCell ref="F22:I22"/>
    <mergeCell ref="F23:I23"/>
    <mergeCell ref="F24:I24"/>
    <mergeCell ref="F25:I25"/>
    <mergeCell ref="C44:I44"/>
    <mergeCell ref="F27:I27"/>
    <mergeCell ref="A29:I29"/>
    <mergeCell ref="D31:I31"/>
    <mergeCell ref="D32:I32"/>
    <mergeCell ref="C33:I33"/>
    <mergeCell ref="A35:I35"/>
    <mergeCell ref="D37:I37"/>
    <mergeCell ref="D38:I38"/>
    <mergeCell ref="C39:I39"/>
    <mergeCell ref="A41:I41"/>
    <mergeCell ref="C43:I43"/>
    <mergeCell ref="A58:B58"/>
    <mergeCell ref="A46:I46"/>
    <mergeCell ref="A48:B48"/>
    <mergeCell ref="A49:B49"/>
    <mergeCell ref="A50:B50"/>
    <mergeCell ref="A51:B51"/>
    <mergeCell ref="A52:B52"/>
    <mergeCell ref="A53:B53"/>
    <mergeCell ref="A54:B54"/>
    <mergeCell ref="A55:B55"/>
    <mergeCell ref="A56:B56"/>
    <mergeCell ref="A57:B57"/>
    <mergeCell ref="A84:I84"/>
    <mergeCell ref="A86:I86"/>
    <mergeCell ref="A87:I87"/>
    <mergeCell ref="A88:I88"/>
    <mergeCell ref="A59:B59"/>
    <mergeCell ref="A60:B60"/>
    <mergeCell ref="A61:B61"/>
    <mergeCell ref="A78:I78"/>
    <mergeCell ref="A80:I80"/>
    <mergeCell ref="A82:I82"/>
  </mergeCells>
  <pageMargins left="0.70866141732283472" right="0.70866141732283472" top="0.78740157480314965" bottom="0.78740157480314965" header="0.31496062992125984" footer="0.31496062992125984"/>
  <pageSetup paperSize="9" firstPageNumber="198" orientation="landscape" useFirstPageNumber="1" r:id="rId1"/>
  <headerFoot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zoomScaleSheetLayoutView="110" workbookViewId="0">
      <selection activeCell="R26" sqref="R26"/>
    </sheetView>
  </sheetViews>
  <sheetFormatPr defaultColWidth="6.3984375" defaultRowHeight="7.8" x14ac:dyDescent="0.15"/>
  <cols>
    <col min="1" max="1" width="5.3984375" style="275" customWidth="1"/>
    <col min="2" max="2" width="6.3984375" customWidth="1"/>
    <col min="3" max="3" width="36.796875" customWidth="1"/>
    <col min="4" max="4" width="9.3984375" customWidth="1"/>
    <col min="5" max="5" width="10.796875" customWidth="1"/>
    <col min="6" max="6" width="12.19921875" customWidth="1"/>
    <col min="7" max="7" width="13" customWidth="1"/>
    <col min="8" max="8" width="8.796875" customWidth="1"/>
    <col min="9" max="10" width="11.796875" customWidth="1"/>
    <col min="11" max="11" width="12" customWidth="1"/>
    <col min="12" max="12" width="12.3984375" customWidth="1"/>
    <col min="13" max="13" width="9" customWidth="1"/>
    <col min="14" max="14" width="11.19921875" customWidth="1"/>
    <col min="15" max="15" width="11" customWidth="1"/>
    <col min="16" max="16" width="10.796875" customWidth="1"/>
    <col min="17" max="17" width="11" customWidth="1"/>
    <col min="18" max="18" width="8.796875" customWidth="1"/>
    <col min="19" max="22" width="11" customWidth="1"/>
    <col min="23" max="23" width="8.796875" customWidth="1"/>
    <col min="24" max="24" width="11" customWidth="1"/>
  </cols>
  <sheetData>
    <row r="1" spans="1:24" s="2" customFormat="1" ht="15.6" x14ac:dyDescent="0.3">
      <c r="A1" s="1216" t="s">
        <v>620</v>
      </c>
      <c r="B1" s="1729"/>
      <c r="C1" s="1729"/>
      <c r="D1" s="1729"/>
      <c r="E1" s="1729"/>
      <c r="F1" s="1729"/>
      <c r="G1" s="1729"/>
      <c r="H1" s="1729"/>
      <c r="I1" s="1729"/>
      <c r="J1" s="1729"/>
      <c r="K1" s="1729"/>
      <c r="L1" s="1729"/>
      <c r="M1" s="1729"/>
      <c r="N1" s="1729"/>
      <c r="O1" s="1729"/>
      <c r="P1" s="1729"/>
      <c r="Q1" s="1729"/>
      <c r="R1" s="1729"/>
      <c r="S1" s="1729"/>
      <c r="T1" s="1729"/>
      <c r="U1" s="1729"/>
      <c r="V1" s="1729"/>
      <c r="W1" s="1729"/>
      <c r="X1" s="1729"/>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12094000</v>
      </c>
      <c r="F6" s="52">
        <f>SUM(F7:F9)</f>
        <v>14213127.699999999</v>
      </c>
      <c r="G6" s="52">
        <f>SUM(G7:G9)</f>
        <v>14289160.390000001</v>
      </c>
      <c r="H6" s="625">
        <f t="shared" ref="H6:H36" si="0">G6/F6*100</f>
        <v>100.5349469279728</v>
      </c>
      <c r="I6" s="53">
        <f>SUM(I7:I9)</f>
        <v>12031614.779999999</v>
      </c>
      <c r="J6" s="51">
        <f>SUM(J7:J9)</f>
        <v>12094000</v>
      </c>
      <c r="K6" s="52">
        <f t="shared" ref="K6:X6" si="1">SUM(K7:K9)</f>
        <v>14116327.699999999</v>
      </c>
      <c r="L6" s="52">
        <f t="shared" si="1"/>
        <v>14192360.390000001</v>
      </c>
      <c r="M6" s="625">
        <f t="shared" ref="M6:M36" si="2">L6/K6*100</f>
        <v>100.53861522356131</v>
      </c>
      <c r="N6" s="53">
        <f t="shared" si="1"/>
        <v>12031614.779999999</v>
      </c>
      <c r="O6" s="51">
        <f t="shared" si="1"/>
        <v>0</v>
      </c>
      <c r="P6" s="52">
        <f t="shared" si="1"/>
        <v>96800</v>
      </c>
      <c r="Q6" s="52">
        <f t="shared" si="1"/>
        <v>96800</v>
      </c>
      <c r="R6" s="625">
        <f t="shared" ref="R6:R36" si="3">Q6/P6*100</f>
        <v>100</v>
      </c>
      <c r="S6" s="53">
        <f t="shared" si="1"/>
        <v>0</v>
      </c>
      <c r="T6" s="51">
        <f t="shared" si="1"/>
        <v>655000</v>
      </c>
      <c r="U6" s="52">
        <f t="shared" si="1"/>
        <v>706628.48</v>
      </c>
      <c r="V6" s="52">
        <f t="shared" si="1"/>
        <v>714866.7</v>
      </c>
      <c r="W6" s="625">
        <f t="shared" ref="W6:W36" si="4">V6/U6*100</f>
        <v>101.16584884888873</v>
      </c>
      <c r="X6" s="53">
        <f t="shared" si="1"/>
        <v>824614.8</v>
      </c>
    </row>
    <row r="7" spans="1:24" s="34" customFormat="1" x14ac:dyDescent="0.15">
      <c r="A7" s="55" t="s">
        <v>2</v>
      </c>
      <c r="B7" s="1233" t="s">
        <v>46</v>
      </c>
      <c r="C7" s="1233"/>
      <c r="D7" s="50" t="s">
        <v>25</v>
      </c>
      <c r="E7" s="56">
        <f t="shared" ref="E7:G10" si="5">SUM(J7,O7)</f>
        <v>5629613</v>
      </c>
      <c r="F7" s="57">
        <f t="shared" si="5"/>
        <v>6869691.7000000002</v>
      </c>
      <c r="G7" s="57">
        <f t="shared" si="5"/>
        <v>6985283.1900000004</v>
      </c>
      <c r="H7" s="75">
        <f t="shared" si="0"/>
        <v>101.68262994975453</v>
      </c>
      <c r="I7" s="59">
        <f>SUM(N7,S7)</f>
        <v>6170373.6799999997</v>
      </c>
      <c r="J7" s="60">
        <v>5629613</v>
      </c>
      <c r="K7" s="61">
        <v>6869691.7000000002</v>
      </c>
      <c r="L7" s="61">
        <v>6985283.1900000004</v>
      </c>
      <c r="M7" s="75">
        <f t="shared" si="2"/>
        <v>101.68262994975453</v>
      </c>
      <c r="N7" s="244">
        <v>6170373.6799999997</v>
      </c>
      <c r="O7" s="245">
        <v>0</v>
      </c>
      <c r="P7" s="61">
        <v>0</v>
      </c>
      <c r="Q7" s="61">
        <v>0</v>
      </c>
      <c r="R7" s="75" t="e">
        <f t="shared" si="3"/>
        <v>#DIV/0!</v>
      </c>
      <c r="S7" s="244">
        <v>0</v>
      </c>
      <c r="T7" s="245">
        <v>655000</v>
      </c>
      <c r="U7" s="61">
        <v>706628.48</v>
      </c>
      <c r="V7" s="61">
        <v>714866.7</v>
      </c>
      <c r="W7" s="75">
        <f t="shared" si="4"/>
        <v>101.16584884888873</v>
      </c>
      <c r="X7" s="244">
        <v>824614.8</v>
      </c>
    </row>
    <row r="8" spans="1:24" s="34" customFormat="1" x14ac:dyDescent="0.15">
      <c r="A8" s="63" t="s">
        <v>3</v>
      </c>
      <c r="B8" s="1237" t="s">
        <v>47</v>
      </c>
      <c r="C8" s="1237"/>
      <c r="D8" s="50" t="s">
        <v>25</v>
      </c>
      <c r="E8" s="56">
        <f t="shared" si="5"/>
        <v>600</v>
      </c>
      <c r="F8" s="57">
        <f t="shared" si="5"/>
        <v>1000</v>
      </c>
      <c r="G8" s="57">
        <f t="shared" si="5"/>
        <v>999.85</v>
      </c>
      <c r="H8" s="75">
        <f t="shared" si="0"/>
        <v>99.984999999999999</v>
      </c>
      <c r="I8" s="59">
        <f>SUM(N8,S8)</f>
        <v>941</v>
      </c>
      <c r="J8" s="64">
        <v>600</v>
      </c>
      <c r="K8" s="57">
        <v>1000</v>
      </c>
      <c r="L8" s="57">
        <v>999.85</v>
      </c>
      <c r="M8" s="75">
        <f t="shared" si="2"/>
        <v>99.984999999999999</v>
      </c>
      <c r="N8" s="59">
        <v>941</v>
      </c>
      <c r="O8" s="56">
        <v>0</v>
      </c>
      <c r="P8" s="57">
        <v>0</v>
      </c>
      <c r="Q8" s="57">
        <v>0</v>
      </c>
      <c r="R8" s="75" t="e">
        <f t="shared" si="3"/>
        <v>#DIV/0!</v>
      </c>
      <c r="S8" s="59">
        <v>0</v>
      </c>
      <c r="T8" s="56">
        <v>0</v>
      </c>
      <c r="U8" s="57">
        <v>0</v>
      </c>
      <c r="V8" s="57">
        <v>0</v>
      </c>
      <c r="W8" s="75" t="e">
        <f t="shared" si="4"/>
        <v>#DIV/0!</v>
      </c>
      <c r="X8" s="59">
        <v>0</v>
      </c>
    </row>
    <row r="9" spans="1:24" s="34" customFormat="1" ht="8.4" x14ac:dyDescent="0.2">
      <c r="A9" s="63" t="s">
        <v>4</v>
      </c>
      <c r="B9" s="66" t="s">
        <v>62</v>
      </c>
      <c r="C9" s="152"/>
      <c r="D9" s="50" t="s">
        <v>25</v>
      </c>
      <c r="E9" s="56">
        <f t="shared" si="5"/>
        <v>6463787</v>
      </c>
      <c r="F9" s="57">
        <f t="shared" si="5"/>
        <v>7342436</v>
      </c>
      <c r="G9" s="57">
        <f t="shared" si="5"/>
        <v>7302877.3499999996</v>
      </c>
      <c r="H9" s="75">
        <f t="shared" si="0"/>
        <v>99.461232620890399</v>
      </c>
      <c r="I9" s="59">
        <f>SUM(N9,S9)</f>
        <v>5860300.0999999996</v>
      </c>
      <c r="J9" s="64">
        <v>6463787</v>
      </c>
      <c r="K9" s="57">
        <v>7245636</v>
      </c>
      <c r="L9" s="57">
        <v>7206077.3499999996</v>
      </c>
      <c r="M9" s="75">
        <f t="shared" si="2"/>
        <v>99.454034814887194</v>
      </c>
      <c r="N9" s="59">
        <v>5860300.0999999996</v>
      </c>
      <c r="O9" s="56">
        <v>0</v>
      </c>
      <c r="P9" s="57">
        <v>96800</v>
      </c>
      <c r="Q9" s="57">
        <v>96800</v>
      </c>
      <c r="R9" s="75">
        <f t="shared" si="3"/>
        <v>100</v>
      </c>
      <c r="S9" s="59">
        <v>0</v>
      </c>
      <c r="T9" s="56">
        <v>0</v>
      </c>
      <c r="U9" s="57">
        <v>0</v>
      </c>
      <c r="V9" s="57">
        <v>0</v>
      </c>
      <c r="W9" s="75" t="e">
        <f t="shared" si="4"/>
        <v>#DIV/0!</v>
      </c>
      <c r="X9" s="59">
        <v>0</v>
      </c>
    </row>
    <row r="10" spans="1:24" s="34" customFormat="1" x14ac:dyDescent="0.15">
      <c r="A10" s="49" t="s">
        <v>5</v>
      </c>
      <c r="B10" s="1236" t="s">
        <v>7</v>
      </c>
      <c r="C10" s="1236"/>
      <c r="D10" s="50" t="s">
        <v>25</v>
      </c>
      <c r="E10" s="68">
        <f t="shared" si="5"/>
        <v>0</v>
      </c>
      <c r="F10" s="69">
        <f t="shared" si="5"/>
        <v>0</v>
      </c>
      <c r="G10" s="69">
        <f t="shared" si="5"/>
        <v>0</v>
      </c>
      <c r="H10" s="625" t="e">
        <f t="shared" si="0"/>
        <v>#DIV/0!</v>
      </c>
      <c r="I10" s="70">
        <f>SUM(N10,S10)</f>
        <v>0</v>
      </c>
      <c r="J10" s="71"/>
      <c r="K10" s="69"/>
      <c r="L10" s="69"/>
      <c r="M10" s="625" t="e">
        <f t="shared" si="2"/>
        <v>#DIV/0!</v>
      </c>
      <c r="N10" s="70"/>
      <c r="O10" s="68"/>
      <c r="P10" s="69"/>
      <c r="Q10" s="69"/>
      <c r="R10" s="625" t="e">
        <f t="shared" si="3"/>
        <v>#DIV/0!</v>
      </c>
      <c r="S10" s="70"/>
      <c r="T10" s="68"/>
      <c r="U10" s="69"/>
      <c r="V10" s="69"/>
      <c r="W10" s="625" t="e">
        <f t="shared" si="4"/>
        <v>#DIV/0!</v>
      </c>
      <c r="X10" s="70"/>
    </row>
    <row r="11" spans="1:24" s="34" customFormat="1" x14ac:dyDescent="0.15">
      <c r="A11" s="49" t="s">
        <v>6</v>
      </c>
      <c r="B11" s="1236" t="s">
        <v>9</v>
      </c>
      <c r="C11" s="1236"/>
      <c r="D11" s="50" t="s">
        <v>25</v>
      </c>
      <c r="E11" s="51">
        <f>SUM(E12:E31)</f>
        <v>12094000</v>
      </c>
      <c r="F11" s="52">
        <f>SUM(F12:F31)</f>
        <v>14213127.700000001</v>
      </c>
      <c r="G11" s="52">
        <f>SUM(G12:G31)</f>
        <v>14139105.15</v>
      </c>
      <c r="H11" s="625">
        <f t="shared" si="0"/>
        <v>99.479195912663187</v>
      </c>
      <c r="I11" s="53">
        <f>SUM(I12:I31)</f>
        <v>12031614.780000001</v>
      </c>
      <c r="J11" s="51">
        <f>SUM(J12:J31)</f>
        <v>12094000</v>
      </c>
      <c r="K11" s="52">
        <f>SUM(K12:K31)</f>
        <v>14116327.700000001</v>
      </c>
      <c r="L11" s="52">
        <f>SUM(L12:L31)</f>
        <v>14042305.15</v>
      </c>
      <c r="M11" s="625">
        <f t="shared" si="2"/>
        <v>99.475624598882035</v>
      </c>
      <c r="N11" s="53">
        <f>SUM(N12:N31)</f>
        <v>12031614.780000001</v>
      </c>
      <c r="O11" s="51">
        <f>SUM(O12:O31)</f>
        <v>0</v>
      </c>
      <c r="P11" s="52">
        <f>SUM(P12:P31)</f>
        <v>96800</v>
      </c>
      <c r="Q11" s="52">
        <f>SUM(Q12:Q31)</f>
        <v>96800</v>
      </c>
      <c r="R11" s="625">
        <f t="shared" si="3"/>
        <v>100</v>
      </c>
      <c r="S11" s="53">
        <f>SUM(S12:S31)</f>
        <v>0</v>
      </c>
      <c r="T11" s="51">
        <f>SUM(T12:T31)</f>
        <v>651500</v>
      </c>
      <c r="U11" s="52">
        <f>SUM(U12:U31)</f>
        <v>703128.98</v>
      </c>
      <c r="V11" s="52">
        <f>SUM(V12:V31)</f>
        <v>703129.08000000007</v>
      </c>
      <c r="W11" s="625">
        <f t="shared" si="4"/>
        <v>100.00001422214173</v>
      </c>
      <c r="X11" s="53">
        <f>SUM(X12:X31)</f>
        <v>803350.5</v>
      </c>
    </row>
    <row r="12" spans="1:24" s="34" customFormat="1" x14ac:dyDescent="0.15">
      <c r="A12" s="73" t="s">
        <v>8</v>
      </c>
      <c r="B12" s="1238" t="s">
        <v>28</v>
      </c>
      <c r="C12" s="1238"/>
      <c r="D12" s="50" t="s">
        <v>25</v>
      </c>
      <c r="E12" s="56">
        <f>SUM(J12,O12)</f>
        <v>325000</v>
      </c>
      <c r="F12" s="57">
        <f t="shared" ref="E12:I27" si="6">SUM(K12,P12)</f>
        <v>334310</v>
      </c>
      <c r="G12" s="57">
        <f t="shared" si="6"/>
        <v>334308.42</v>
      </c>
      <c r="H12" s="75">
        <f t="shared" si="0"/>
        <v>99.999527384762644</v>
      </c>
      <c r="I12" s="59">
        <f t="shared" si="6"/>
        <v>336779.33</v>
      </c>
      <c r="J12" s="74">
        <v>325000</v>
      </c>
      <c r="K12" s="75">
        <v>334310</v>
      </c>
      <c r="L12" s="75">
        <v>334308.42</v>
      </c>
      <c r="M12" s="75">
        <f t="shared" si="2"/>
        <v>99.999527384762644</v>
      </c>
      <c r="N12" s="246">
        <v>336779.33</v>
      </c>
      <c r="O12" s="247">
        <v>0</v>
      </c>
      <c r="P12" s="75">
        <v>0</v>
      </c>
      <c r="Q12" s="75">
        <v>0</v>
      </c>
      <c r="R12" s="75" t="e">
        <f t="shared" si="3"/>
        <v>#DIV/0!</v>
      </c>
      <c r="S12" s="248">
        <v>0</v>
      </c>
      <c r="T12" s="245">
        <v>14000</v>
      </c>
      <c r="U12" s="61">
        <v>21777</v>
      </c>
      <c r="V12" s="61">
        <v>21777</v>
      </c>
      <c r="W12" s="75">
        <f t="shared" si="4"/>
        <v>100</v>
      </c>
      <c r="X12" s="59">
        <v>19683.5</v>
      </c>
    </row>
    <row r="13" spans="1:24" s="34" customFormat="1" x14ac:dyDescent="0.15">
      <c r="A13" s="55" t="s">
        <v>10</v>
      </c>
      <c r="B13" s="1233" t="s">
        <v>29</v>
      </c>
      <c r="C13" s="1233"/>
      <c r="D13" s="50" t="s">
        <v>25</v>
      </c>
      <c r="E13" s="56">
        <f t="shared" si="6"/>
        <v>1040000</v>
      </c>
      <c r="F13" s="57">
        <f t="shared" si="6"/>
        <v>821000</v>
      </c>
      <c r="G13" s="57">
        <f t="shared" si="6"/>
        <v>794094.88</v>
      </c>
      <c r="H13" s="75">
        <f t="shared" si="0"/>
        <v>96.72288428745432</v>
      </c>
      <c r="I13" s="59">
        <f t="shared" si="6"/>
        <v>750171.5</v>
      </c>
      <c r="J13" s="74">
        <v>1040000</v>
      </c>
      <c r="K13" s="57">
        <v>821000</v>
      </c>
      <c r="L13" s="57">
        <v>794094.88</v>
      </c>
      <c r="M13" s="75">
        <f t="shared" si="2"/>
        <v>96.72288428745432</v>
      </c>
      <c r="N13" s="59">
        <v>750171.5</v>
      </c>
      <c r="O13" s="56">
        <v>0</v>
      </c>
      <c r="P13" s="57">
        <v>0</v>
      </c>
      <c r="Q13" s="57">
        <v>0</v>
      </c>
      <c r="R13" s="75" t="e">
        <f t="shared" si="3"/>
        <v>#DIV/0!</v>
      </c>
      <c r="S13" s="59">
        <v>0</v>
      </c>
      <c r="T13" s="56">
        <v>65000</v>
      </c>
      <c r="U13" s="57">
        <v>58672.4</v>
      </c>
      <c r="V13" s="57">
        <v>58672.4</v>
      </c>
      <c r="W13" s="75">
        <f t="shared" si="4"/>
        <v>100</v>
      </c>
      <c r="X13" s="59">
        <v>55396.5</v>
      </c>
    </row>
    <row r="14" spans="1:24" s="34" customFormat="1" x14ac:dyDescent="0.15">
      <c r="A14" s="55" t="s">
        <v>11</v>
      </c>
      <c r="B14" s="151" t="s">
        <v>63</v>
      </c>
      <c r="C14" s="151"/>
      <c r="D14" s="50" t="s">
        <v>25</v>
      </c>
      <c r="E14" s="56">
        <f t="shared" si="6"/>
        <v>0</v>
      </c>
      <c r="F14" s="57">
        <f t="shared" si="6"/>
        <v>0</v>
      </c>
      <c r="G14" s="57">
        <f t="shared" si="6"/>
        <v>0</v>
      </c>
      <c r="H14" s="75" t="e">
        <f t="shared" si="0"/>
        <v>#DIV/0!</v>
      </c>
      <c r="I14" s="59">
        <f t="shared" si="6"/>
        <v>2415</v>
      </c>
      <c r="J14" s="74">
        <v>0</v>
      </c>
      <c r="K14" s="57">
        <v>0</v>
      </c>
      <c r="L14" s="57">
        <v>0</v>
      </c>
      <c r="M14" s="75" t="e">
        <f t="shared" si="2"/>
        <v>#DIV/0!</v>
      </c>
      <c r="N14" s="59">
        <v>2415</v>
      </c>
      <c r="O14" s="56">
        <v>0</v>
      </c>
      <c r="P14" s="57">
        <v>0</v>
      </c>
      <c r="Q14" s="57">
        <v>0</v>
      </c>
      <c r="R14" s="75" t="e">
        <f t="shared" si="3"/>
        <v>#DIV/0!</v>
      </c>
      <c r="S14" s="59">
        <v>0</v>
      </c>
      <c r="T14" s="56">
        <v>0</v>
      </c>
      <c r="U14" s="57">
        <v>0</v>
      </c>
      <c r="V14" s="57">
        <v>0</v>
      </c>
      <c r="W14" s="75" t="e">
        <f t="shared" si="4"/>
        <v>#DIV/0!</v>
      </c>
      <c r="X14" s="59">
        <v>0</v>
      </c>
    </row>
    <row r="15" spans="1:24" s="34" customFormat="1" x14ac:dyDescent="0.15">
      <c r="A15" s="55" t="s">
        <v>12</v>
      </c>
      <c r="B15" s="1233" t="s">
        <v>64</v>
      </c>
      <c r="C15" s="1233"/>
      <c r="D15" s="50" t="s">
        <v>25</v>
      </c>
      <c r="E15" s="56">
        <f t="shared" si="6"/>
        <v>32000</v>
      </c>
      <c r="F15" s="57">
        <f t="shared" si="6"/>
        <v>456113.7</v>
      </c>
      <c r="G15" s="57">
        <f t="shared" si="6"/>
        <v>455280.07</v>
      </c>
      <c r="H15" s="75">
        <f t="shared" si="0"/>
        <v>99.817231975272833</v>
      </c>
      <c r="I15" s="59">
        <f t="shared" si="6"/>
        <v>5780</v>
      </c>
      <c r="J15" s="74">
        <v>32000</v>
      </c>
      <c r="K15" s="57">
        <v>456113.7</v>
      </c>
      <c r="L15" s="57">
        <v>455280.07</v>
      </c>
      <c r="M15" s="75">
        <f t="shared" si="2"/>
        <v>99.817231975272833</v>
      </c>
      <c r="N15" s="59">
        <v>5780</v>
      </c>
      <c r="O15" s="56">
        <v>0</v>
      </c>
      <c r="P15" s="57">
        <v>0</v>
      </c>
      <c r="Q15" s="57">
        <v>0</v>
      </c>
      <c r="R15" s="75" t="e">
        <f t="shared" si="3"/>
        <v>#DIV/0!</v>
      </c>
      <c r="S15" s="59">
        <v>0</v>
      </c>
      <c r="T15" s="56">
        <v>35000</v>
      </c>
      <c r="U15" s="57">
        <v>21857.200000000001</v>
      </c>
      <c r="V15" s="57">
        <v>21857.200000000001</v>
      </c>
      <c r="W15" s="75">
        <f t="shared" si="4"/>
        <v>100</v>
      </c>
      <c r="X15" s="59">
        <v>16818</v>
      </c>
    </row>
    <row r="16" spans="1:24" s="34" customFormat="1" x14ac:dyDescent="0.15">
      <c r="A16" s="55" t="s">
        <v>13</v>
      </c>
      <c r="B16" s="1233" t="s">
        <v>30</v>
      </c>
      <c r="C16" s="1233"/>
      <c r="D16" s="50" t="s">
        <v>25</v>
      </c>
      <c r="E16" s="56">
        <f t="shared" si="6"/>
        <v>10000</v>
      </c>
      <c r="F16" s="57">
        <f t="shared" si="6"/>
        <v>10000</v>
      </c>
      <c r="G16" s="57">
        <f t="shared" si="6"/>
        <v>9798</v>
      </c>
      <c r="H16" s="75">
        <f t="shared" si="0"/>
        <v>97.98</v>
      </c>
      <c r="I16" s="59">
        <f t="shared" si="6"/>
        <v>9682</v>
      </c>
      <c r="J16" s="74">
        <v>10000</v>
      </c>
      <c r="K16" s="57">
        <v>10000</v>
      </c>
      <c r="L16" s="57">
        <v>9798</v>
      </c>
      <c r="M16" s="75">
        <f t="shared" si="2"/>
        <v>97.98</v>
      </c>
      <c r="N16" s="59">
        <v>9682</v>
      </c>
      <c r="O16" s="56">
        <v>0</v>
      </c>
      <c r="P16" s="57">
        <v>0</v>
      </c>
      <c r="Q16" s="57">
        <v>0</v>
      </c>
      <c r="R16" s="75" t="e">
        <f t="shared" si="3"/>
        <v>#DIV/0!</v>
      </c>
      <c r="S16" s="59">
        <v>0</v>
      </c>
      <c r="T16" s="56">
        <v>0</v>
      </c>
      <c r="U16" s="57">
        <v>0</v>
      </c>
      <c r="V16" s="57">
        <v>0</v>
      </c>
      <c r="W16" s="75" t="e">
        <f t="shared" si="4"/>
        <v>#DIV/0!</v>
      </c>
      <c r="X16" s="59">
        <v>0</v>
      </c>
    </row>
    <row r="17" spans="1:24" s="34" customFormat="1" x14ac:dyDescent="0.15">
      <c r="A17" s="55" t="s">
        <v>14</v>
      </c>
      <c r="B17" s="151" t="s">
        <v>48</v>
      </c>
      <c r="C17" s="151"/>
      <c r="D17" s="50" t="s">
        <v>25</v>
      </c>
      <c r="E17" s="56">
        <f t="shared" si="6"/>
        <v>10000</v>
      </c>
      <c r="F17" s="57">
        <f t="shared" si="6"/>
        <v>10000</v>
      </c>
      <c r="G17" s="57">
        <f t="shared" si="6"/>
        <v>9875</v>
      </c>
      <c r="H17" s="75">
        <f t="shared" si="0"/>
        <v>98.75</v>
      </c>
      <c r="I17" s="59">
        <f t="shared" si="6"/>
        <v>9956</v>
      </c>
      <c r="J17" s="74">
        <v>10000</v>
      </c>
      <c r="K17" s="57">
        <v>10000</v>
      </c>
      <c r="L17" s="57">
        <v>9875</v>
      </c>
      <c r="M17" s="75">
        <f t="shared" si="2"/>
        <v>98.75</v>
      </c>
      <c r="N17" s="59">
        <v>9956</v>
      </c>
      <c r="O17" s="56">
        <v>0</v>
      </c>
      <c r="P17" s="57">
        <v>0</v>
      </c>
      <c r="Q17" s="57">
        <v>0</v>
      </c>
      <c r="R17" s="75" t="e">
        <f t="shared" si="3"/>
        <v>#DIV/0!</v>
      </c>
      <c r="S17" s="59">
        <v>0</v>
      </c>
      <c r="T17" s="56">
        <v>0</v>
      </c>
      <c r="U17" s="57">
        <v>0</v>
      </c>
      <c r="V17" s="57">
        <v>0</v>
      </c>
      <c r="W17" s="75" t="e">
        <f t="shared" si="4"/>
        <v>#DIV/0!</v>
      </c>
      <c r="X17" s="59">
        <v>0</v>
      </c>
    </row>
    <row r="18" spans="1:24" s="34" customFormat="1" x14ac:dyDescent="0.15">
      <c r="A18" s="55" t="s">
        <v>15</v>
      </c>
      <c r="B18" s="1233" t="s">
        <v>31</v>
      </c>
      <c r="C18" s="1233"/>
      <c r="D18" s="50" t="s">
        <v>25</v>
      </c>
      <c r="E18" s="56">
        <f t="shared" si="6"/>
        <v>5243000</v>
      </c>
      <c r="F18" s="57">
        <f t="shared" si="6"/>
        <v>6648800</v>
      </c>
      <c r="G18" s="57">
        <f t="shared" si="6"/>
        <v>6648775.5899999999</v>
      </c>
      <c r="H18" s="75">
        <f t="shared" si="0"/>
        <v>99.999632866081086</v>
      </c>
      <c r="I18" s="59">
        <f t="shared" si="6"/>
        <v>5461441.6299999999</v>
      </c>
      <c r="J18" s="74">
        <v>5243000</v>
      </c>
      <c r="K18" s="57">
        <v>6552000</v>
      </c>
      <c r="L18" s="57">
        <v>6551975.5899999999</v>
      </c>
      <c r="M18" s="75">
        <f t="shared" si="2"/>
        <v>99.999627442002435</v>
      </c>
      <c r="N18" s="59">
        <v>5461441.6299999999</v>
      </c>
      <c r="O18" s="56">
        <v>0</v>
      </c>
      <c r="P18" s="57">
        <v>96800</v>
      </c>
      <c r="Q18" s="57">
        <v>96800</v>
      </c>
      <c r="R18" s="75">
        <f t="shared" si="3"/>
        <v>100</v>
      </c>
      <c r="S18" s="59">
        <v>0</v>
      </c>
      <c r="T18" s="56">
        <v>78000</v>
      </c>
      <c r="U18" s="57">
        <v>108847.98</v>
      </c>
      <c r="V18" s="57">
        <v>108847.98</v>
      </c>
      <c r="W18" s="75">
        <f t="shared" si="4"/>
        <v>100</v>
      </c>
      <c r="X18" s="59">
        <v>81532</v>
      </c>
    </row>
    <row r="19" spans="1:24" s="37" customFormat="1" x14ac:dyDescent="0.15">
      <c r="A19" s="55" t="s">
        <v>16</v>
      </c>
      <c r="B19" s="1233" t="s">
        <v>32</v>
      </c>
      <c r="C19" s="1233"/>
      <c r="D19" s="50" t="s">
        <v>25</v>
      </c>
      <c r="E19" s="56">
        <f t="shared" si="6"/>
        <v>3395000</v>
      </c>
      <c r="F19" s="57">
        <f t="shared" si="6"/>
        <v>3737349.19</v>
      </c>
      <c r="G19" s="57">
        <f t="shared" si="6"/>
        <v>3737044.93</v>
      </c>
      <c r="H19" s="75">
        <f t="shared" si="0"/>
        <v>99.991858935718028</v>
      </c>
      <c r="I19" s="59">
        <f t="shared" si="6"/>
        <v>3392030.5</v>
      </c>
      <c r="J19" s="77">
        <v>3395000</v>
      </c>
      <c r="K19" s="57">
        <v>3737349.19</v>
      </c>
      <c r="L19" s="57">
        <v>3737044.93</v>
      </c>
      <c r="M19" s="75">
        <f t="shared" si="2"/>
        <v>99.991858935718028</v>
      </c>
      <c r="N19" s="59">
        <v>3392030.5</v>
      </c>
      <c r="O19" s="56">
        <v>0</v>
      </c>
      <c r="P19" s="57">
        <v>0</v>
      </c>
      <c r="Q19" s="57">
        <v>0</v>
      </c>
      <c r="R19" s="75" t="e">
        <f t="shared" si="3"/>
        <v>#DIV/0!</v>
      </c>
      <c r="S19" s="59">
        <v>0</v>
      </c>
      <c r="T19" s="245">
        <v>348000</v>
      </c>
      <c r="U19" s="61">
        <v>339169.07</v>
      </c>
      <c r="V19" s="61">
        <v>339169.07</v>
      </c>
      <c r="W19" s="75">
        <f t="shared" si="4"/>
        <v>100</v>
      </c>
      <c r="X19" s="244">
        <v>432452.5</v>
      </c>
    </row>
    <row r="20" spans="1:24" s="34" customFormat="1" x14ac:dyDescent="0.15">
      <c r="A20" s="55" t="s">
        <v>17</v>
      </c>
      <c r="B20" s="1233" t="s">
        <v>49</v>
      </c>
      <c r="C20" s="1233"/>
      <c r="D20" s="50" t="s">
        <v>25</v>
      </c>
      <c r="E20" s="56">
        <f t="shared" si="6"/>
        <v>1151000</v>
      </c>
      <c r="F20" s="57">
        <f t="shared" si="6"/>
        <v>1223785.07</v>
      </c>
      <c r="G20" s="57">
        <f t="shared" si="6"/>
        <v>1223785.07</v>
      </c>
      <c r="H20" s="75">
        <f t="shared" si="0"/>
        <v>100</v>
      </c>
      <c r="I20" s="59">
        <f t="shared" si="6"/>
        <v>1131317.5</v>
      </c>
      <c r="J20" s="74">
        <v>1151000</v>
      </c>
      <c r="K20" s="57">
        <v>1223785.07</v>
      </c>
      <c r="L20" s="57">
        <v>1223785.07</v>
      </c>
      <c r="M20" s="75">
        <f t="shared" si="2"/>
        <v>100</v>
      </c>
      <c r="N20" s="59">
        <v>1131317.5</v>
      </c>
      <c r="O20" s="56">
        <v>0</v>
      </c>
      <c r="P20" s="57">
        <v>0</v>
      </c>
      <c r="Q20" s="57">
        <v>0</v>
      </c>
      <c r="R20" s="75" t="e">
        <f t="shared" si="3"/>
        <v>#DIV/0!</v>
      </c>
      <c r="S20" s="59">
        <v>0</v>
      </c>
      <c r="T20" s="56">
        <v>101500</v>
      </c>
      <c r="U20" s="57">
        <v>111197.83</v>
      </c>
      <c r="V20" s="57">
        <v>111197.93</v>
      </c>
      <c r="W20" s="75">
        <f t="shared" si="4"/>
        <v>100.00008992981246</v>
      </c>
      <c r="X20" s="59">
        <v>144192.5</v>
      </c>
    </row>
    <row r="21" spans="1:24" s="34" customFormat="1" x14ac:dyDescent="0.15">
      <c r="A21" s="55" t="s">
        <v>18</v>
      </c>
      <c r="B21" s="1233" t="s">
        <v>50</v>
      </c>
      <c r="C21" s="1233"/>
      <c r="D21" s="50" t="s">
        <v>25</v>
      </c>
      <c r="E21" s="56">
        <f t="shared" si="6"/>
        <v>140000</v>
      </c>
      <c r="F21" s="57">
        <f t="shared" si="6"/>
        <v>137195.74</v>
      </c>
      <c r="G21" s="57">
        <f t="shared" si="6"/>
        <v>137195.74</v>
      </c>
      <c r="H21" s="75">
        <f t="shared" si="0"/>
        <v>100</v>
      </c>
      <c r="I21" s="59">
        <f t="shared" si="6"/>
        <v>129842.32</v>
      </c>
      <c r="J21" s="74">
        <v>140000</v>
      </c>
      <c r="K21" s="57">
        <v>137195.74</v>
      </c>
      <c r="L21" s="57">
        <v>137195.74</v>
      </c>
      <c r="M21" s="75">
        <f t="shared" si="2"/>
        <v>100</v>
      </c>
      <c r="N21" s="59">
        <v>129842.32</v>
      </c>
      <c r="O21" s="56">
        <v>0</v>
      </c>
      <c r="P21" s="57">
        <v>0</v>
      </c>
      <c r="Q21" s="57">
        <v>0</v>
      </c>
      <c r="R21" s="75" t="e">
        <f t="shared" si="3"/>
        <v>#DIV/0!</v>
      </c>
      <c r="S21" s="59">
        <v>0</v>
      </c>
      <c r="T21" s="56">
        <v>10000</v>
      </c>
      <c r="U21" s="57">
        <v>2912</v>
      </c>
      <c r="V21" s="57">
        <v>2912</v>
      </c>
      <c r="W21" s="75">
        <f t="shared" si="4"/>
        <v>100</v>
      </c>
      <c r="X21" s="59">
        <v>9825</v>
      </c>
    </row>
    <row r="22" spans="1:24" s="34" customFormat="1" x14ac:dyDescent="0.15">
      <c r="A22" s="55" t="s">
        <v>19</v>
      </c>
      <c r="B22" s="1233" t="s">
        <v>65</v>
      </c>
      <c r="C22" s="1233"/>
      <c r="D22" s="50" t="s">
        <v>25</v>
      </c>
      <c r="E22" s="56">
        <f t="shared" si="6"/>
        <v>4000</v>
      </c>
      <c r="F22" s="57">
        <f t="shared" si="6"/>
        <v>4000</v>
      </c>
      <c r="G22" s="57">
        <f t="shared" si="6"/>
        <v>3300</v>
      </c>
      <c r="H22" s="75">
        <f t="shared" si="0"/>
        <v>82.5</v>
      </c>
      <c r="I22" s="59">
        <f t="shared" si="6"/>
        <v>3300</v>
      </c>
      <c r="J22" s="74">
        <v>4000</v>
      </c>
      <c r="K22" s="57">
        <v>4000</v>
      </c>
      <c r="L22" s="57">
        <v>3300</v>
      </c>
      <c r="M22" s="75">
        <f t="shared" si="2"/>
        <v>82.5</v>
      </c>
      <c r="N22" s="59">
        <v>3300</v>
      </c>
      <c r="O22" s="56">
        <v>0</v>
      </c>
      <c r="P22" s="57">
        <v>0</v>
      </c>
      <c r="Q22" s="57">
        <v>0</v>
      </c>
      <c r="R22" s="75" t="e">
        <f t="shared" si="3"/>
        <v>#DIV/0!</v>
      </c>
      <c r="S22" s="59">
        <v>0</v>
      </c>
      <c r="T22" s="56">
        <v>0</v>
      </c>
      <c r="U22" s="57">
        <v>0</v>
      </c>
      <c r="V22" s="57">
        <v>0</v>
      </c>
      <c r="W22" s="75" t="e">
        <f t="shared" si="4"/>
        <v>#DIV/0!</v>
      </c>
      <c r="X22" s="59">
        <v>0</v>
      </c>
    </row>
    <row r="23" spans="1:24" s="34" customFormat="1" x14ac:dyDescent="0.15">
      <c r="A23" s="55" t="s">
        <v>20</v>
      </c>
      <c r="B23" s="151" t="s">
        <v>66</v>
      </c>
      <c r="C23" s="151"/>
      <c r="D23" s="50" t="s">
        <v>25</v>
      </c>
      <c r="E23" s="56">
        <f t="shared" si="6"/>
        <v>0</v>
      </c>
      <c r="F23" s="57">
        <f t="shared" si="6"/>
        <v>0</v>
      </c>
      <c r="G23" s="57">
        <f t="shared" si="6"/>
        <v>0</v>
      </c>
      <c r="H23" s="75" t="e">
        <f t="shared" si="0"/>
        <v>#DIV/0!</v>
      </c>
      <c r="I23" s="59">
        <f t="shared" si="6"/>
        <v>0</v>
      </c>
      <c r="J23" s="74">
        <v>0</v>
      </c>
      <c r="K23" s="57">
        <v>0</v>
      </c>
      <c r="L23" s="57">
        <v>0</v>
      </c>
      <c r="M23" s="75" t="e">
        <f t="shared" si="2"/>
        <v>#DIV/0!</v>
      </c>
      <c r="N23" s="59">
        <v>0</v>
      </c>
      <c r="O23" s="56">
        <v>0</v>
      </c>
      <c r="P23" s="57">
        <v>0</v>
      </c>
      <c r="Q23" s="57">
        <v>0</v>
      </c>
      <c r="R23" s="75" t="e">
        <f t="shared" si="3"/>
        <v>#DIV/0!</v>
      </c>
      <c r="S23" s="59">
        <v>0</v>
      </c>
      <c r="T23" s="56">
        <v>0</v>
      </c>
      <c r="U23" s="57">
        <v>0</v>
      </c>
      <c r="V23" s="57">
        <v>0</v>
      </c>
      <c r="W23" s="75" t="e">
        <f t="shared" si="4"/>
        <v>#DIV/0!</v>
      </c>
      <c r="X23" s="59">
        <v>0</v>
      </c>
    </row>
    <row r="24" spans="1:24" s="34" customFormat="1" x14ac:dyDescent="0.15">
      <c r="A24" s="55" t="s">
        <v>21</v>
      </c>
      <c r="B24" s="151" t="s">
        <v>73</v>
      </c>
      <c r="C24" s="151"/>
      <c r="D24" s="50" t="s">
        <v>25</v>
      </c>
      <c r="E24" s="56">
        <f t="shared" si="6"/>
        <v>0</v>
      </c>
      <c r="F24" s="57">
        <f t="shared" si="6"/>
        <v>0</v>
      </c>
      <c r="G24" s="57">
        <f t="shared" si="6"/>
        <v>0</v>
      </c>
      <c r="H24" s="75" t="e">
        <f t="shared" si="0"/>
        <v>#DIV/0!</v>
      </c>
      <c r="I24" s="59">
        <f t="shared" si="6"/>
        <v>0</v>
      </c>
      <c r="J24" s="74">
        <v>0</v>
      </c>
      <c r="K24" s="57">
        <v>0</v>
      </c>
      <c r="L24" s="57">
        <v>0</v>
      </c>
      <c r="M24" s="75" t="e">
        <f t="shared" si="2"/>
        <v>#DIV/0!</v>
      </c>
      <c r="N24" s="59">
        <v>0</v>
      </c>
      <c r="O24" s="56">
        <v>0</v>
      </c>
      <c r="P24" s="57">
        <v>0</v>
      </c>
      <c r="Q24" s="57">
        <v>0</v>
      </c>
      <c r="R24" s="75" t="e">
        <f t="shared" si="3"/>
        <v>#DIV/0!</v>
      </c>
      <c r="S24" s="59">
        <v>0</v>
      </c>
      <c r="T24" s="56">
        <v>0</v>
      </c>
      <c r="U24" s="57">
        <v>0</v>
      </c>
      <c r="V24" s="57">
        <v>0</v>
      </c>
      <c r="W24" s="75" t="e">
        <f t="shared" si="4"/>
        <v>#DIV/0!</v>
      </c>
      <c r="X24" s="59">
        <v>0</v>
      </c>
    </row>
    <row r="25" spans="1:24" s="34" customFormat="1" x14ac:dyDescent="0.15">
      <c r="A25" s="73" t="s">
        <v>22</v>
      </c>
      <c r="B25" s="154" t="s">
        <v>68</v>
      </c>
      <c r="C25" s="154"/>
      <c r="D25" s="50" t="s">
        <v>25</v>
      </c>
      <c r="E25" s="56">
        <f t="shared" si="6"/>
        <v>0</v>
      </c>
      <c r="F25" s="57">
        <f t="shared" si="6"/>
        <v>0</v>
      </c>
      <c r="G25" s="57">
        <f t="shared" si="6"/>
        <v>0</v>
      </c>
      <c r="H25" s="75" t="e">
        <f t="shared" si="0"/>
        <v>#DIV/0!</v>
      </c>
      <c r="I25" s="59">
        <f t="shared" si="6"/>
        <v>0</v>
      </c>
      <c r="J25" s="74">
        <v>0</v>
      </c>
      <c r="K25" s="75">
        <v>0</v>
      </c>
      <c r="L25" s="75">
        <v>0</v>
      </c>
      <c r="M25" s="75" t="e">
        <f t="shared" si="2"/>
        <v>#DIV/0!</v>
      </c>
      <c r="N25" s="246">
        <v>0</v>
      </c>
      <c r="O25" s="247">
        <v>0</v>
      </c>
      <c r="P25" s="75">
        <v>0</v>
      </c>
      <c r="Q25" s="75">
        <v>0</v>
      </c>
      <c r="R25" s="75" t="e">
        <f t="shared" si="3"/>
        <v>#DIV/0!</v>
      </c>
      <c r="S25" s="248">
        <v>0</v>
      </c>
      <c r="T25" s="245">
        <v>0</v>
      </c>
      <c r="U25" s="61">
        <v>0</v>
      </c>
      <c r="V25" s="61">
        <v>0</v>
      </c>
      <c r="W25" s="75" t="e">
        <f t="shared" si="4"/>
        <v>#DIV/0!</v>
      </c>
      <c r="X25" s="244">
        <v>0</v>
      </c>
    </row>
    <row r="26" spans="1:24" s="38" customFormat="1" x14ac:dyDescent="0.15">
      <c r="A26" s="55" t="s">
        <v>23</v>
      </c>
      <c r="B26" s="1233" t="s">
        <v>69</v>
      </c>
      <c r="C26" s="1233"/>
      <c r="D26" s="50" t="s">
        <v>25</v>
      </c>
      <c r="E26" s="56">
        <f t="shared" si="6"/>
        <v>740000</v>
      </c>
      <c r="F26" s="57">
        <f t="shared" si="6"/>
        <v>780404</v>
      </c>
      <c r="G26" s="57">
        <f t="shared" si="6"/>
        <v>741149.61</v>
      </c>
      <c r="H26" s="626">
        <f t="shared" si="0"/>
        <v>94.969991184053384</v>
      </c>
      <c r="I26" s="59">
        <f t="shared" si="6"/>
        <v>696062.5</v>
      </c>
      <c r="J26" s="74">
        <v>740000</v>
      </c>
      <c r="K26" s="82">
        <v>780404</v>
      </c>
      <c r="L26" s="82">
        <v>741149.61</v>
      </c>
      <c r="M26" s="75">
        <f t="shared" si="2"/>
        <v>94.969991184053384</v>
      </c>
      <c r="N26" s="59">
        <v>696062.5</v>
      </c>
      <c r="O26" s="251">
        <v>0</v>
      </c>
      <c r="P26" s="82">
        <v>0</v>
      </c>
      <c r="Q26" s="82">
        <v>0</v>
      </c>
      <c r="R26" s="75" t="e">
        <f t="shared" si="3"/>
        <v>#DIV/0!</v>
      </c>
      <c r="S26" s="246">
        <v>0</v>
      </c>
      <c r="T26" s="56">
        <v>0</v>
      </c>
      <c r="U26" s="57">
        <v>38625.5</v>
      </c>
      <c r="V26" s="57">
        <v>38625.5</v>
      </c>
      <c r="W26" s="75">
        <f t="shared" si="4"/>
        <v>100</v>
      </c>
      <c r="X26" s="59">
        <v>43365.5</v>
      </c>
    </row>
    <row r="27" spans="1:24" s="39" customFormat="1" x14ac:dyDescent="0.15">
      <c r="A27" s="55" t="s">
        <v>45</v>
      </c>
      <c r="B27" s="151" t="s">
        <v>70</v>
      </c>
      <c r="C27" s="151"/>
      <c r="D27" s="50" t="s">
        <v>25</v>
      </c>
      <c r="E27" s="56">
        <f t="shared" si="6"/>
        <v>0</v>
      </c>
      <c r="F27" s="57">
        <f t="shared" si="6"/>
        <v>0</v>
      </c>
      <c r="G27" s="57">
        <f t="shared" si="6"/>
        <v>0</v>
      </c>
      <c r="H27" s="626" t="e">
        <f t="shared" si="0"/>
        <v>#DIV/0!</v>
      </c>
      <c r="I27" s="59">
        <f t="shared" si="6"/>
        <v>0</v>
      </c>
      <c r="J27" s="74">
        <v>0</v>
      </c>
      <c r="K27" s="82">
        <v>0</v>
      </c>
      <c r="L27" s="82">
        <v>0</v>
      </c>
      <c r="M27" s="75" t="e">
        <f t="shared" si="2"/>
        <v>#DIV/0!</v>
      </c>
      <c r="N27" s="246">
        <v>0</v>
      </c>
      <c r="O27" s="251">
        <v>0</v>
      </c>
      <c r="P27" s="82">
        <v>0</v>
      </c>
      <c r="Q27" s="82">
        <v>0</v>
      </c>
      <c r="R27" s="75" t="e">
        <f t="shared" si="3"/>
        <v>#DIV/0!</v>
      </c>
      <c r="S27" s="246">
        <v>0</v>
      </c>
      <c r="T27" s="56">
        <v>0</v>
      </c>
      <c r="U27" s="57">
        <v>0</v>
      </c>
      <c r="V27" s="57">
        <v>0</v>
      </c>
      <c r="W27" s="75" t="e">
        <f t="shared" si="4"/>
        <v>#DIV/0!</v>
      </c>
      <c r="X27" s="59">
        <v>0</v>
      </c>
    </row>
    <row r="28" spans="1:24" s="39" customFormat="1" x14ac:dyDescent="0.15">
      <c r="A28" s="55" t="s">
        <v>51</v>
      </c>
      <c r="B28" s="151" t="s">
        <v>74</v>
      </c>
      <c r="C28" s="151"/>
      <c r="D28" s="50" t="s">
        <v>25</v>
      </c>
      <c r="E28" s="56">
        <v>0</v>
      </c>
      <c r="F28" s="57">
        <f t="shared" ref="F28:G32" si="7">SUM(K28,P28)</f>
        <v>44000</v>
      </c>
      <c r="G28" s="57">
        <f t="shared" si="7"/>
        <v>38490</v>
      </c>
      <c r="H28" s="626">
        <f t="shared" si="0"/>
        <v>87.47727272727272</v>
      </c>
      <c r="I28" s="59">
        <f t="shared" ref="I28:I32" si="8">SUM(N28,S28)</f>
        <v>99011</v>
      </c>
      <c r="J28" s="74">
        <v>0</v>
      </c>
      <c r="K28" s="82">
        <v>44000</v>
      </c>
      <c r="L28" s="82">
        <v>38490</v>
      </c>
      <c r="M28" s="75">
        <f t="shared" si="2"/>
        <v>87.47727272727272</v>
      </c>
      <c r="N28" s="246">
        <v>99011</v>
      </c>
      <c r="O28" s="251">
        <v>0</v>
      </c>
      <c r="P28" s="82">
        <v>0</v>
      </c>
      <c r="Q28" s="82">
        <v>0</v>
      </c>
      <c r="R28" s="75" t="e">
        <f t="shared" si="3"/>
        <v>#DIV/0!</v>
      </c>
      <c r="S28" s="246">
        <v>0</v>
      </c>
      <c r="T28" s="56">
        <v>0</v>
      </c>
      <c r="U28" s="57">
        <v>0</v>
      </c>
      <c r="V28" s="57">
        <v>0</v>
      </c>
      <c r="W28" s="75" t="e">
        <f t="shared" si="4"/>
        <v>#DIV/0!</v>
      </c>
      <c r="X28" s="59">
        <v>0</v>
      </c>
    </row>
    <row r="29" spans="1:24" s="38" customFormat="1" x14ac:dyDescent="0.15">
      <c r="A29" s="55" t="s">
        <v>52</v>
      </c>
      <c r="B29" s="1233" t="s">
        <v>67</v>
      </c>
      <c r="C29" s="1233"/>
      <c r="D29" s="50" t="s">
        <v>25</v>
      </c>
      <c r="E29" s="56">
        <f t="shared" ref="E29:E31" si="9">SUM(J29,O29)</f>
        <v>4000</v>
      </c>
      <c r="F29" s="57">
        <f t="shared" si="7"/>
        <v>4000</v>
      </c>
      <c r="G29" s="57">
        <f t="shared" si="7"/>
        <v>3840.5</v>
      </c>
      <c r="H29" s="626">
        <f t="shared" si="0"/>
        <v>96.012500000000003</v>
      </c>
      <c r="I29" s="59">
        <f t="shared" si="8"/>
        <v>3825.5</v>
      </c>
      <c r="J29" s="74">
        <v>4000</v>
      </c>
      <c r="K29" s="82">
        <v>4000</v>
      </c>
      <c r="L29" s="82">
        <v>3840.5</v>
      </c>
      <c r="M29" s="75">
        <f t="shared" si="2"/>
        <v>96.012500000000003</v>
      </c>
      <c r="N29" s="246">
        <v>3825.5</v>
      </c>
      <c r="O29" s="251">
        <v>0</v>
      </c>
      <c r="P29" s="82">
        <v>0</v>
      </c>
      <c r="Q29" s="82">
        <v>0</v>
      </c>
      <c r="R29" s="75" t="e">
        <f t="shared" si="3"/>
        <v>#DIV/0!</v>
      </c>
      <c r="S29" s="246">
        <v>0</v>
      </c>
      <c r="T29" s="56">
        <v>0</v>
      </c>
      <c r="U29" s="57">
        <v>70</v>
      </c>
      <c r="V29" s="57">
        <v>70</v>
      </c>
      <c r="W29" s="75">
        <f t="shared" si="4"/>
        <v>100</v>
      </c>
      <c r="X29" s="59">
        <v>85</v>
      </c>
    </row>
    <row r="30" spans="1:24" s="34" customFormat="1" x14ac:dyDescent="0.15">
      <c r="A30" s="55" t="s">
        <v>54</v>
      </c>
      <c r="B30" s="151" t="s">
        <v>53</v>
      </c>
      <c r="C30" s="151"/>
      <c r="D30" s="50" t="s">
        <v>25</v>
      </c>
      <c r="E30" s="56">
        <f t="shared" si="9"/>
        <v>0</v>
      </c>
      <c r="F30" s="57">
        <f t="shared" si="7"/>
        <v>2170</v>
      </c>
      <c r="G30" s="57">
        <f t="shared" si="7"/>
        <v>2167.34</v>
      </c>
      <c r="H30" s="626">
        <f t="shared" si="0"/>
        <v>99.877419354838707</v>
      </c>
      <c r="I30" s="59">
        <f t="shared" si="8"/>
        <v>0</v>
      </c>
      <c r="J30" s="74">
        <v>0</v>
      </c>
      <c r="K30" s="82">
        <v>2170</v>
      </c>
      <c r="L30" s="82">
        <v>2167.34</v>
      </c>
      <c r="M30" s="75">
        <f t="shared" si="2"/>
        <v>99.877419354838707</v>
      </c>
      <c r="N30" s="246">
        <v>0</v>
      </c>
      <c r="O30" s="251">
        <v>0</v>
      </c>
      <c r="P30" s="82">
        <v>0</v>
      </c>
      <c r="Q30" s="82">
        <v>0</v>
      </c>
      <c r="R30" s="75" t="e">
        <f t="shared" si="3"/>
        <v>#DIV/0!</v>
      </c>
      <c r="S30" s="246">
        <v>0</v>
      </c>
      <c r="T30" s="56">
        <v>0</v>
      </c>
      <c r="U30" s="57">
        <v>0</v>
      </c>
      <c r="V30" s="57">
        <v>0</v>
      </c>
      <c r="W30" s="75" t="e">
        <f t="shared" si="4"/>
        <v>#DIV/0!</v>
      </c>
      <c r="X30" s="59">
        <v>0</v>
      </c>
    </row>
    <row r="31" spans="1:24" s="5" customFormat="1" ht="8.4" x14ac:dyDescent="0.2">
      <c r="A31" s="55" t="s">
        <v>55</v>
      </c>
      <c r="B31" s="66" t="s">
        <v>71</v>
      </c>
      <c r="C31" s="66"/>
      <c r="D31" s="50" t="s">
        <v>25</v>
      </c>
      <c r="E31" s="56">
        <f t="shared" si="9"/>
        <v>0</v>
      </c>
      <c r="F31" s="57">
        <f t="shared" si="7"/>
        <v>0</v>
      </c>
      <c r="G31" s="57">
        <f t="shared" si="7"/>
        <v>0</v>
      </c>
      <c r="H31" s="626" t="e">
        <f t="shared" si="0"/>
        <v>#DIV/0!</v>
      </c>
      <c r="I31" s="59">
        <f t="shared" si="8"/>
        <v>0</v>
      </c>
      <c r="J31" s="74">
        <v>0</v>
      </c>
      <c r="K31" s="84">
        <v>0</v>
      </c>
      <c r="L31" s="84">
        <v>0</v>
      </c>
      <c r="M31" s="75" t="e">
        <f t="shared" si="2"/>
        <v>#DIV/0!</v>
      </c>
      <c r="N31" s="254">
        <v>0</v>
      </c>
      <c r="O31" s="255">
        <v>0</v>
      </c>
      <c r="P31" s="84">
        <v>0</v>
      </c>
      <c r="Q31" s="84">
        <v>0</v>
      </c>
      <c r="R31" s="75" t="e">
        <f t="shared" si="3"/>
        <v>#DIV/0!</v>
      </c>
      <c r="S31" s="254">
        <v>0</v>
      </c>
      <c r="T31" s="255">
        <v>0</v>
      </c>
      <c r="U31" s="84">
        <v>0</v>
      </c>
      <c r="V31" s="84">
        <v>0</v>
      </c>
      <c r="W31" s="75" t="e">
        <f t="shared" si="4"/>
        <v>#DIV/0!</v>
      </c>
      <c r="X31" s="254">
        <v>0</v>
      </c>
    </row>
    <row r="32" spans="1:24" s="5" customFormat="1" x14ac:dyDescent="0.15">
      <c r="A32" s="73" t="s">
        <v>56</v>
      </c>
      <c r="B32" s="154" t="s">
        <v>72</v>
      </c>
      <c r="C32" s="154"/>
      <c r="D32" s="50" t="s">
        <v>25</v>
      </c>
      <c r="E32" s="56">
        <f>SUM(J32,O32)</f>
        <v>0</v>
      </c>
      <c r="F32" s="57">
        <f t="shared" si="7"/>
        <v>0</v>
      </c>
      <c r="G32" s="57">
        <f t="shared" si="7"/>
        <v>0</v>
      </c>
      <c r="H32" s="626" t="e">
        <f t="shared" si="0"/>
        <v>#DIV/0!</v>
      </c>
      <c r="I32" s="59">
        <f t="shared" si="8"/>
        <v>0</v>
      </c>
      <c r="J32" s="86">
        <v>0</v>
      </c>
      <c r="K32" s="31">
        <v>0</v>
      </c>
      <c r="L32" s="31">
        <v>0</v>
      </c>
      <c r="M32" s="75" t="e">
        <f t="shared" si="2"/>
        <v>#DIV/0!</v>
      </c>
      <c r="N32" s="257">
        <v>0</v>
      </c>
      <c r="O32" s="256">
        <v>0</v>
      </c>
      <c r="P32" s="31">
        <v>0</v>
      </c>
      <c r="Q32" s="31">
        <v>0</v>
      </c>
      <c r="R32" s="75" t="e">
        <f t="shared" si="3"/>
        <v>#DIV/0!</v>
      </c>
      <c r="S32" s="257">
        <v>0</v>
      </c>
      <c r="T32" s="255">
        <v>0</v>
      </c>
      <c r="U32" s="84">
        <v>0</v>
      </c>
      <c r="V32" s="84">
        <v>0</v>
      </c>
      <c r="W32" s="75" t="e">
        <f t="shared" si="4"/>
        <v>#DIV/0!</v>
      </c>
      <c r="X32" s="254">
        <v>0</v>
      </c>
    </row>
    <row r="33" spans="1:24" s="5" customFormat="1" x14ac:dyDescent="0.15">
      <c r="A33" s="49" t="s">
        <v>57</v>
      </c>
      <c r="B33" s="153" t="s">
        <v>58</v>
      </c>
      <c r="C33" s="153"/>
      <c r="D33" s="50" t="s">
        <v>25</v>
      </c>
      <c r="E33" s="51">
        <f>E6-E11</f>
        <v>0</v>
      </c>
      <c r="F33" s="52">
        <f t="shared" ref="F33:G33" si="10">F6-F11</f>
        <v>0</v>
      </c>
      <c r="G33" s="52">
        <f t="shared" si="10"/>
        <v>150055.24000000022</v>
      </c>
      <c r="H33" s="627" t="e">
        <f t="shared" si="0"/>
        <v>#DIV/0!</v>
      </c>
      <c r="I33" s="53">
        <f t="shared" ref="I33:L33" si="11">I6-I11</f>
        <v>0</v>
      </c>
      <c r="J33" s="51">
        <f t="shared" si="11"/>
        <v>0</v>
      </c>
      <c r="K33" s="52">
        <f t="shared" si="11"/>
        <v>0</v>
      </c>
      <c r="L33" s="52">
        <f t="shared" si="11"/>
        <v>150055.24000000022</v>
      </c>
      <c r="M33" s="625" t="e">
        <f t="shared" si="2"/>
        <v>#DIV/0!</v>
      </c>
      <c r="N33" s="53">
        <f t="shared" ref="N33:Q33" si="12">N6-N11</f>
        <v>0</v>
      </c>
      <c r="O33" s="51">
        <f t="shared" si="12"/>
        <v>0</v>
      </c>
      <c r="P33" s="52">
        <f>P6-P11</f>
        <v>0</v>
      </c>
      <c r="Q33" s="52">
        <f t="shared" si="12"/>
        <v>0</v>
      </c>
      <c r="R33" s="625" t="e">
        <f t="shared" si="3"/>
        <v>#DIV/0!</v>
      </c>
      <c r="S33" s="53">
        <f t="shared" ref="S33:V33" si="13">S6-S11</f>
        <v>0</v>
      </c>
      <c r="T33" s="51">
        <f t="shared" si="13"/>
        <v>3500</v>
      </c>
      <c r="U33" s="52">
        <f t="shared" si="13"/>
        <v>3499.5</v>
      </c>
      <c r="V33" s="52">
        <f t="shared" si="13"/>
        <v>11737.619999999879</v>
      </c>
      <c r="W33" s="75">
        <f t="shared" si="4"/>
        <v>335.40848692670033</v>
      </c>
      <c r="X33" s="53">
        <f>X6-X11</f>
        <v>21264.300000000047</v>
      </c>
    </row>
    <row r="34" spans="1:24" s="6" customFormat="1" x14ac:dyDescent="0.15">
      <c r="A34" s="90" t="s">
        <v>59</v>
      </c>
      <c r="B34" s="1239" t="s">
        <v>24</v>
      </c>
      <c r="C34" s="1239"/>
      <c r="D34" s="91" t="s">
        <v>25</v>
      </c>
      <c r="E34" s="92">
        <v>30981</v>
      </c>
      <c r="F34" s="93">
        <v>30981</v>
      </c>
      <c r="G34" s="93">
        <v>32331</v>
      </c>
      <c r="H34" s="626">
        <f t="shared" si="0"/>
        <v>104.35750944127045</v>
      </c>
      <c r="I34" s="94">
        <v>31765</v>
      </c>
      <c r="J34" s="258">
        <v>30981</v>
      </c>
      <c r="K34" s="96">
        <v>30981</v>
      </c>
      <c r="L34" s="96"/>
      <c r="M34" s="75">
        <f t="shared" si="2"/>
        <v>0</v>
      </c>
      <c r="N34" s="259">
        <v>31765</v>
      </c>
      <c r="O34" s="258"/>
      <c r="P34" s="96"/>
      <c r="Q34" s="96"/>
      <c r="R34" s="75" t="e">
        <f t="shared" si="3"/>
        <v>#DIV/0!</v>
      </c>
      <c r="S34" s="628"/>
      <c r="T34" s="258"/>
      <c r="U34" s="96"/>
      <c r="V34" s="96"/>
      <c r="W34" s="75" t="e">
        <f t="shared" si="4"/>
        <v>#DIV/0!</v>
      </c>
      <c r="X34" s="259"/>
    </row>
    <row r="35" spans="1:24" s="6" customFormat="1" x14ac:dyDescent="0.15">
      <c r="A35" s="99" t="s">
        <v>60</v>
      </c>
      <c r="B35" s="1240" t="s">
        <v>33</v>
      </c>
      <c r="C35" s="1240"/>
      <c r="D35" s="100" t="s">
        <v>26</v>
      </c>
      <c r="E35" s="260">
        <v>9.125</v>
      </c>
      <c r="F35" s="198">
        <v>9.125</v>
      </c>
      <c r="G35" s="198">
        <v>9.125</v>
      </c>
      <c r="H35" s="626">
        <f t="shared" si="0"/>
        <v>100</v>
      </c>
      <c r="I35" s="434">
        <v>9.125</v>
      </c>
      <c r="J35" s="435">
        <v>9.125</v>
      </c>
      <c r="K35" s="243">
        <v>9.125</v>
      </c>
      <c r="L35" s="243">
        <v>9.125</v>
      </c>
      <c r="M35" s="75">
        <f t="shared" si="2"/>
        <v>100</v>
      </c>
      <c r="N35" s="437">
        <v>9.125</v>
      </c>
      <c r="O35" s="258"/>
      <c r="P35" s="96"/>
      <c r="Q35" s="96"/>
      <c r="R35" s="75" t="e">
        <f t="shared" si="3"/>
        <v>#DIV/0!</v>
      </c>
      <c r="S35" s="628"/>
      <c r="T35" s="258"/>
      <c r="U35" s="96"/>
      <c r="V35" s="96"/>
      <c r="W35" s="75" t="e">
        <f t="shared" si="4"/>
        <v>#DIV/0!</v>
      </c>
      <c r="X35" s="259"/>
    </row>
    <row r="36" spans="1:24" s="6" customFormat="1" ht="8.4" thickBot="1" x14ac:dyDescent="0.2">
      <c r="A36" s="103" t="s">
        <v>61</v>
      </c>
      <c r="B36" s="1241" t="s">
        <v>27</v>
      </c>
      <c r="C36" s="1241"/>
      <c r="D36" s="104" t="s">
        <v>26</v>
      </c>
      <c r="E36" s="105">
        <v>11</v>
      </c>
      <c r="F36" s="106">
        <v>11</v>
      </c>
      <c r="G36" s="106">
        <v>11</v>
      </c>
      <c r="H36" s="629">
        <f t="shared" si="0"/>
        <v>100</v>
      </c>
      <c r="I36" s="108">
        <v>11</v>
      </c>
      <c r="J36" s="264">
        <v>11</v>
      </c>
      <c r="K36" s="110">
        <v>11</v>
      </c>
      <c r="L36" s="110">
        <v>11</v>
      </c>
      <c r="M36" s="630">
        <f t="shared" si="2"/>
        <v>100</v>
      </c>
      <c r="N36" s="265">
        <v>11</v>
      </c>
      <c r="O36" s="264"/>
      <c r="P36" s="110"/>
      <c r="Q36" s="110"/>
      <c r="R36" s="630" t="e">
        <f t="shared" si="3"/>
        <v>#DIV/0!</v>
      </c>
      <c r="S36" s="631"/>
      <c r="T36" s="264"/>
      <c r="U36" s="110"/>
      <c r="V36" s="110"/>
      <c r="W36" s="630" t="e">
        <f t="shared" si="4"/>
        <v>#DIV/0!</v>
      </c>
      <c r="X36" s="265"/>
    </row>
  </sheetData>
  <mergeCells count="39">
    <mergeCell ref="B26:C26"/>
    <mergeCell ref="B29:C29"/>
    <mergeCell ref="B34:C34"/>
    <mergeCell ref="B35:C35"/>
    <mergeCell ref="B36:C36"/>
    <mergeCell ref="B22:C22"/>
    <mergeCell ref="B8:C8"/>
    <mergeCell ref="B10:C10"/>
    <mergeCell ref="B11:C11"/>
    <mergeCell ref="B12:C12"/>
    <mergeCell ref="B13:C13"/>
    <mergeCell ref="B15:C15"/>
    <mergeCell ref="B16:C16"/>
    <mergeCell ref="B18:C18"/>
    <mergeCell ref="B19:C19"/>
    <mergeCell ref="B20:C20"/>
    <mergeCell ref="B21:C21"/>
    <mergeCell ref="B7:C7"/>
    <mergeCell ref="I4:I5"/>
    <mergeCell ref="J4:J5"/>
    <mergeCell ref="K4:M4"/>
    <mergeCell ref="N4:N5"/>
    <mergeCell ref="B6:C6"/>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s>
  <pageMargins left="0.23622047244094491" right="0.23622047244094491" top="0.74803149606299213" bottom="0.74803149606299213" header="0.31496062992125984" footer="0.31496062992125984"/>
  <pageSetup paperSize="9" scale="97" firstPageNumber="201" orientation="landscape" useFirstPageNumber="1" r:id="rId1"/>
  <headerFoot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zoomScaleNormal="100" workbookViewId="0">
      <selection activeCell="E15" sqref="E15"/>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961" customFormat="1" ht="17.399999999999999" x14ac:dyDescent="0.3">
      <c r="A1" s="961" t="s">
        <v>75</v>
      </c>
      <c r="B1" s="961" t="s">
        <v>620</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956" t="s">
        <v>25</v>
      </c>
      <c r="D5" s="1256" t="s">
        <v>103</v>
      </c>
      <c r="E5" s="1256"/>
      <c r="F5" s="1256"/>
      <c r="G5" s="1256"/>
      <c r="H5" s="1256"/>
      <c r="I5" s="1256"/>
    </row>
    <row r="6" spans="1:9" s="8" customFormat="1" ht="15" customHeight="1" x14ac:dyDescent="0.2">
      <c r="A6" s="1267" t="s">
        <v>104</v>
      </c>
      <c r="B6" s="1267"/>
      <c r="C6" s="113">
        <f>SUM(C7:C9)</f>
        <v>161793.35999999999</v>
      </c>
      <c r="D6" s="1262"/>
      <c r="E6" s="1263"/>
      <c r="F6" s="1263"/>
      <c r="G6" s="1263"/>
      <c r="H6" s="1263"/>
      <c r="I6" s="1263"/>
    </row>
    <row r="7" spans="1:9" s="8" customFormat="1" ht="29.25" customHeight="1" x14ac:dyDescent="0.2">
      <c r="A7" s="1257" t="s">
        <v>77</v>
      </c>
      <c r="B7" s="1258"/>
      <c r="C7" s="114">
        <v>150055.24</v>
      </c>
      <c r="D7" s="1261"/>
      <c r="E7" s="1261"/>
      <c r="F7" s="1261"/>
      <c r="G7" s="1261"/>
      <c r="H7" s="1261"/>
      <c r="I7" s="1261"/>
    </row>
    <row r="8" spans="1:9" s="7" customFormat="1" ht="29.25" customHeight="1" x14ac:dyDescent="0.2">
      <c r="A8" s="1259" t="s">
        <v>78</v>
      </c>
      <c r="B8" s="1260"/>
      <c r="C8" s="115">
        <v>11738.12</v>
      </c>
      <c r="D8" s="1261"/>
      <c r="E8" s="1261"/>
      <c r="F8" s="1261"/>
      <c r="G8" s="1261"/>
      <c r="H8" s="1261"/>
      <c r="I8" s="1261"/>
    </row>
    <row r="9" spans="1:9" s="7" customFormat="1" ht="15" customHeight="1" x14ac:dyDescent="0.2">
      <c r="A9" s="1259" t="s">
        <v>79</v>
      </c>
      <c r="B9" s="1260"/>
      <c r="C9" s="115"/>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956" t="s">
        <v>76</v>
      </c>
      <c r="B13" s="956" t="s">
        <v>80</v>
      </c>
      <c r="C13" s="956" t="s">
        <v>25</v>
      </c>
      <c r="D13" s="118"/>
      <c r="E13" s="119"/>
      <c r="F13" s="119"/>
      <c r="G13" s="119"/>
      <c r="H13" s="119"/>
      <c r="I13" s="119"/>
    </row>
    <row r="14" spans="1:9" s="8" customFormat="1" ht="15" customHeight="1" x14ac:dyDescent="0.2">
      <c r="A14" s="12" t="s">
        <v>81</v>
      </c>
      <c r="B14" s="13"/>
      <c r="C14" s="120"/>
      <c r="D14" s="121"/>
      <c r="E14" s="122"/>
      <c r="F14" s="122"/>
      <c r="G14" s="122"/>
      <c r="H14" s="122"/>
      <c r="I14" s="122"/>
    </row>
    <row r="15" spans="1:9" s="8" customFormat="1" ht="15" customHeight="1" x14ac:dyDescent="0.2">
      <c r="A15" s="1249" t="s">
        <v>82</v>
      </c>
      <c r="B15" s="123" t="s">
        <v>98</v>
      </c>
      <c r="C15" s="124"/>
      <c r="D15" s="121"/>
      <c r="E15" s="122"/>
      <c r="F15" s="122"/>
      <c r="G15" s="122"/>
      <c r="H15" s="122"/>
      <c r="I15" s="122"/>
    </row>
    <row r="16" spans="1:9" s="8" customFormat="1" ht="15" customHeight="1" x14ac:dyDescent="0.2">
      <c r="A16" s="1250"/>
      <c r="B16" s="14" t="s">
        <v>83</v>
      </c>
      <c r="C16" s="125">
        <v>121793.36</v>
      </c>
      <c r="D16" s="126"/>
      <c r="E16" s="127"/>
      <c r="F16" s="127"/>
      <c r="G16" s="127"/>
      <c r="H16" s="127"/>
      <c r="I16" s="127"/>
    </row>
    <row r="17" spans="1:9" s="8" customFormat="1" ht="15" customHeight="1" x14ac:dyDescent="0.2">
      <c r="A17" s="1251"/>
      <c r="B17" s="15" t="s">
        <v>84</v>
      </c>
      <c r="C17" s="128">
        <v>40000</v>
      </c>
      <c r="D17" s="129"/>
      <c r="E17" s="130"/>
      <c r="F17" s="130"/>
      <c r="G17" s="130"/>
      <c r="H17" s="130"/>
      <c r="I17" s="130"/>
    </row>
    <row r="18" spans="1:9" s="8" customFormat="1" ht="15" customHeight="1" x14ac:dyDescent="0.2">
      <c r="A18" s="959" t="s">
        <v>104</v>
      </c>
      <c r="B18" s="16"/>
      <c r="C18" s="131">
        <f>SUM(C14:C17)</f>
        <v>161793.35999999999</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956" t="s">
        <v>80</v>
      </c>
      <c r="B22" s="956" t="s">
        <v>109</v>
      </c>
      <c r="C22" s="960" t="s">
        <v>110</v>
      </c>
      <c r="D22" s="956" t="s">
        <v>111</v>
      </c>
      <c r="E22" s="956" t="s">
        <v>112</v>
      </c>
      <c r="F22" s="1256" t="s">
        <v>113</v>
      </c>
      <c r="G22" s="1256"/>
      <c r="H22" s="1256"/>
      <c r="I22" s="1256"/>
    </row>
    <row r="23" spans="1:9" s="8" customFormat="1" ht="41.1" customHeight="1" x14ac:dyDescent="0.2">
      <c r="A23" s="17" t="s">
        <v>85</v>
      </c>
      <c r="B23" s="139">
        <v>92213.72</v>
      </c>
      <c r="C23" s="139">
        <v>0</v>
      </c>
      <c r="D23" s="139">
        <v>87260</v>
      </c>
      <c r="E23" s="139">
        <f>B23+C23-D23</f>
        <v>4953.7200000000012</v>
      </c>
      <c r="F23" s="1253" t="s">
        <v>1238</v>
      </c>
      <c r="G23" s="1254"/>
      <c r="H23" s="1254"/>
      <c r="I23" s="1255"/>
    </row>
    <row r="24" spans="1:9" s="8" customFormat="1" ht="41.1" customHeight="1" x14ac:dyDescent="0.2">
      <c r="A24" s="14" t="s">
        <v>86</v>
      </c>
      <c r="B24" s="140">
        <v>554114.36</v>
      </c>
      <c r="C24" s="140">
        <v>781775.11</v>
      </c>
      <c r="D24" s="140">
        <v>803681.7</v>
      </c>
      <c r="E24" s="140">
        <f t="shared" ref="E24:E26" si="0">B24+C24-D24</f>
        <v>532207.77</v>
      </c>
      <c r="F24" s="1242" t="s">
        <v>1239</v>
      </c>
      <c r="G24" s="1243"/>
      <c r="H24" s="1243"/>
      <c r="I24" s="1244"/>
    </row>
    <row r="25" spans="1:9" s="8" customFormat="1" ht="41.1" customHeight="1" x14ac:dyDescent="0.2">
      <c r="A25" s="14" t="s">
        <v>84</v>
      </c>
      <c r="B25" s="140">
        <v>7184.27</v>
      </c>
      <c r="C25" s="140">
        <v>21264.799999999999</v>
      </c>
      <c r="D25" s="140">
        <v>2100</v>
      </c>
      <c r="E25" s="140">
        <f t="shared" si="0"/>
        <v>26349.07</v>
      </c>
      <c r="F25" s="1242" t="s">
        <v>1240</v>
      </c>
      <c r="G25" s="1243"/>
      <c r="H25" s="1243"/>
      <c r="I25" s="1244"/>
    </row>
    <row r="26" spans="1:9" s="8" customFormat="1" ht="41.1" customHeight="1" x14ac:dyDescent="0.2">
      <c r="A26" s="15" t="s">
        <v>87</v>
      </c>
      <c r="B26" s="141">
        <v>16894.7</v>
      </c>
      <c r="C26" s="141">
        <v>64725.74</v>
      </c>
      <c r="D26" s="141">
        <v>49704</v>
      </c>
      <c r="E26" s="140">
        <f t="shared" si="0"/>
        <v>31916.440000000002</v>
      </c>
      <c r="F26" s="1242" t="s">
        <v>1241</v>
      </c>
      <c r="G26" s="1243"/>
      <c r="H26" s="1243"/>
      <c r="I26" s="1244"/>
    </row>
    <row r="27" spans="1:9" s="7" customFormat="1" ht="10.199999999999999" x14ac:dyDescent="0.2">
      <c r="A27" s="10" t="s">
        <v>34</v>
      </c>
      <c r="B27" s="113">
        <f>SUM(B23:B26)</f>
        <v>670407.04999999993</v>
      </c>
      <c r="C27" s="113">
        <f t="shared" ref="C27:E27" si="1">SUM(C23:C26)</f>
        <v>867765.65</v>
      </c>
      <c r="D27" s="113">
        <f t="shared" si="1"/>
        <v>942745.7</v>
      </c>
      <c r="E27" s="113">
        <f t="shared" si="1"/>
        <v>595427</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956" t="s">
        <v>88</v>
      </c>
      <c r="B31" s="956" t="s">
        <v>25</v>
      </c>
      <c r="C31" s="960" t="s">
        <v>89</v>
      </c>
      <c r="D31" s="1256" t="s">
        <v>90</v>
      </c>
      <c r="E31" s="1256"/>
      <c r="F31" s="1256"/>
      <c r="G31" s="1256"/>
      <c r="H31" s="1256"/>
      <c r="I31" s="1256"/>
    </row>
    <row r="32" spans="1:9" s="8" customFormat="1" ht="15" customHeight="1" x14ac:dyDescent="0.2">
      <c r="A32" s="19" t="s">
        <v>1242</v>
      </c>
      <c r="B32" s="139"/>
      <c r="C32" s="20"/>
      <c r="D32" s="1270"/>
      <c r="E32" s="1271"/>
      <c r="F32" s="1271"/>
      <c r="G32" s="1271"/>
      <c r="H32" s="1271"/>
      <c r="I32" s="1272"/>
    </row>
    <row r="33" spans="1:9" s="8" customFormat="1" ht="15" customHeight="1" x14ac:dyDescent="0.2">
      <c r="A33" s="18"/>
      <c r="B33" s="141"/>
      <c r="C33" s="32"/>
      <c r="D33" s="1273"/>
      <c r="E33" s="1274"/>
      <c r="F33" s="1274"/>
      <c r="G33" s="1274"/>
      <c r="H33" s="1274"/>
      <c r="I33" s="1275"/>
    </row>
    <row r="34" spans="1:9" s="8" customFormat="1" ht="15" customHeight="1" x14ac:dyDescent="0.2">
      <c r="A34" s="18"/>
      <c r="B34" s="141"/>
      <c r="C34" s="33"/>
      <c r="D34" s="1273"/>
      <c r="E34" s="1274"/>
      <c r="F34" s="1274"/>
      <c r="G34" s="1274"/>
      <c r="H34" s="1274"/>
      <c r="I34" s="1275"/>
    </row>
    <row r="35" spans="1:9" s="7" customFormat="1" ht="10.199999999999999" x14ac:dyDescent="0.2">
      <c r="A35" s="10" t="s">
        <v>34</v>
      </c>
      <c r="B35" s="113">
        <f>SUM(B32:B34)</f>
        <v>0</v>
      </c>
      <c r="C35" s="1276"/>
      <c r="D35" s="1277"/>
      <c r="E35" s="1277"/>
      <c r="F35" s="1277"/>
      <c r="G35" s="1277"/>
      <c r="H35" s="1277"/>
      <c r="I35" s="1278"/>
    </row>
    <row r="36" spans="1:9" s="8" customFormat="1" ht="10.199999999999999" x14ac:dyDescent="0.2">
      <c r="C36" s="116"/>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row>
    <row r="39" spans="1:9" s="8" customFormat="1" ht="10.199999999999999" x14ac:dyDescent="0.2">
      <c r="A39" s="956" t="s">
        <v>88</v>
      </c>
      <c r="B39" s="956" t="s">
        <v>25</v>
      </c>
      <c r="C39" s="960" t="s">
        <v>89</v>
      </c>
      <c r="D39" s="1279" t="s">
        <v>90</v>
      </c>
      <c r="E39" s="1279"/>
      <c r="F39" s="1279"/>
      <c r="G39" s="1279"/>
      <c r="H39" s="1279"/>
      <c r="I39" s="1280"/>
    </row>
    <row r="40" spans="1:9" s="8" customFormat="1" ht="15" customHeight="1" x14ac:dyDescent="0.2">
      <c r="A40" s="19" t="s">
        <v>1242</v>
      </c>
      <c r="B40" s="139"/>
      <c r="C40" s="20"/>
      <c r="D40" s="1242"/>
      <c r="E40" s="1281"/>
      <c r="F40" s="1281"/>
      <c r="G40" s="1281"/>
      <c r="H40" s="1281"/>
      <c r="I40" s="1282"/>
    </row>
    <row r="41" spans="1:9" s="8" customFormat="1" ht="15" customHeight="1" x14ac:dyDescent="0.2">
      <c r="A41" s="21"/>
      <c r="B41" s="140"/>
      <c r="C41" s="22"/>
      <c r="D41" s="1242"/>
      <c r="E41" s="1281"/>
      <c r="F41" s="1281"/>
      <c r="G41" s="1281"/>
      <c r="H41" s="1281"/>
      <c r="I41" s="1282"/>
    </row>
    <row r="42" spans="1:9" s="8" customFormat="1" ht="15" customHeight="1" x14ac:dyDescent="0.2">
      <c r="A42" s="21"/>
      <c r="B42" s="140"/>
      <c r="C42" s="22"/>
      <c r="D42" s="1242"/>
      <c r="E42" s="1281"/>
      <c r="F42" s="1281"/>
      <c r="G42" s="1281"/>
      <c r="H42" s="1281"/>
      <c r="I42" s="1282"/>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C44" s="116"/>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row>
    <row r="47" spans="1:9" s="8" customFormat="1" ht="10.199999999999999" x14ac:dyDescent="0.2">
      <c r="A47" s="958" t="s">
        <v>25</v>
      </c>
      <c r="B47" s="957" t="s">
        <v>122</v>
      </c>
      <c r="C47" s="1285" t="s">
        <v>91</v>
      </c>
      <c r="D47" s="1285"/>
      <c r="E47" s="1285"/>
      <c r="F47" s="1285"/>
      <c r="G47" s="1285"/>
      <c r="H47" s="1285"/>
      <c r="I47" s="1286"/>
    </row>
    <row r="48" spans="1:9" s="8" customFormat="1" ht="10.199999999999999" x14ac:dyDescent="0.2">
      <c r="A48" s="140" t="s">
        <v>1242</v>
      </c>
      <c r="B48" s="140"/>
      <c r="C48" s="1287"/>
      <c r="D48" s="1287"/>
      <c r="E48" s="1287"/>
      <c r="F48" s="1287"/>
      <c r="G48" s="1287"/>
      <c r="H48" s="1287"/>
      <c r="I48" s="1287"/>
    </row>
    <row r="49" spans="1:9" s="8" customFormat="1" ht="10.199999999999999" x14ac:dyDescent="0.2">
      <c r="A49" s="140"/>
      <c r="B49" s="140"/>
      <c r="C49" s="1287"/>
      <c r="D49" s="1287"/>
      <c r="E49" s="1287"/>
      <c r="F49" s="1287"/>
      <c r="G49" s="1287"/>
      <c r="H49" s="1287"/>
      <c r="I49" s="1287"/>
    </row>
    <row r="50" spans="1:9" s="8" customFormat="1" ht="10.199999999999999" x14ac:dyDescent="0.2">
      <c r="A50" s="141"/>
      <c r="B50" s="141"/>
      <c r="C50" s="1288"/>
      <c r="D50" s="1288"/>
      <c r="E50" s="1288"/>
      <c r="F50" s="1288"/>
      <c r="G50" s="1288"/>
      <c r="H50" s="1288"/>
      <c r="I50" s="1288"/>
    </row>
    <row r="51" spans="1:9" s="7" customFormat="1" ht="10.199999999999999" x14ac:dyDescent="0.2">
      <c r="A51" s="113" t="s">
        <v>34</v>
      </c>
      <c r="B51" s="113">
        <f>B48+B49+B50</f>
        <v>0</v>
      </c>
      <c r="C51" s="1289" t="s">
        <v>34</v>
      </c>
      <c r="D51" s="1289"/>
      <c r="E51" s="1289"/>
      <c r="F51" s="1289"/>
      <c r="G51" s="1289"/>
      <c r="H51" s="1289"/>
      <c r="I51" s="1289"/>
    </row>
    <row r="52" spans="1:9" s="8" customFormat="1" ht="10.199999999999999" x14ac:dyDescent="0.2">
      <c r="C52" s="116"/>
    </row>
    <row r="53" spans="1:9" s="8" customFormat="1" ht="10.199999999999999" x14ac:dyDescent="0.2">
      <c r="A53" s="1248" t="s">
        <v>123</v>
      </c>
      <c r="B53" s="1248"/>
      <c r="C53" s="1248"/>
      <c r="D53" s="1248"/>
      <c r="E53" s="1248"/>
      <c r="F53" s="1248"/>
      <c r="G53" s="1248"/>
      <c r="H53" s="1248"/>
      <c r="I53" s="1248"/>
    </row>
    <row r="54" spans="1:9" s="8" customFormat="1" ht="10.199999999999999" x14ac:dyDescent="0.2">
      <c r="C54" s="116"/>
    </row>
    <row r="55" spans="1:9" s="23" customFormat="1" ht="10.199999999999999" x14ac:dyDescent="0.2">
      <c r="A55" s="1256" t="s">
        <v>92</v>
      </c>
      <c r="B55" s="1256"/>
      <c r="C55" s="960" t="s">
        <v>93</v>
      </c>
      <c r="D55" s="956" t="s">
        <v>94</v>
      </c>
      <c r="E55" s="956" t="s">
        <v>25</v>
      </c>
    </row>
    <row r="56" spans="1:9" s="8" customFormat="1" ht="11.25" customHeight="1" x14ac:dyDescent="0.2">
      <c r="A56" s="1399" t="s">
        <v>1243</v>
      </c>
      <c r="B56" s="1400"/>
      <c r="C56" s="30" t="s">
        <v>1244</v>
      </c>
      <c r="D56" s="30">
        <v>43555</v>
      </c>
      <c r="E56" s="145">
        <v>200230</v>
      </c>
    </row>
    <row r="57" spans="1:9" s="8" customFormat="1" ht="11.25" customHeight="1" thickBot="1" x14ac:dyDescent="0.25">
      <c r="A57" s="1045" t="s">
        <v>1245</v>
      </c>
      <c r="B57" s="1046"/>
      <c r="C57" s="1047" t="s">
        <v>1246</v>
      </c>
      <c r="D57" s="1047"/>
      <c r="E57" s="1048"/>
      <c r="F57" s="8" t="s">
        <v>1247</v>
      </c>
    </row>
    <row r="58" spans="1:9" s="8" customFormat="1" ht="11.25" customHeight="1" x14ac:dyDescent="0.2">
      <c r="A58" s="1049" t="s">
        <v>1248</v>
      </c>
      <c r="B58" s="1050"/>
      <c r="C58" s="30">
        <v>43646</v>
      </c>
      <c r="D58" s="30">
        <v>43646</v>
      </c>
      <c r="E58" s="145">
        <v>79670</v>
      </c>
    </row>
    <row r="59" spans="1:9" s="8" customFormat="1" ht="11.25" customHeight="1" thickBot="1" x14ac:dyDescent="0.25">
      <c r="A59" s="1045" t="s">
        <v>1249</v>
      </c>
      <c r="B59" s="1046"/>
      <c r="C59" s="1047"/>
      <c r="D59" s="1047"/>
      <c r="E59" s="1048"/>
      <c r="F59" s="8" t="s">
        <v>1247</v>
      </c>
    </row>
    <row r="60" spans="1:9" s="8" customFormat="1" ht="11.25" customHeight="1" x14ac:dyDescent="0.2">
      <c r="A60" s="1049" t="s">
        <v>1250</v>
      </c>
      <c r="B60" s="1050"/>
      <c r="C60" s="30" t="s">
        <v>1251</v>
      </c>
      <c r="D60" s="30">
        <v>43677</v>
      </c>
      <c r="E60" s="145">
        <v>2100</v>
      </c>
    </row>
    <row r="61" spans="1:9" s="8" customFormat="1" ht="11.25" customHeight="1" thickBot="1" x14ac:dyDescent="0.25">
      <c r="A61" s="1732"/>
      <c r="B61" s="1733"/>
      <c r="C61" s="1047" t="s">
        <v>1252</v>
      </c>
      <c r="D61" s="1047"/>
      <c r="E61" s="1048"/>
      <c r="F61" s="8" t="s">
        <v>1247</v>
      </c>
    </row>
    <row r="62" spans="1:9" s="8" customFormat="1" ht="11.25" customHeight="1" x14ac:dyDescent="0.2">
      <c r="A62" s="1399" t="s">
        <v>1253</v>
      </c>
      <c r="B62" s="1400"/>
      <c r="C62" s="30" t="s">
        <v>1254</v>
      </c>
      <c r="D62" s="30">
        <v>43708</v>
      </c>
      <c r="E62" s="145">
        <v>331215</v>
      </c>
    </row>
    <row r="63" spans="1:9" s="8" customFormat="1" ht="11.25" customHeight="1" thickBot="1" x14ac:dyDescent="0.25">
      <c r="A63" s="1732" t="s">
        <v>1255</v>
      </c>
      <c r="B63" s="1733"/>
      <c r="C63" s="1047" t="s">
        <v>1252</v>
      </c>
      <c r="D63" s="1047"/>
      <c r="E63" s="1048"/>
      <c r="F63" s="8" t="s">
        <v>1247</v>
      </c>
    </row>
    <row r="64" spans="1:9" s="8" customFormat="1" ht="11.25" customHeight="1" thickBot="1" x14ac:dyDescent="0.25">
      <c r="A64" s="1730" t="s">
        <v>1256</v>
      </c>
      <c r="B64" s="1731"/>
      <c r="C64" s="1051">
        <v>43738</v>
      </c>
      <c r="D64" s="1051">
        <v>43738</v>
      </c>
      <c r="E64" s="1052">
        <v>7260</v>
      </c>
      <c r="F64" s="8" t="s">
        <v>1247</v>
      </c>
    </row>
    <row r="65" spans="1:6" s="8" customFormat="1" ht="11.25" customHeight="1" x14ac:dyDescent="0.2">
      <c r="A65" s="1399" t="s">
        <v>1257</v>
      </c>
      <c r="B65" s="1400"/>
      <c r="C65" s="30">
        <v>43738</v>
      </c>
      <c r="D65" s="30">
        <v>43738</v>
      </c>
      <c r="E65" s="145">
        <v>42199</v>
      </c>
    </row>
    <row r="66" spans="1:6" s="8" customFormat="1" ht="11.25" customHeight="1" thickBot="1" x14ac:dyDescent="0.25">
      <c r="A66" s="1732" t="s">
        <v>1258</v>
      </c>
      <c r="B66" s="1733"/>
      <c r="C66" s="1047"/>
      <c r="D66" s="1047"/>
      <c r="E66" s="1048"/>
      <c r="F66" s="8" t="s">
        <v>1247</v>
      </c>
    </row>
    <row r="67" spans="1:6" s="8" customFormat="1" ht="11.25" customHeight="1" x14ac:dyDescent="0.2">
      <c r="A67" s="1399" t="s">
        <v>1259</v>
      </c>
      <c r="B67" s="1400"/>
      <c r="C67" s="30" t="s">
        <v>1260</v>
      </c>
      <c r="D67" s="30">
        <v>43761</v>
      </c>
      <c r="E67" s="145">
        <v>210000</v>
      </c>
    </row>
    <row r="68" spans="1:6" s="8" customFormat="1" ht="11.25" customHeight="1" thickBot="1" x14ac:dyDescent="0.25">
      <c r="A68" s="1045" t="s">
        <v>1261</v>
      </c>
      <c r="B68" s="1046"/>
      <c r="C68" s="1047" t="s">
        <v>1262</v>
      </c>
      <c r="D68" s="1047"/>
      <c r="E68" s="1048"/>
      <c r="F68" s="8" t="s">
        <v>1247</v>
      </c>
    </row>
    <row r="69" spans="1:6" s="8" customFormat="1" ht="11.25" customHeight="1" thickBot="1" x14ac:dyDescent="0.25">
      <c r="A69" s="1053" t="s">
        <v>1263</v>
      </c>
      <c r="B69" s="1054"/>
      <c r="C69" s="1051">
        <v>43769</v>
      </c>
      <c r="D69" s="1051">
        <v>43769</v>
      </c>
      <c r="E69" s="1052">
        <v>37699.699999999997</v>
      </c>
      <c r="F69" s="8" t="s">
        <v>1247</v>
      </c>
    </row>
    <row r="70" spans="1:6" s="8" customFormat="1" ht="11.25" customHeight="1" x14ac:dyDescent="0.2">
      <c r="A70" s="1049" t="s">
        <v>1264</v>
      </c>
      <c r="B70" s="1050"/>
      <c r="C70" s="30" t="s">
        <v>1265</v>
      </c>
      <c r="D70" s="30">
        <v>43800</v>
      </c>
      <c r="E70" s="145">
        <v>40404</v>
      </c>
    </row>
    <row r="71" spans="1:6" s="8" customFormat="1" ht="11.25" customHeight="1" thickBot="1" x14ac:dyDescent="0.25">
      <c r="A71" s="1045" t="s">
        <v>1266</v>
      </c>
      <c r="B71" s="1046"/>
      <c r="C71" s="1047" t="s">
        <v>1267</v>
      </c>
      <c r="D71" s="1047"/>
      <c r="E71" s="1048"/>
      <c r="F71" s="8" t="s">
        <v>1247</v>
      </c>
    </row>
    <row r="72" spans="1:6" s="8" customFormat="1" ht="11.25" customHeight="1" thickBot="1" x14ac:dyDescent="0.25">
      <c r="A72" s="1053" t="s">
        <v>1268</v>
      </c>
      <c r="B72" s="1054"/>
      <c r="C72" s="1051">
        <v>43800</v>
      </c>
      <c r="D72" s="1051">
        <v>43800</v>
      </c>
      <c r="E72" s="1052">
        <v>80000</v>
      </c>
      <c r="F72" s="8" t="s">
        <v>1247</v>
      </c>
    </row>
    <row r="73" spans="1:6" s="8" customFormat="1" ht="11.25" customHeight="1" x14ac:dyDescent="0.2">
      <c r="A73" s="1734" t="s">
        <v>1269</v>
      </c>
      <c r="B73" s="1735"/>
      <c r="C73" s="1055" t="s">
        <v>1270</v>
      </c>
      <c r="D73" s="1055">
        <v>43818</v>
      </c>
      <c r="E73" s="1056">
        <v>219000</v>
      </c>
    </row>
    <row r="74" spans="1:6" s="8" customFormat="1" ht="11.25" customHeight="1" thickBot="1" x14ac:dyDescent="0.25">
      <c r="A74" s="1732"/>
      <c r="B74" s="1733"/>
      <c r="C74" s="1047" t="s">
        <v>1271</v>
      </c>
      <c r="D74" s="1047"/>
      <c r="E74" s="1048"/>
      <c r="F74" s="8" t="s">
        <v>1247</v>
      </c>
    </row>
    <row r="75" spans="1:6" s="8" customFormat="1" ht="11.25" customHeight="1" thickBot="1" x14ac:dyDescent="0.25">
      <c r="A75" s="1730" t="s">
        <v>1272</v>
      </c>
      <c r="B75" s="1731"/>
      <c r="C75" s="1051">
        <v>43830</v>
      </c>
      <c r="D75" s="1051">
        <v>43830</v>
      </c>
      <c r="E75" s="1052">
        <v>40249.19</v>
      </c>
      <c r="F75" s="8" t="s">
        <v>1247</v>
      </c>
    </row>
    <row r="76" spans="1:6" s="8" customFormat="1" ht="11.25" customHeight="1" x14ac:dyDescent="0.2">
      <c r="A76" s="1734" t="s">
        <v>1248</v>
      </c>
      <c r="B76" s="1735"/>
      <c r="C76" s="1055">
        <v>43830</v>
      </c>
      <c r="D76" s="1055">
        <v>43830</v>
      </c>
      <c r="E76" s="1056">
        <v>991550</v>
      </c>
    </row>
    <row r="77" spans="1:6" s="8" customFormat="1" ht="11.25" customHeight="1" thickBot="1" x14ac:dyDescent="0.25">
      <c r="A77" s="1045" t="s">
        <v>1273</v>
      </c>
      <c r="B77" s="1046"/>
      <c r="C77" s="1047"/>
      <c r="D77" s="1047"/>
      <c r="E77" s="1048"/>
      <c r="F77" s="8" t="s">
        <v>1247</v>
      </c>
    </row>
    <row r="78" spans="1:6" s="8" customFormat="1" ht="11.25" customHeight="1" x14ac:dyDescent="0.2">
      <c r="A78" s="1049" t="s">
        <v>1248</v>
      </c>
      <c r="B78" s="1050"/>
      <c r="C78" s="30">
        <v>43646</v>
      </c>
      <c r="D78" s="30">
        <v>43646</v>
      </c>
      <c r="E78" s="145">
        <v>27620</v>
      </c>
    </row>
    <row r="79" spans="1:6" s="8" customFormat="1" ht="11.25" customHeight="1" thickBot="1" x14ac:dyDescent="0.25">
      <c r="A79" s="1045" t="s">
        <v>1249</v>
      </c>
      <c r="B79" s="1046"/>
      <c r="C79" s="1047"/>
      <c r="D79" s="1047"/>
      <c r="E79" s="1048"/>
      <c r="F79" s="8" t="s">
        <v>1274</v>
      </c>
    </row>
    <row r="80" spans="1:6" s="8" customFormat="1" ht="11.25" customHeight="1" x14ac:dyDescent="0.2">
      <c r="A80" s="1734" t="s">
        <v>1248</v>
      </c>
      <c r="B80" s="1735"/>
      <c r="C80" s="30">
        <v>43830</v>
      </c>
      <c r="D80" s="30">
        <v>43830</v>
      </c>
      <c r="E80" s="145">
        <v>24008.58</v>
      </c>
    </row>
    <row r="81" spans="1:9" s="8" customFormat="1" ht="11.25" customHeight="1" thickBot="1" x14ac:dyDescent="0.25">
      <c r="A81" s="1045" t="s">
        <v>1273</v>
      </c>
      <c r="B81" s="1046"/>
      <c r="C81" s="1047"/>
      <c r="D81" s="1047"/>
      <c r="E81" s="1048"/>
      <c r="F81" s="8" t="s">
        <v>1274</v>
      </c>
    </row>
    <row r="82" spans="1:9" s="8" customFormat="1" ht="11.25" customHeight="1" x14ac:dyDescent="0.2">
      <c r="A82" s="1049"/>
      <c r="B82" s="1050"/>
      <c r="C82" s="30"/>
      <c r="D82" s="30"/>
      <c r="E82" s="145"/>
    </row>
    <row r="83" spans="1:9" s="8" customFormat="1" ht="11.25" customHeight="1" x14ac:dyDescent="0.2">
      <c r="A83" s="1295"/>
      <c r="B83" s="1296"/>
      <c r="C83" s="25"/>
      <c r="D83" s="25"/>
      <c r="E83" s="27"/>
    </row>
    <row r="84" spans="1:9" s="8" customFormat="1" ht="11.25" customHeight="1" thickBot="1" x14ac:dyDescent="0.25">
      <c r="A84" s="1732"/>
      <c r="B84" s="1733"/>
      <c r="C84" s="1047"/>
      <c r="D84" s="1047"/>
      <c r="E84" s="1048"/>
    </row>
    <row r="85" spans="1:9" s="8" customFormat="1" ht="11.25" customHeight="1" x14ac:dyDescent="0.2">
      <c r="A85" s="147" t="s">
        <v>1275</v>
      </c>
      <c r="B85" s="148"/>
      <c r="C85" s="149"/>
      <c r="D85" s="149"/>
      <c r="E85" s="150"/>
    </row>
    <row r="86" spans="1:9" s="8" customFormat="1" ht="11.25" customHeight="1" x14ac:dyDescent="0.2">
      <c r="A86" s="147" t="s">
        <v>1276</v>
      </c>
      <c r="B86" s="148"/>
      <c r="C86" s="149"/>
      <c r="D86" s="149"/>
      <c r="E86" s="150"/>
    </row>
    <row r="87" spans="1:9" s="8" customFormat="1" ht="11.25" customHeight="1" x14ac:dyDescent="0.2">
      <c r="A87" s="147"/>
      <c r="B87" s="148"/>
      <c r="C87" s="149"/>
      <c r="D87" s="149"/>
      <c r="E87" s="150"/>
    </row>
    <row r="88" spans="1:9" s="8" customFormat="1" ht="11.25" customHeight="1" x14ac:dyDescent="0.2">
      <c r="A88" s="147"/>
      <c r="B88" s="148"/>
      <c r="C88" s="149"/>
      <c r="D88" s="149"/>
      <c r="E88" s="150"/>
    </row>
    <row r="89" spans="1:9" s="8" customFormat="1" ht="10.199999999999999" x14ac:dyDescent="0.2">
      <c r="A89" s="1300" t="s">
        <v>154</v>
      </c>
      <c r="B89" s="1300"/>
      <c r="C89" s="1300"/>
      <c r="D89" s="1300"/>
      <c r="E89" s="1300"/>
      <c r="F89" s="1300"/>
      <c r="G89" s="1300"/>
      <c r="H89" s="1300"/>
      <c r="I89" s="1300"/>
    </row>
    <row r="90" spans="1:9" s="8" customFormat="1" ht="10.199999999999999" x14ac:dyDescent="0.2">
      <c r="A90" s="8" t="s">
        <v>1277</v>
      </c>
    </row>
    <row r="91" spans="1:9" s="8" customFormat="1" ht="10.199999999999999" x14ac:dyDescent="0.2"/>
    <row r="92" spans="1:9" s="8" customFormat="1" ht="0.75" customHeight="1" x14ac:dyDescent="0.2">
      <c r="A92" s="1297"/>
      <c r="B92" s="1298"/>
      <c r="C92" s="1298"/>
      <c r="D92" s="1298"/>
      <c r="E92" s="1298"/>
      <c r="F92" s="1298"/>
      <c r="G92" s="1298"/>
      <c r="H92" s="1298"/>
      <c r="I92" s="1299"/>
    </row>
    <row r="93" spans="1:9" s="8" customFormat="1" ht="10.199999999999999" hidden="1" x14ac:dyDescent="0.2"/>
    <row r="94" spans="1:9" s="7" customFormat="1" ht="10.199999999999999" x14ac:dyDescent="0.2">
      <c r="A94" s="1248" t="s">
        <v>156</v>
      </c>
      <c r="B94" s="1248"/>
      <c r="C94" s="1248"/>
      <c r="D94" s="1248"/>
      <c r="E94" s="1248"/>
      <c r="F94" s="1248"/>
      <c r="G94" s="1248"/>
      <c r="H94" s="1248"/>
      <c r="I94" s="1248"/>
    </row>
    <row r="95" spans="1:9" s="8" customFormat="1" ht="12" x14ac:dyDescent="0.25">
      <c r="A95" s="311" t="s">
        <v>1278</v>
      </c>
      <c r="B95" s="311"/>
      <c r="C95" s="311"/>
      <c r="D95" s="311"/>
      <c r="E95" s="311"/>
      <c r="F95" s="311"/>
      <c r="G95" s="311"/>
      <c r="H95" s="311"/>
      <c r="I95" s="311"/>
    </row>
    <row r="96" spans="1:9" x14ac:dyDescent="0.25">
      <c r="A96" s="311" t="s">
        <v>1279</v>
      </c>
      <c r="B96" s="311"/>
      <c r="C96" s="311"/>
      <c r="D96" s="311"/>
      <c r="E96" s="311"/>
      <c r="F96" s="311"/>
      <c r="G96" s="311"/>
      <c r="H96" s="311"/>
      <c r="I96" s="311"/>
    </row>
    <row r="97" spans="1:9" x14ac:dyDescent="0.25">
      <c r="A97" s="311" t="s">
        <v>1280</v>
      </c>
      <c r="B97" s="311"/>
      <c r="C97" s="311"/>
      <c r="D97" s="311"/>
      <c r="E97" s="311"/>
      <c r="F97" s="311"/>
      <c r="G97" s="311"/>
      <c r="H97" s="311"/>
      <c r="I97" s="311"/>
    </row>
    <row r="98" spans="1:9" x14ac:dyDescent="0.25">
      <c r="A98" s="311" t="s">
        <v>1281</v>
      </c>
      <c r="B98" s="311"/>
      <c r="C98" s="311"/>
      <c r="D98" s="311"/>
      <c r="E98" s="311"/>
      <c r="F98" s="311"/>
      <c r="G98" s="311"/>
      <c r="H98" s="311"/>
      <c r="I98" s="311"/>
    </row>
    <row r="99" spans="1:9" x14ac:dyDescent="0.25">
      <c r="A99" s="311"/>
      <c r="B99" s="311"/>
      <c r="C99" s="311"/>
      <c r="D99" s="311"/>
      <c r="E99" s="311"/>
      <c r="F99" s="311"/>
      <c r="G99" s="311"/>
      <c r="H99" s="311"/>
      <c r="I99" s="311"/>
    </row>
    <row r="100" spans="1:9" x14ac:dyDescent="0.25">
      <c r="A100" s="8" t="s">
        <v>573</v>
      </c>
    </row>
    <row r="101" spans="1:9" x14ac:dyDescent="0.25">
      <c r="A101" s="26"/>
    </row>
    <row r="102" spans="1:9" x14ac:dyDescent="0.25">
      <c r="A102" s="26"/>
    </row>
  </sheetData>
  <mergeCells count="56">
    <mergeCell ref="A94:I94"/>
    <mergeCell ref="A76:B76"/>
    <mergeCell ref="A80:B80"/>
    <mergeCell ref="A83:B83"/>
    <mergeCell ref="A84:B84"/>
    <mergeCell ref="A89:I89"/>
    <mergeCell ref="A92:I92"/>
    <mergeCell ref="A75:B75"/>
    <mergeCell ref="A55:B55"/>
    <mergeCell ref="A56:B56"/>
    <mergeCell ref="A61:B61"/>
    <mergeCell ref="A62:B62"/>
    <mergeCell ref="A63:B63"/>
    <mergeCell ref="A64:B64"/>
    <mergeCell ref="A65:B65"/>
    <mergeCell ref="A66:B66"/>
    <mergeCell ref="A67:B67"/>
    <mergeCell ref="A73:B73"/>
    <mergeCell ref="A74:B74"/>
    <mergeCell ref="A53:I53"/>
    <mergeCell ref="D39:I39"/>
    <mergeCell ref="D40:I40"/>
    <mergeCell ref="D41:I41"/>
    <mergeCell ref="D42:I42"/>
    <mergeCell ref="C43:I43"/>
    <mergeCell ref="A45:I45"/>
    <mergeCell ref="C47:I47"/>
    <mergeCell ref="C48:I48"/>
    <mergeCell ref="C49:I49"/>
    <mergeCell ref="C50:I50"/>
    <mergeCell ref="C51:I51"/>
    <mergeCell ref="A37:I37"/>
    <mergeCell ref="A20:I20"/>
    <mergeCell ref="F22:I22"/>
    <mergeCell ref="F23:I23"/>
    <mergeCell ref="F24:I24"/>
    <mergeCell ref="F25:I25"/>
    <mergeCell ref="F26:I26"/>
    <mergeCell ref="F27:I27"/>
    <mergeCell ref="A29:I29"/>
    <mergeCell ref="D31:I31"/>
    <mergeCell ref="D32:I34"/>
    <mergeCell ref="C35:I35"/>
    <mergeCell ref="A15:A17"/>
    <mergeCell ref="A3:I3"/>
    <mergeCell ref="A5:B5"/>
    <mergeCell ref="D5:I5"/>
    <mergeCell ref="A6:B6"/>
    <mergeCell ref="D6:I6"/>
    <mergeCell ref="A7:B7"/>
    <mergeCell ref="D7:I7"/>
    <mergeCell ref="A8:B8"/>
    <mergeCell ref="D8:I8"/>
    <mergeCell ref="A9:B9"/>
    <mergeCell ref="D9:I9"/>
    <mergeCell ref="A11:I11"/>
  </mergeCells>
  <pageMargins left="0.70866141732283472" right="0.70866141732283472" top="0.78740157480314965" bottom="0.78740157480314965" header="0.31496062992125984" footer="0.31496062992125984"/>
  <pageSetup paperSize="9" firstPageNumber="202" orientation="landscape" useFirstPageNumber="1" r:id="rId1"/>
  <headerFoot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X28" sqref="X28"/>
    </sheetView>
  </sheetViews>
  <sheetFormatPr defaultColWidth="6.3984375" defaultRowHeight="7.8" x14ac:dyDescent="0.15"/>
  <cols>
    <col min="1" max="1" width="5.3984375" style="634" customWidth="1"/>
    <col min="2" max="2" width="6.3984375" style="633" customWidth="1"/>
    <col min="3" max="3" width="36.796875" style="633" customWidth="1"/>
    <col min="4" max="4" width="9.3984375" style="633" customWidth="1"/>
    <col min="5" max="7" width="11" style="633" customWidth="1"/>
    <col min="8" max="8" width="8.796875" style="633" customWidth="1"/>
    <col min="9" max="12" width="11" style="633" customWidth="1"/>
    <col min="13" max="13" width="8.796875" style="633" customWidth="1"/>
    <col min="14" max="17" width="11" style="633" customWidth="1"/>
    <col min="18" max="18" width="8.796875" style="633" customWidth="1"/>
    <col min="19" max="22" width="11" style="633" customWidth="1"/>
    <col min="23" max="23" width="8.796875" style="633" customWidth="1"/>
    <col min="24" max="24" width="11" style="633" customWidth="1"/>
    <col min="25" max="16384" width="6.3984375" style="633"/>
  </cols>
  <sheetData>
    <row r="1" spans="1:24" s="635" customFormat="1" ht="15.6" x14ac:dyDescent="0.3">
      <c r="A1" s="1216" t="s">
        <v>624</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636"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637"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638" customFormat="1" x14ac:dyDescent="0.15">
      <c r="A5" s="1218"/>
      <c r="B5" s="1221"/>
      <c r="C5" s="1221"/>
      <c r="D5" s="1223"/>
      <c r="E5" s="1228"/>
      <c r="F5" s="642" t="s">
        <v>35</v>
      </c>
      <c r="G5" s="642" t="s">
        <v>36</v>
      </c>
      <c r="H5" s="642" t="s">
        <v>37</v>
      </c>
      <c r="I5" s="1230"/>
      <c r="J5" s="1228"/>
      <c r="K5" s="642" t="s">
        <v>35</v>
      </c>
      <c r="L5" s="642" t="s">
        <v>36</v>
      </c>
      <c r="M5" s="642" t="s">
        <v>37</v>
      </c>
      <c r="N5" s="1230"/>
      <c r="O5" s="1228"/>
      <c r="P5" s="642" t="s">
        <v>35</v>
      </c>
      <c r="Q5" s="642" t="s">
        <v>36</v>
      </c>
      <c r="R5" s="642" t="s">
        <v>37</v>
      </c>
      <c r="S5" s="1230"/>
      <c r="T5" s="1228"/>
      <c r="U5" s="642" t="s">
        <v>35</v>
      </c>
      <c r="V5" s="642" t="s">
        <v>36</v>
      </c>
      <c r="W5" s="642" t="s">
        <v>37</v>
      </c>
      <c r="X5" s="1230"/>
    </row>
    <row r="6" spans="1:24" s="636" customFormat="1" x14ac:dyDescent="0.15">
      <c r="A6" s="704" t="s">
        <v>0</v>
      </c>
      <c r="B6" s="1236" t="s">
        <v>1</v>
      </c>
      <c r="C6" s="1236"/>
      <c r="D6" s="705" t="s">
        <v>25</v>
      </c>
      <c r="E6" s="666">
        <f>SUM(E7:E9)</f>
        <v>2886360</v>
      </c>
      <c r="F6" s="646">
        <f>SUM(F7:F9)</f>
        <v>3062864</v>
      </c>
      <c r="G6" s="646">
        <f>SUM(G7:G9)</f>
        <v>3092092</v>
      </c>
      <c r="H6" s="643">
        <f t="shared" ref="H6:H36" si="0">G6/F6*100</f>
        <v>100.95427025163377</v>
      </c>
      <c r="I6" s="667">
        <f>SUM(I7:I9)</f>
        <v>2928664</v>
      </c>
      <c r="J6" s="666">
        <f>SUM(J7:J9)</f>
        <v>2886360</v>
      </c>
      <c r="K6" s="646">
        <f t="shared" ref="K6:N6" si="1">SUM(K7:K9)</f>
        <v>3062864</v>
      </c>
      <c r="L6" s="646">
        <f t="shared" si="1"/>
        <v>3092092</v>
      </c>
      <c r="M6" s="643">
        <f t="shared" ref="M6:M36" si="2">L6/K6*100</f>
        <v>100.95427025163377</v>
      </c>
      <c r="N6" s="667">
        <f t="shared" si="1"/>
        <v>2928664</v>
      </c>
      <c r="O6" s="666"/>
      <c r="P6" s="646"/>
      <c r="Q6" s="646"/>
      <c r="R6" s="643"/>
      <c r="S6" s="667"/>
      <c r="T6" s="666"/>
      <c r="U6" s="646"/>
      <c r="V6" s="646"/>
      <c r="W6" s="643"/>
      <c r="X6" s="667"/>
    </row>
    <row r="7" spans="1:24" s="636" customFormat="1" x14ac:dyDescent="0.15">
      <c r="A7" s="706" t="s">
        <v>2</v>
      </c>
      <c r="B7" s="1233" t="s">
        <v>46</v>
      </c>
      <c r="C7" s="1233"/>
      <c r="D7" s="705" t="s">
        <v>25</v>
      </c>
      <c r="E7" s="668">
        <f t="shared" ref="E7:G9" si="3">SUM(J7,O7)</f>
        <v>483000</v>
      </c>
      <c r="F7" s="650">
        <f t="shared" si="3"/>
        <v>545800</v>
      </c>
      <c r="G7" s="650">
        <f t="shared" si="3"/>
        <v>575028</v>
      </c>
      <c r="H7" s="651">
        <f t="shared" si="0"/>
        <v>105.35507511909124</v>
      </c>
      <c r="I7" s="669">
        <f>SUM(N7,S7)</f>
        <v>525304</v>
      </c>
      <c r="J7" s="678">
        <v>483000</v>
      </c>
      <c r="K7" s="652">
        <v>545800</v>
      </c>
      <c r="L7" s="652">
        <v>575028</v>
      </c>
      <c r="M7" s="651">
        <f t="shared" si="2"/>
        <v>105.35507511909124</v>
      </c>
      <c r="N7" s="679">
        <v>525304</v>
      </c>
      <c r="O7" s="694"/>
      <c r="P7" s="652"/>
      <c r="Q7" s="652"/>
      <c r="R7" s="651"/>
      <c r="S7" s="679"/>
      <c r="T7" s="694"/>
      <c r="U7" s="652"/>
      <c r="V7" s="652"/>
      <c r="W7" s="651"/>
      <c r="X7" s="679"/>
    </row>
    <row r="8" spans="1:24" s="636" customFormat="1" x14ac:dyDescent="0.15">
      <c r="A8" s="707" t="s">
        <v>3</v>
      </c>
      <c r="B8" s="1237" t="s">
        <v>47</v>
      </c>
      <c r="C8" s="1237"/>
      <c r="D8" s="705" t="s">
        <v>25</v>
      </c>
      <c r="E8" s="668"/>
      <c r="F8" s="650"/>
      <c r="G8" s="650"/>
      <c r="H8" s="651"/>
      <c r="I8" s="669"/>
      <c r="J8" s="680"/>
      <c r="K8" s="650"/>
      <c r="L8" s="650"/>
      <c r="M8" s="651"/>
      <c r="N8" s="669"/>
      <c r="O8" s="668"/>
      <c r="P8" s="650"/>
      <c r="Q8" s="650"/>
      <c r="R8" s="651"/>
      <c r="S8" s="669"/>
      <c r="T8" s="668"/>
      <c r="U8" s="650"/>
      <c r="V8" s="650"/>
      <c r="W8" s="651"/>
      <c r="X8" s="669"/>
    </row>
    <row r="9" spans="1:24" s="636" customFormat="1" ht="8.4" x14ac:dyDescent="0.2">
      <c r="A9" s="707" t="s">
        <v>4</v>
      </c>
      <c r="B9" s="653" t="s">
        <v>62</v>
      </c>
      <c r="C9" s="654"/>
      <c r="D9" s="705" t="s">
        <v>25</v>
      </c>
      <c r="E9" s="668">
        <f t="shared" si="3"/>
        <v>2403360</v>
      </c>
      <c r="F9" s="650">
        <f t="shared" si="3"/>
        <v>2517064</v>
      </c>
      <c r="G9" s="650">
        <f t="shared" si="3"/>
        <v>2517064</v>
      </c>
      <c r="H9" s="651">
        <f t="shared" si="0"/>
        <v>100</v>
      </c>
      <c r="I9" s="669">
        <f>SUM(N9,S9)</f>
        <v>2403360</v>
      </c>
      <c r="J9" s="680">
        <v>2403360</v>
      </c>
      <c r="K9" s="650">
        <v>2517064</v>
      </c>
      <c r="L9" s="650">
        <v>2517064</v>
      </c>
      <c r="M9" s="651">
        <f t="shared" si="2"/>
        <v>100</v>
      </c>
      <c r="N9" s="669">
        <v>2403360</v>
      </c>
      <c r="O9" s="668"/>
      <c r="P9" s="650"/>
      <c r="Q9" s="650"/>
      <c r="R9" s="651"/>
      <c r="S9" s="669"/>
      <c r="T9" s="668"/>
      <c r="U9" s="650"/>
      <c r="V9" s="650"/>
      <c r="W9" s="651"/>
      <c r="X9" s="669"/>
    </row>
    <row r="10" spans="1:24" s="636" customFormat="1" x14ac:dyDescent="0.15">
      <c r="A10" s="704" t="s">
        <v>5</v>
      </c>
      <c r="B10" s="1236" t="s">
        <v>7</v>
      </c>
      <c r="C10" s="1236"/>
      <c r="D10" s="705" t="s">
        <v>25</v>
      </c>
      <c r="E10" s="670"/>
      <c r="F10" s="647"/>
      <c r="G10" s="647"/>
      <c r="H10" s="643"/>
      <c r="I10" s="671"/>
      <c r="J10" s="681"/>
      <c r="K10" s="647"/>
      <c r="L10" s="647"/>
      <c r="M10" s="643"/>
      <c r="N10" s="671"/>
      <c r="O10" s="670"/>
      <c r="P10" s="647"/>
      <c r="Q10" s="647"/>
      <c r="R10" s="643"/>
      <c r="S10" s="671"/>
      <c r="T10" s="670"/>
      <c r="U10" s="647"/>
      <c r="V10" s="647"/>
      <c r="W10" s="643"/>
      <c r="X10" s="671"/>
    </row>
    <row r="11" spans="1:24" s="636" customFormat="1" x14ac:dyDescent="0.15">
      <c r="A11" s="704" t="s">
        <v>6</v>
      </c>
      <c r="B11" s="1236" t="s">
        <v>9</v>
      </c>
      <c r="C11" s="1236"/>
      <c r="D11" s="705" t="s">
        <v>25</v>
      </c>
      <c r="E11" s="666">
        <f>SUM(E12:E31)</f>
        <v>2886360</v>
      </c>
      <c r="F11" s="646">
        <f>SUM(F12:F31)</f>
        <v>3062864</v>
      </c>
      <c r="G11" s="646">
        <f>SUM(G12:G31)</f>
        <v>3035922</v>
      </c>
      <c r="H11" s="643">
        <f t="shared" si="0"/>
        <v>99.120365775300499</v>
      </c>
      <c r="I11" s="667">
        <f>SUM(I12:I31)</f>
        <v>2818650</v>
      </c>
      <c r="J11" s="666">
        <f>SUM(J12:J31)</f>
        <v>2886360</v>
      </c>
      <c r="K11" s="646">
        <f>SUM(K12:K31)</f>
        <v>3062864</v>
      </c>
      <c r="L11" s="646">
        <f>SUM(L12:L31)</f>
        <v>3035922</v>
      </c>
      <c r="M11" s="643">
        <f t="shared" si="2"/>
        <v>99.120365775300499</v>
      </c>
      <c r="N11" s="667">
        <f>SUM(N12:N31)</f>
        <v>2818650</v>
      </c>
      <c r="O11" s="666"/>
      <c r="P11" s="646"/>
      <c r="Q11" s="646"/>
      <c r="R11" s="643"/>
      <c r="S11" s="667"/>
      <c r="T11" s="666"/>
      <c r="U11" s="646"/>
      <c r="V11" s="646"/>
      <c r="W11" s="643"/>
      <c r="X11" s="667"/>
    </row>
    <row r="12" spans="1:24" s="636" customFormat="1" x14ac:dyDescent="0.15">
      <c r="A12" s="708" t="s">
        <v>8</v>
      </c>
      <c r="B12" s="1238" t="s">
        <v>28</v>
      </c>
      <c r="C12" s="1238"/>
      <c r="D12" s="705" t="s">
        <v>25</v>
      </c>
      <c r="E12" s="668">
        <f>SUM(J12,O12)</f>
        <v>53300</v>
      </c>
      <c r="F12" s="650">
        <f t="shared" ref="E12:I21" si="4">SUM(K12,P12)</f>
        <v>77300</v>
      </c>
      <c r="G12" s="650">
        <f t="shared" si="4"/>
        <v>77062</v>
      </c>
      <c r="H12" s="651">
        <f t="shared" si="0"/>
        <v>99.692108667529112</v>
      </c>
      <c r="I12" s="669">
        <f t="shared" si="4"/>
        <v>69147</v>
      </c>
      <c r="J12" s="682">
        <v>53300</v>
      </c>
      <c r="K12" s="655">
        <v>77300</v>
      </c>
      <c r="L12" s="655">
        <v>77062</v>
      </c>
      <c r="M12" s="651">
        <f t="shared" si="2"/>
        <v>99.692108667529112</v>
      </c>
      <c r="N12" s="683">
        <v>69147</v>
      </c>
      <c r="O12" s="695"/>
      <c r="P12" s="655"/>
      <c r="Q12" s="655"/>
      <c r="R12" s="651"/>
      <c r="S12" s="696"/>
      <c r="T12" s="695"/>
      <c r="U12" s="655"/>
      <c r="V12" s="655"/>
      <c r="W12" s="651"/>
      <c r="X12" s="683"/>
    </row>
    <row r="13" spans="1:24" s="636" customFormat="1" x14ac:dyDescent="0.15">
      <c r="A13" s="706" t="s">
        <v>10</v>
      </c>
      <c r="B13" s="1233" t="s">
        <v>29</v>
      </c>
      <c r="C13" s="1233"/>
      <c r="D13" s="705" t="s">
        <v>25</v>
      </c>
      <c r="E13" s="668">
        <f t="shared" si="4"/>
        <v>239500</v>
      </c>
      <c r="F13" s="650">
        <f t="shared" si="4"/>
        <v>209500</v>
      </c>
      <c r="G13" s="650">
        <f t="shared" si="4"/>
        <v>199086</v>
      </c>
      <c r="H13" s="651">
        <f t="shared" si="0"/>
        <v>95.02911694510739</v>
      </c>
      <c r="I13" s="669">
        <f t="shared" si="4"/>
        <v>142383</v>
      </c>
      <c r="J13" s="682">
        <v>239500</v>
      </c>
      <c r="K13" s="650">
        <v>209500</v>
      </c>
      <c r="L13" s="650">
        <v>199086</v>
      </c>
      <c r="M13" s="651">
        <f t="shared" si="2"/>
        <v>95.02911694510739</v>
      </c>
      <c r="N13" s="669">
        <v>142383</v>
      </c>
      <c r="O13" s="668"/>
      <c r="P13" s="650"/>
      <c r="Q13" s="650"/>
      <c r="R13" s="651"/>
      <c r="S13" s="669"/>
      <c r="T13" s="668"/>
      <c r="U13" s="650"/>
      <c r="V13" s="650"/>
      <c r="W13" s="651"/>
      <c r="X13" s="669"/>
    </row>
    <row r="14" spans="1:24" s="636" customFormat="1" x14ac:dyDescent="0.15">
      <c r="A14" s="706" t="s">
        <v>11</v>
      </c>
      <c r="B14" s="657" t="s">
        <v>63</v>
      </c>
      <c r="C14" s="657"/>
      <c r="D14" s="705" t="s">
        <v>25</v>
      </c>
      <c r="E14" s="668"/>
      <c r="F14" s="650"/>
      <c r="G14" s="650"/>
      <c r="H14" s="651"/>
      <c r="I14" s="669"/>
      <c r="J14" s="682"/>
      <c r="K14" s="650"/>
      <c r="L14" s="650"/>
      <c r="M14" s="651"/>
      <c r="N14" s="669"/>
      <c r="O14" s="668"/>
      <c r="P14" s="650"/>
      <c r="Q14" s="650"/>
      <c r="R14" s="651"/>
      <c r="S14" s="669"/>
      <c r="T14" s="668"/>
      <c r="U14" s="650"/>
      <c r="V14" s="650"/>
      <c r="W14" s="651"/>
      <c r="X14" s="669"/>
    </row>
    <row r="15" spans="1:24" s="636" customFormat="1" x14ac:dyDescent="0.15">
      <c r="A15" s="706" t="s">
        <v>12</v>
      </c>
      <c r="B15" s="1233" t="s">
        <v>64</v>
      </c>
      <c r="C15" s="1233"/>
      <c r="D15" s="705" t="s">
        <v>25</v>
      </c>
      <c r="E15" s="668">
        <f t="shared" si="4"/>
        <v>7000</v>
      </c>
      <c r="F15" s="650">
        <f t="shared" si="4"/>
        <v>11500</v>
      </c>
      <c r="G15" s="650">
        <f t="shared" si="4"/>
        <v>11497</v>
      </c>
      <c r="H15" s="651">
        <f t="shared" si="0"/>
        <v>99.973913043478262</v>
      </c>
      <c r="I15" s="669">
        <f t="shared" si="4"/>
        <v>4401</v>
      </c>
      <c r="J15" s="682">
        <v>7000</v>
      </c>
      <c r="K15" s="650">
        <v>11500</v>
      </c>
      <c r="L15" s="650">
        <v>11497</v>
      </c>
      <c r="M15" s="651">
        <f t="shared" si="2"/>
        <v>99.973913043478262</v>
      </c>
      <c r="N15" s="669">
        <v>4401</v>
      </c>
      <c r="O15" s="668"/>
      <c r="P15" s="650"/>
      <c r="Q15" s="650"/>
      <c r="R15" s="651"/>
      <c r="S15" s="669"/>
      <c r="T15" s="668"/>
      <c r="U15" s="650"/>
      <c r="V15" s="650"/>
      <c r="W15" s="651"/>
      <c r="X15" s="669"/>
    </row>
    <row r="16" spans="1:24" s="636" customFormat="1" x14ac:dyDescent="0.15">
      <c r="A16" s="706" t="s">
        <v>13</v>
      </c>
      <c r="B16" s="1233" t="s">
        <v>30</v>
      </c>
      <c r="C16" s="1233"/>
      <c r="D16" s="705" t="s">
        <v>25</v>
      </c>
      <c r="E16" s="668">
        <f t="shared" si="4"/>
        <v>500</v>
      </c>
      <c r="F16" s="650">
        <f t="shared" si="4"/>
        <v>890</v>
      </c>
      <c r="G16" s="650">
        <f t="shared" si="4"/>
        <v>884</v>
      </c>
      <c r="H16" s="651">
        <f t="shared" si="0"/>
        <v>99.325842696629223</v>
      </c>
      <c r="I16" s="669">
        <f t="shared" si="4"/>
        <v>876</v>
      </c>
      <c r="J16" s="682">
        <v>500</v>
      </c>
      <c r="K16" s="650">
        <v>890</v>
      </c>
      <c r="L16" s="650">
        <v>884</v>
      </c>
      <c r="M16" s="651">
        <f t="shared" si="2"/>
        <v>99.325842696629223</v>
      </c>
      <c r="N16" s="669">
        <v>876</v>
      </c>
      <c r="O16" s="668"/>
      <c r="P16" s="650"/>
      <c r="Q16" s="650"/>
      <c r="R16" s="651"/>
      <c r="S16" s="669"/>
      <c r="T16" s="668"/>
      <c r="U16" s="650"/>
      <c r="V16" s="650"/>
      <c r="W16" s="651"/>
      <c r="X16" s="669"/>
    </row>
    <row r="17" spans="1:24" s="636" customFormat="1" x14ac:dyDescent="0.15">
      <c r="A17" s="706" t="s">
        <v>14</v>
      </c>
      <c r="B17" s="657" t="s">
        <v>48</v>
      </c>
      <c r="C17" s="657"/>
      <c r="D17" s="705" t="s">
        <v>25</v>
      </c>
      <c r="E17" s="668">
        <f t="shared" si="4"/>
        <v>700</v>
      </c>
      <c r="F17" s="650">
        <f t="shared" si="4"/>
        <v>310</v>
      </c>
      <c r="G17" s="650">
        <f t="shared" si="4"/>
        <v>241</v>
      </c>
      <c r="H17" s="651">
        <f t="shared" si="0"/>
        <v>77.741935483870975</v>
      </c>
      <c r="I17" s="669">
        <f t="shared" si="4"/>
        <v>687</v>
      </c>
      <c r="J17" s="682">
        <v>700</v>
      </c>
      <c r="K17" s="650">
        <v>310</v>
      </c>
      <c r="L17" s="650">
        <v>241</v>
      </c>
      <c r="M17" s="651">
        <f t="shared" si="2"/>
        <v>77.741935483870975</v>
      </c>
      <c r="N17" s="669">
        <v>687</v>
      </c>
      <c r="O17" s="668"/>
      <c r="P17" s="650"/>
      <c r="Q17" s="650"/>
      <c r="R17" s="651"/>
      <c r="S17" s="669"/>
      <c r="T17" s="668"/>
      <c r="U17" s="650"/>
      <c r="V17" s="650"/>
      <c r="W17" s="651"/>
      <c r="X17" s="669"/>
    </row>
    <row r="18" spans="1:24" s="636" customFormat="1" x14ac:dyDescent="0.15">
      <c r="A18" s="706" t="s">
        <v>15</v>
      </c>
      <c r="B18" s="1233" t="s">
        <v>31</v>
      </c>
      <c r="C18" s="1233"/>
      <c r="D18" s="705" t="s">
        <v>25</v>
      </c>
      <c r="E18" s="668">
        <f t="shared" si="4"/>
        <v>248638</v>
      </c>
      <c r="F18" s="650">
        <f t="shared" si="4"/>
        <v>244638</v>
      </c>
      <c r="G18" s="650">
        <f t="shared" si="4"/>
        <v>228440</v>
      </c>
      <c r="H18" s="651">
        <f t="shared" si="0"/>
        <v>93.378788250394464</v>
      </c>
      <c r="I18" s="669">
        <f t="shared" si="4"/>
        <v>223809</v>
      </c>
      <c r="J18" s="682">
        <v>248638</v>
      </c>
      <c r="K18" s="650">
        <v>244638</v>
      </c>
      <c r="L18" s="650">
        <v>228440</v>
      </c>
      <c r="M18" s="651">
        <f t="shared" si="2"/>
        <v>93.378788250394464</v>
      </c>
      <c r="N18" s="669">
        <v>223809</v>
      </c>
      <c r="O18" s="668"/>
      <c r="P18" s="650"/>
      <c r="Q18" s="650"/>
      <c r="R18" s="651"/>
      <c r="S18" s="669"/>
      <c r="T18" s="668"/>
      <c r="U18" s="650"/>
      <c r="V18" s="650"/>
      <c r="W18" s="651"/>
      <c r="X18" s="669"/>
    </row>
    <row r="19" spans="1:24" s="639" customFormat="1" x14ac:dyDescent="0.15">
      <c r="A19" s="706" t="s">
        <v>16</v>
      </c>
      <c r="B19" s="1233" t="s">
        <v>32</v>
      </c>
      <c r="C19" s="1233"/>
      <c r="D19" s="705" t="s">
        <v>25</v>
      </c>
      <c r="E19" s="668">
        <f t="shared" si="4"/>
        <v>1688652</v>
      </c>
      <c r="F19" s="650">
        <f t="shared" si="4"/>
        <v>1772001</v>
      </c>
      <c r="G19" s="650">
        <f t="shared" si="4"/>
        <v>1772001</v>
      </c>
      <c r="H19" s="651">
        <f t="shared" si="0"/>
        <v>100</v>
      </c>
      <c r="I19" s="669">
        <f t="shared" si="4"/>
        <v>1703537</v>
      </c>
      <c r="J19" s="684">
        <v>1688652</v>
      </c>
      <c r="K19" s="650">
        <v>1772001</v>
      </c>
      <c r="L19" s="650">
        <v>1772001</v>
      </c>
      <c r="M19" s="651">
        <f t="shared" si="2"/>
        <v>100</v>
      </c>
      <c r="N19" s="669">
        <v>1703537</v>
      </c>
      <c r="O19" s="668"/>
      <c r="P19" s="650"/>
      <c r="Q19" s="650"/>
      <c r="R19" s="651"/>
      <c r="S19" s="669"/>
      <c r="T19" s="700"/>
      <c r="U19" s="658"/>
      <c r="V19" s="658"/>
      <c r="W19" s="651"/>
      <c r="X19" s="701"/>
    </row>
    <row r="20" spans="1:24" s="636" customFormat="1" x14ac:dyDescent="0.15">
      <c r="A20" s="706" t="s">
        <v>17</v>
      </c>
      <c r="B20" s="1233" t="s">
        <v>49</v>
      </c>
      <c r="C20" s="1233"/>
      <c r="D20" s="705" t="s">
        <v>25</v>
      </c>
      <c r="E20" s="668">
        <f t="shared" si="4"/>
        <v>581235</v>
      </c>
      <c r="F20" s="650">
        <f t="shared" si="4"/>
        <v>607391</v>
      </c>
      <c r="G20" s="650">
        <f t="shared" si="4"/>
        <v>607391</v>
      </c>
      <c r="H20" s="651">
        <f t="shared" si="0"/>
        <v>100</v>
      </c>
      <c r="I20" s="669">
        <f t="shared" si="4"/>
        <v>583965</v>
      </c>
      <c r="J20" s="682">
        <v>581235</v>
      </c>
      <c r="K20" s="650">
        <v>607391</v>
      </c>
      <c r="L20" s="650">
        <v>607391</v>
      </c>
      <c r="M20" s="651">
        <f t="shared" si="2"/>
        <v>100</v>
      </c>
      <c r="N20" s="669">
        <v>583965</v>
      </c>
      <c r="O20" s="668"/>
      <c r="P20" s="650"/>
      <c r="Q20" s="650"/>
      <c r="R20" s="651"/>
      <c r="S20" s="669"/>
      <c r="T20" s="668"/>
      <c r="U20" s="650"/>
      <c r="V20" s="650"/>
      <c r="W20" s="651"/>
      <c r="X20" s="669"/>
    </row>
    <row r="21" spans="1:24" s="636" customFormat="1" x14ac:dyDescent="0.15">
      <c r="A21" s="706" t="s">
        <v>18</v>
      </c>
      <c r="B21" s="1233" t="s">
        <v>50</v>
      </c>
      <c r="C21" s="1233"/>
      <c r="D21" s="705" t="s">
        <v>25</v>
      </c>
      <c r="E21" s="668">
        <f t="shared" si="4"/>
        <v>51805</v>
      </c>
      <c r="F21" s="650">
        <f t="shared" si="4"/>
        <v>56004</v>
      </c>
      <c r="G21" s="650">
        <f t="shared" si="4"/>
        <v>56004</v>
      </c>
      <c r="H21" s="651">
        <f t="shared" si="0"/>
        <v>100</v>
      </c>
      <c r="I21" s="669">
        <f t="shared" si="4"/>
        <v>50478</v>
      </c>
      <c r="J21" s="682">
        <v>51805</v>
      </c>
      <c r="K21" s="650">
        <v>56004</v>
      </c>
      <c r="L21" s="650">
        <v>56004</v>
      </c>
      <c r="M21" s="651">
        <f t="shared" si="2"/>
        <v>100</v>
      </c>
      <c r="N21" s="669">
        <v>50478</v>
      </c>
      <c r="O21" s="668"/>
      <c r="P21" s="650"/>
      <c r="Q21" s="650"/>
      <c r="R21" s="651"/>
      <c r="S21" s="669"/>
      <c r="T21" s="668"/>
      <c r="U21" s="650"/>
      <c r="V21" s="650"/>
      <c r="W21" s="651"/>
      <c r="X21" s="669"/>
    </row>
    <row r="22" spans="1:24" s="636" customFormat="1" x14ac:dyDescent="0.15">
      <c r="A22" s="706" t="s">
        <v>19</v>
      </c>
      <c r="B22" s="1233" t="s">
        <v>65</v>
      </c>
      <c r="C22" s="1233"/>
      <c r="D22" s="705" t="s">
        <v>25</v>
      </c>
      <c r="E22" s="668"/>
      <c r="F22" s="650"/>
      <c r="G22" s="650"/>
      <c r="H22" s="651"/>
      <c r="I22" s="669"/>
      <c r="J22" s="682"/>
      <c r="K22" s="650"/>
      <c r="L22" s="650"/>
      <c r="M22" s="651"/>
      <c r="N22" s="669"/>
      <c r="O22" s="668"/>
      <c r="P22" s="650"/>
      <c r="Q22" s="650"/>
      <c r="R22" s="651"/>
      <c r="S22" s="669"/>
      <c r="T22" s="668"/>
      <c r="U22" s="650"/>
      <c r="V22" s="650"/>
      <c r="W22" s="651"/>
      <c r="X22" s="669"/>
    </row>
    <row r="23" spans="1:24" s="636" customFormat="1" x14ac:dyDescent="0.15">
      <c r="A23" s="706" t="s">
        <v>20</v>
      </c>
      <c r="B23" s="657" t="s">
        <v>66</v>
      </c>
      <c r="C23" s="657"/>
      <c r="D23" s="705" t="s">
        <v>25</v>
      </c>
      <c r="E23" s="668"/>
      <c r="F23" s="650"/>
      <c r="G23" s="650"/>
      <c r="H23" s="651"/>
      <c r="I23" s="669"/>
      <c r="J23" s="682"/>
      <c r="K23" s="650"/>
      <c r="L23" s="650"/>
      <c r="M23" s="651"/>
      <c r="N23" s="669"/>
      <c r="O23" s="668"/>
      <c r="P23" s="650"/>
      <c r="Q23" s="650"/>
      <c r="R23" s="651"/>
      <c r="S23" s="669"/>
      <c r="T23" s="668"/>
      <c r="U23" s="650"/>
      <c r="V23" s="650"/>
      <c r="W23" s="651"/>
      <c r="X23" s="669"/>
    </row>
    <row r="24" spans="1:24" s="636" customFormat="1" x14ac:dyDescent="0.15">
      <c r="A24" s="706" t="s">
        <v>21</v>
      </c>
      <c r="B24" s="657" t="s">
        <v>73</v>
      </c>
      <c r="C24" s="657"/>
      <c r="D24" s="705" t="s">
        <v>25</v>
      </c>
      <c r="E24" s="668"/>
      <c r="F24" s="650"/>
      <c r="G24" s="650"/>
      <c r="H24" s="651"/>
      <c r="I24" s="669"/>
      <c r="J24" s="682"/>
      <c r="K24" s="650"/>
      <c r="L24" s="650"/>
      <c r="M24" s="651"/>
      <c r="N24" s="669"/>
      <c r="O24" s="668"/>
      <c r="P24" s="650"/>
      <c r="Q24" s="650"/>
      <c r="R24" s="651"/>
      <c r="S24" s="669"/>
      <c r="T24" s="668"/>
      <c r="U24" s="650"/>
      <c r="V24" s="650"/>
      <c r="W24" s="651"/>
      <c r="X24" s="669"/>
    </row>
    <row r="25" spans="1:24" s="636" customFormat="1" x14ac:dyDescent="0.15">
      <c r="A25" s="708" t="s">
        <v>22</v>
      </c>
      <c r="B25" s="659" t="s">
        <v>68</v>
      </c>
      <c r="C25" s="659"/>
      <c r="D25" s="705" t="s">
        <v>25</v>
      </c>
      <c r="E25" s="668"/>
      <c r="F25" s="650"/>
      <c r="G25" s="650"/>
      <c r="H25" s="651"/>
      <c r="I25" s="669"/>
      <c r="J25" s="682"/>
      <c r="K25" s="655"/>
      <c r="L25" s="655"/>
      <c r="M25" s="651"/>
      <c r="N25" s="683"/>
      <c r="O25" s="695"/>
      <c r="P25" s="655"/>
      <c r="Q25" s="655"/>
      <c r="R25" s="651"/>
      <c r="S25" s="696"/>
      <c r="T25" s="695"/>
      <c r="U25" s="655"/>
      <c r="V25" s="655"/>
      <c r="W25" s="651"/>
      <c r="X25" s="696"/>
    </row>
    <row r="26" spans="1:24" s="640" customFormat="1" x14ac:dyDescent="0.15">
      <c r="A26" s="706" t="s">
        <v>23</v>
      </c>
      <c r="B26" s="1233" t="s">
        <v>69</v>
      </c>
      <c r="C26" s="1233"/>
      <c r="D26" s="705" t="s">
        <v>25</v>
      </c>
      <c r="E26" s="668"/>
      <c r="F26" s="650"/>
      <c r="G26" s="650"/>
      <c r="H26" s="660"/>
      <c r="I26" s="669"/>
      <c r="J26" s="682"/>
      <c r="K26" s="656"/>
      <c r="L26" s="656"/>
      <c r="M26" s="651"/>
      <c r="N26" s="669"/>
      <c r="O26" s="697"/>
      <c r="P26" s="656"/>
      <c r="Q26" s="656"/>
      <c r="R26" s="651"/>
      <c r="S26" s="683"/>
      <c r="T26" s="702"/>
      <c r="U26" s="661"/>
      <c r="V26" s="661"/>
      <c r="W26" s="651"/>
      <c r="X26" s="703"/>
    </row>
    <row r="27" spans="1:24" s="641" customFormat="1" x14ac:dyDescent="0.15">
      <c r="A27" s="706" t="s">
        <v>45</v>
      </c>
      <c r="B27" s="657" t="s">
        <v>70</v>
      </c>
      <c r="C27" s="657"/>
      <c r="D27" s="705" t="s">
        <v>25</v>
      </c>
      <c r="E27" s="668"/>
      <c r="F27" s="650"/>
      <c r="G27" s="650"/>
      <c r="H27" s="660"/>
      <c r="I27" s="669"/>
      <c r="J27" s="682"/>
      <c r="K27" s="656"/>
      <c r="L27" s="656"/>
      <c r="M27" s="651"/>
      <c r="N27" s="683"/>
      <c r="O27" s="697"/>
      <c r="P27" s="656"/>
      <c r="Q27" s="656"/>
      <c r="R27" s="651"/>
      <c r="S27" s="683"/>
      <c r="T27" s="702"/>
      <c r="U27" s="661"/>
      <c r="V27" s="661"/>
      <c r="W27" s="651"/>
      <c r="X27" s="703"/>
    </row>
    <row r="28" spans="1:24" s="641" customFormat="1" x14ac:dyDescent="0.15">
      <c r="A28" s="706" t="s">
        <v>51</v>
      </c>
      <c r="B28" s="657" t="s">
        <v>74</v>
      </c>
      <c r="C28" s="657"/>
      <c r="D28" s="705" t="s">
        <v>25</v>
      </c>
      <c r="E28" s="668">
        <v>15000</v>
      </c>
      <c r="F28" s="650">
        <v>83300</v>
      </c>
      <c r="G28" s="650">
        <v>83286</v>
      </c>
      <c r="H28" s="660">
        <f t="shared" si="0"/>
        <v>99.983193277310917</v>
      </c>
      <c r="I28" s="669">
        <v>39337</v>
      </c>
      <c r="J28" s="682">
        <v>15000</v>
      </c>
      <c r="K28" s="656">
        <v>83300</v>
      </c>
      <c r="L28" s="656">
        <v>83286</v>
      </c>
      <c r="M28" s="651">
        <f t="shared" si="2"/>
        <v>99.983193277310917</v>
      </c>
      <c r="N28" s="683">
        <v>39337</v>
      </c>
      <c r="O28" s="697"/>
      <c r="P28" s="656"/>
      <c r="Q28" s="656"/>
      <c r="R28" s="651"/>
      <c r="S28" s="683"/>
      <c r="T28" s="702"/>
      <c r="U28" s="661"/>
      <c r="V28" s="661"/>
      <c r="W28" s="651"/>
      <c r="X28" s="703"/>
    </row>
    <row r="29" spans="1:24" s="640" customFormat="1" x14ac:dyDescent="0.15">
      <c r="A29" s="706" t="s">
        <v>52</v>
      </c>
      <c r="B29" s="1233" t="s">
        <v>67</v>
      </c>
      <c r="C29" s="1233"/>
      <c r="D29" s="705" t="s">
        <v>25</v>
      </c>
      <c r="E29" s="668">
        <f t="shared" ref="E29:G29" si="5">SUM(J29,O29)</f>
        <v>30</v>
      </c>
      <c r="F29" s="650">
        <f t="shared" si="5"/>
        <v>30</v>
      </c>
      <c r="G29" s="650">
        <f t="shared" si="5"/>
        <v>30</v>
      </c>
      <c r="H29" s="660">
        <f t="shared" si="0"/>
        <v>100</v>
      </c>
      <c r="I29" s="669">
        <f>SUM(N29,S29)</f>
        <v>30</v>
      </c>
      <c r="J29" s="682">
        <v>30</v>
      </c>
      <c r="K29" s="656">
        <v>30</v>
      </c>
      <c r="L29" s="656">
        <v>30</v>
      </c>
      <c r="M29" s="651">
        <f t="shared" si="2"/>
        <v>100</v>
      </c>
      <c r="N29" s="683">
        <v>30</v>
      </c>
      <c r="O29" s="697"/>
      <c r="P29" s="656"/>
      <c r="Q29" s="656"/>
      <c r="R29" s="651"/>
      <c r="S29" s="683"/>
      <c r="T29" s="702"/>
      <c r="U29" s="661"/>
      <c r="V29" s="661"/>
      <c r="W29" s="651"/>
      <c r="X29" s="703"/>
    </row>
    <row r="30" spans="1:24" s="636" customFormat="1" x14ac:dyDescent="0.15">
      <c r="A30" s="706" t="s">
        <v>54</v>
      </c>
      <c r="B30" s="657" t="s">
        <v>53</v>
      </c>
      <c r="C30" s="657"/>
      <c r="D30" s="705" t="s">
        <v>25</v>
      </c>
      <c r="E30" s="668"/>
      <c r="F30" s="650"/>
      <c r="G30" s="650"/>
      <c r="H30" s="660"/>
      <c r="I30" s="669"/>
      <c r="J30" s="682"/>
      <c r="K30" s="656"/>
      <c r="L30" s="656"/>
      <c r="M30" s="651"/>
      <c r="N30" s="683"/>
      <c r="O30" s="697"/>
      <c r="P30" s="656"/>
      <c r="Q30" s="656"/>
      <c r="R30" s="651"/>
      <c r="S30" s="683"/>
      <c r="T30" s="702"/>
      <c r="U30" s="661"/>
      <c r="V30" s="661"/>
      <c r="W30" s="651"/>
      <c r="X30" s="703"/>
    </row>
    <row r="31" spans="1:24" s="644" customFormat="1" ht="8.4" x14ac:dyDescent="0.2">
      <c r="A31" s="706" t="s">
        <v>55</v>
      </c>
      <c r="B31" s="653" t="s">
        <v>71</v>
      </c>
      <c r="C31" s="653"/>
      <c r="D31" s="705" t="s">
        <v>25</v>
      </c>
      <c r="E31" s="668"/>
      <c r="F31" s="650"/>
      <c r="G31" s="650"/>
      <c r="H31" s="660"/>
      <c r="I31" s="669"/>
      <c r="J31" s="682"/>
      <c r="K31" s="662"/>
      <c r="L31" s="662"/>
      <c r="M31" s="651"/>
      <c r="N31" s="685"/>
      <c r="O31" s="698"/>
      <c r="P31" s="662"/>
      <c r="Q31" s="662"/>
      <c r="R31" s="651"/>
      <c r="S31" s="685"/>
      <c r="T31" s="699"/>
      <c r="U31" s="663"/>
      <c r="V31" s="663"/>
      <c r="W31" s="651"/>
      <c r="X31" s="687"/>
    </row>
    <row r="32" spans="1:24" s="644" customFormat="1" x14ac:dyDescent="0.15">
      <c r="A32" s="708" t="s">
        <v>56</v>
      </c>
      <c r="B32" s="659" t="s">
        <v>72</v>
      </c>
      <c r="C32" s="659"/>
      <c r="D32" s="705" t="s">
        <v>25</v>
      </c>
      <c r="E32" s="668"/>
      <c r="F32" s="650"/>
      <c r="G32" s="650"/>
      <c r="H32" s="660"/>
      <c r="I32" s="669"/>
      <c r="J32" s="686"/>
      <c r="K32" s="663"/>
      <c r="L32" s="663"/>
      <c r="M32" s="651"/>
      <c r="N32" s="687"/>
      <c r="O32" s="699"/>
      <c r="P32" s="663"/>
      <c r="Q32" s="663"/>
      <c r="R32" s="651"/>
      <c r="S32" s="687"/>
      <c r="T32" s="699"/>
      <c r="U32" s="663"/>
      <c r="V32" s="663"/>
      <c r="W32" s="651"/>
      <c r="X32" s="687"/>
    </row>
    <row r="33" spans="1:24" s="644" customFormat="1" x14ac:dyDescent="0.15">
      <c r="A33" s="704" t="s">
        <v>57</v>
      </c>
      <c r="B33" s="649" t="s">
        <v>58</v>
      </c>
      <c r="C33" s="649"/>
      <c r="D33" s="705" t="s">
        <v>25</v>
      </c>
      <c r="E33" s="666">
        <f>E6-E11</f>
        <v>0</v>
      </c>
      <c r="F33" s="646">
        <f t="shared" ref="F33:G33" si="6">F6-F11</f>
        <v>0</v>
      </c>
      <c r="G33" s="646">
        <f t="shared" si="6"/>
        <v>56170</v>
      </c>
      <c r="H33" s="664"/>
      <c r="I33" s="667">
        <f t="shared" ref="I33:L33" si="7">I6-I11</f>
        <v>110014</v>
      </c>
      <c r="J33" s="666">
        <f t="shared" si="7"/>
        <v>0</v>
      </c>
      <c r="K33" s="646">
        <f t="shared" si="7"/>
        <v>0</v>
      </c>
      <c r="L33" s="646">
        <f t="shared" si="7"/>
        <v>56170</v>
      </c>
      <c r="M33" s="643"/>
      <c r="N33" s="667">
        <f t="shared" ref="N33" si="8">N6-N11</f>
        <v>110014</v>
      </c>
      <c r="O33" s="666"/>
      <c r="P33" s="646"/>
      <c r="Q33" s="646"/>
      <c r="R33" s="643"/>
      <c r="S33" s="667"/>
      <c r="T33" s="666"/>
      <c r="U33" s="646"/>
      <c r="V33" s="646"/>
      <c r="W33" s="651"/>
      <c r="X33" s="667"/>
    </row>
    <row r="34" spans="1:24" s="645" customFormat="1" x14ac:dyDescent="0.15">
      <c r="A34" s="709" t="s">
        <v>59</v>
      </c>
      <c r="B34" s="1239" t="s">
        <v>24</v>
      </c>
      <c r="C34" s="1239"/>
      <c r="D34" s="710" t="s">
        <v>25</v>
      </c>
      <c r="E34" s="672">
        <v>28144</v>
      </c>
      <c r="F34" s="665">
        <v>29533</v>
      </c>
      <c r="G34" s="665">
        <v>29533</v>
      </c>
      <c r="H34" s="660">
        <f t="shared" si="0"/>
        <v>100</v>
      </c>
      <c r="I34" s="673">
        <v>28392</v>
      </c>
      <c r="J34" s="688">
        <v>28144</v>
      </c>
      <c r="K34" s="648">
        <v>29533</v>
      </c>
      <c r="L34" s="648">
        <v>29533</v>
      </c>
      <c r="M34" s="651">
        <f t="shared" si="2"/>
        <v>100</v>
      </c>
      <c r="N34" s="689">
        <v>28392</v>
      </c>
      <c r="O34" s="688"/>
      <c r="P34" s="648"/>
      <c r="Q34" s="648"/>
      <c r="R34" s="651"/>
      <c r="S34" s="689"/>
      <c r="T34" s="688"/>
      <c r="U34" s="648"/>
      <c r="V34" s="648"/>
      <c r="W34" s="651"/>
      <c r="X34" s="689"/>
    </row>
    <row r="35" spans="1:24" s="645" customFormat="1" x14ac:dyDescent="0.15">
      <c r="A35" s="711" t="s">
        <v>60</v>
      </c>
      <c r="B35" s="1240" t="s">
        <v>33</v>
      </c>
      <c r="C35" s="1240"/>
      <c r="D35" s="712" t="s">
        <v>26</v>
      </c>
      <c r="E35" s="672">
        <v>5</v>
      </c>
      <c r="F35" s="665">
        <v>5</v>
      </c>
      <c r="G35" s="665">
        <v>5</v>
      </c>
      <c r="H35" s="660">
        <f t="shared" si="0"/>
        <v>100</v>
      </c>
      <c r="I35" s="673">
        <v>5</v>
      </c>
      <c r="J35" s="688">
        <v>5</v>
      </c>
      <c r="K35" s="648">
        <v>5</v>
      </c>
      <c r="L35" s="648">
        <v>5</v>
      </c>
      <c r="M35" s="651">
        <f t="shared" si="2"/>
        <v>100</v>
      </c>
      <c r="N35" s="689">
        <v>5</v>
      </c>
      <c r="O35" s="688"/>
      <c r="P35" s="648"/>
      <c r="Q35" s="648"/>
      <c r="R35" s="651"/>
      <c r="S35" s="689"/>
      <c r="T35" s="688"/>
      <c r="U35" s="648"/>
      <c r="V35" s="648"/>
      <c r="W35" s="651"/>
      <c r="X35" s="689"/>
    </row>
    <row r="36" spans="1:24" s="645" customFormat="1" ht="8.4" thickBot="1" x14ac:dyDescent="0.2">
      <c r="A36" s="713" t="s">
        <v>61</v>
      </c>
      <c r="B36" s="1241" t="s">
        <v>27</v>
      </c>
      <c r="C36" s="1241"/>
      <c r="D36" s="714" t="s">
        <v>26</v>
      </c>
      <c r="E36" s="674">
        <v>6</v>
      </c>
      <c r="F36" s="675">
        <v>6</v>
      </c>
      <c r="G36" s="675">
        <v>6</v>
      </c>
      <c r="H36" s="676">
        <f t="shared" si="0"/>
        <v>100</v>
      </c>
      <c r="I36" s="677">
        <v>6</v>
      </c>
      <c r="J36" s="690">
        <v>6</v>
      </c>
      <c r="K36" s="691">
        <v>6</v>
      </c>
      <c r="L36" s="691">
        <v>6</v>
      </c>
      <c r="M36" s="692">
        <f t="shared" si="2"/>
        <v>100</v>
      </c>
      <c r="N36" s="693">
        <v>6</v>
      </c>
      <c r="O36" s="690"/>
      <c r="P36" s="691"/>
      <c r="Q36" s="691"/>
      <c r="R36" s="692"/>
      <c r="S36" s="693"/>
      <c r="T36" s="690"/>
      <c r="U36" s="691"/>
      <c r="V36" s="691"/>
      <c r="W36" s="692"/>
      <c r="X36" s="693"/>
    </row>
  </sheetData>
  <mergeCells count="39">
    <mergeCell ref="O4:O5"/>
    <mergeCell ref="K4:M4"/>
    <mergeCell ref="E4:E5"/>
    <mergeCell ref="A1:X1"/>
    <mergeCell ref="T4:T5"/>
    <mergeCell ref="U4:W4"/>
    <mergeCell ref="X4:X5"/>
    <mergeCell ref="T3:X3"/>
    <mergeCell ref="A3:A5"/>
    <mergeCell ref="B3:C5"/>
    <mergeCell ref="D3:D5"/>
    <mergeCell ref="P4:R4"/>
    <mergeCell ref="N4:N5"/>
    <mergeCell ref="O3:S3"/>
    <mergeCell ref="F4:H4"/>
    <mergeCell ref="S4:S5"/>
    <mergeCell ref="I4:I5"/>
    <mergeCell ref="J3:N3"/>
    <mergeCell ref="J4:J5"/>
    <mergeCell ref="B19:C19"/>
    <mergeCell ref="B12:C12"/>
    <mergeCell ref="B13:C13"/>
    <mergeCell ref="B15:C15"/>
    <mergeCell ref="B16:C16"/>
    <mergeCell ref="B18:C18"/>
    <mergeCell ref="B6:C6"/>
    <mergeCell ref="B7:C7"/>
    <mergeCell ref="B8:C8"/>
    <mergeCell ref="B10:C10"/>
    <mergeCell ref="B11:C11"/>
    <mergeCell ref="E3:I3"/>
    <mergeCell ref="B20:C20"/>
    <mergeCell ref="B34:C34"/>
    <mergeCell ref="B35:C35"/>
    <mergeCell ref="B36:C36"/>
    <mergeCell ref="B21:C21"/>
    <mergeCell ref="B22:C22"/>
    <mergeCell ref="B26:C26"/>
    <mergeCell ref="B29:C29"/>
  </mergeCells>
  <pageMargins left="0.23622047244094491" right="0.23622047244094491" top="0.74803149606299213" bottom="0.74803149606299213" header="0.31496062992125984" footer="0.31496062992125984"/>
  <pageSetup paperSize="9" scale="99" firstPageNumber="205" fitToHeight="6" orientation="landscape" useFirstPageNumber="1" r:id="rId1"/>
  <headerFoot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1"/>
  <sheetViews>
    <sheetView zoomScaleNormal="100" workbookViewId="0">
      <selection activeCell="M8" sqref="M8"/>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323" customFormat="1" ht="17.399999999999999" x14ac:dyDescent="0.3">
      <c r="A1" s="323" t="s">
        <v>75</v>
      </c>
      <c r="B1" s="323" t="s">
        <v>1401</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155" t="s">
        <v>25</v>
      </c>
      <c r="D5" s="1256" t="s">
        <v>103</v>
      </c>
      <c r="E5" s="1256"/>
      <c r="F5" s="1256"/>
      <c r="G5" s="1256"/>
      <c r="H5" s="1256"/>
      <c r="I5" s="1256"/>
    </row>
    <row r="6" spans="1:9" s="8" customFormat="1" ht="15" customHeight="1" x14ac:dyDescent="0.2">
      <c r="A6" s="1267" t="s">
        <v>104</v>
      </c>
      <c r="B6" s="1267"/>
      <c r="C6" s="113">
        <v>56170.41</v>
      </c>
      <c r="D6" s="1262"/>
      <c r="E6" s="1263"/>
      <c r="F6" s="1263"/>
      <c r="G6" s="1263"/>
      <c r="H6" s="1263"/>
      <c r="I6" s="1263"/>
    </row>
    <row r="7" spans="1:9" s="8" customFormat="1" ht="29.25" customHeight="1" x14ac:dyDescent="0.2">
      <c r="A7" s="1257" t="s">
        <v>77</v>
      </c>
      <c r="B7" s="1258"/>
      <c r="C7" s="114">
        <v>56170.41</v>
      </c>
      <c r="D7" s="1261" t="s">
        <v>625</v>
      </c>
      <c r="E7" s="1261"/>
      <c r="F7" s="1261"/>
      <c r="G7" s="1261"/>
      <c r="H7" s="1261"/>
      <c r="I7" s="1261"/>
    </row>
    <row r="8" spans="1:9" s="7" customFormat="1" ht="29.25" customHeight="1" x14ac:dyDescent="0.2">
      <c r="A8" s="1259" t="s">
        <v>78</v>
      </c>
      <c r="B8" s="1260"/>
      <c r="C8" s="115"/>
      <c r="D8" s="1261"/>
      <c r="E8" s="1261"/>
      <c r="F8" s="1261"/>
      <c r="G8" s="1261"/>
      <c r="H8" s="1261"/>
      <c r="I8" s="1261"/>
    </row>
    <row r="9" spans="1:9" s="7" customFormat="1" ht="15" customHeight="1" x14ac:dyDescent="0.2">
      <c r="A9" s="1259" t="s">
        <v>79</v>
      </c>
      <c r="B9" s="1260"/>
      <c r="C9" s="115"/>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155" t="s">
        <v>76</v>
      </c>
      <c r="B13" s="155" t="s">
        <v>80</v>
      </c>
      <c r="C13" s="155" t="s">
        <v>25</v>
      </c>
      <c r="D13" s="118"/>
      <c r="E13" s="119"/>
      <c r="F13" s="119"/>
      <c r="G13" s="119"/>
      <c r="H13" s="119"/>
      <c r="I13" s="119"/>
    </row>
    <row r="14" spans="1:9" s="8" customFormat="1" ht="15" customHeight="1" x14ac:dyDescent="0.2">
      <c r="A14" s="12" t="s">
        <v>81</v>
      </c>
      <c r="B14" s="13"/>
      <c r="C14" s="120"/>
      <c r="D14" s="121"/>
      <c r="E14" s="122"/>
      <c r="F14" s="122"/>
      <c r="G14" s="122"/>
      <c r="H14" s="122"/>
      <c r="I14" s="122"/>
    </row>
    <row r="15" spans="1:9" s="8" customFormat="1" ht="15" customHeight="1" x14ac:dyDescent="0.2">
      <c r="A15" s="1249" t="s">
        <v>82</v>
      </c>
      <c r="B15" s="123" t="s">
        <v>98</v>
      </c>
      <c r="C15" s="124"/>
      <c r="D15" s="121"/>
      <c r="E15" s="122"/>
      <c r="F15" s="122"/>
      <c r="G15" s="122"/>
      <c r="H15" s="122"/>
      <c r="I15" s="122"/>
    </row>
    <row r="16" spans="1:9" s="8" customFormat="1" ht="15" customHeight="1" x14ac:dyDescent="0.2">
      <c r="A16" s="1250"/>
      <c r="B16" s="14" t="s">
        <v>83</v>
      </c>
      <c r="C16" s="125">
        <v>26170.41</v>
      </c>
      <c r="D16" s="126"/>
      <c r="E16" s="127"/>
      <c r="F16" s="127"/>
      <c r="G16" s="127"/>
      <c r="H16" s="127"/>
      <c r="I16" s="127"/>
    </row>
    <row r="17" spans="1:9" s="8" customFormat="1" ht="15" customHeight="1" x14ac:dyDescent="0.2">
      <c r="A17" s="1251"/>
      <c r="B17" s="15" t="s">
        <v>84</v>
      </c>
      <c r="C17" s="128">
        <v>30000</v>
      </c>
      <c r="D17" s="129"/>
      <c r="E17" s="130"/>
      <c r="F17" s="130"/>
      <c r="G17" s="130"/>
      <c r="H17" s="130"/>
      <c r="I17" s="130"/>
    </row>
    <row r="18" spans="1:9" s="8" customFormat="1" ht="15" customHeight="1" x14ac:dyDescent="0.2">
      <c r="A18" s="158" t="s">
        <v>104</v>
      </c>
      <c r="B18" s="16"/>
      <c r="C18" s="131">
        <f>SUM(C14:C17)</f>
        <v>56170.41</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155" t="s">
        <v>80</v>
      </c>
      <c r="B22" s="155" t="s">
        <v>109</v>
      </c>
      <c r="C22" s="217" t="s">
        <v>110</v>
      </c>
      <c r="D22" s="155" t="s">
        <v>111</v>
      </c>
      <c r="E22" s="155" t="s">
        <v>112</v>
      </c>
      <c r="F22" s="1256" t="s">
        <v>113</v>
      </c>
      <c r="G22" s="1256"/>
      <c r="H22" s="1256"/>
      <c r="I22" s="1256"/>
    </row>
    <row r="23" spans="1:9" s="8" customFormat="1" ht="41.1" customHeight="1" x14ac:dyDescent="0.2">
      <c r="A23" s="17" t="s">
        <v>85</v>
      </c>
      <c r="B23" s="139">
        <v>289.27999999999997</v>
      </c>
      <c r="C23" s="139">
        <v>60013.5</v>
      </c>
      <c r="D23" s="139">
        <v>0</v>
      </c>
      <c r="E23" s="139">
        <f>B23+C23-D23</f>
        <v>60302.78</v>
      </c>
      <c r="F23" s="1253" t="s">
        <v>626</v>
      </c>
      <c r="G23" s="1254"/>
      <c r="H23" s="1254"/>
      <c r="I23" s="1255"/>
    </row>
    <row r="24" spans="1:9" s="8" customFormat="1" ht="41.1" customHeight="1" x14ac:dyDescent="0.2">
      <c r="A24" s="14" t="s">
        <v>86</v>
      </c>
      <c r="B24" s="140">
        <v>0</v>
      </c>
      <c r="C24" s="140">
        <v>0</v>
      </c>
      <c r="D24" s="140"/>
      <c r="E24" s="140">
        <f t="shared" ref="E24:E26" si="0">B24+C24-D24</f>
        <v>0</v>
      </c>
      <c r="F24" s="1242"/>
      <c r="G24" s="1243"/>
      <c r="H24" s="1243"/>
      <c r="I24" s="1244"/>
    </row>
    <row r="25" spans="1:9" s="8" customFormat="1" ht="41.1" customHeight="1" x14ac:dyDescent="0.2">
      <c r="A25" s="14" t="s">
        <v>84</v>
      </c>
      <c r="B25" s="140">
        <v>0.73</v>
      </c>
      <c r="C25" s="140">
        <v>50000</v>
      </c>
      <c r="D25" s="140">
        <v>0</v>
      </c>
      <c r="E25" s="140">
        <f t="shared" si="0"/>
        <v>50000.73</v>
      </c>
      <c r="F25" s="1242" t="s">
        <v>627</v>
      </c>
      <c r="G25" s="1243"/>
      <c r="H25" s="1243"/>
      <c r="I25" s="1244"/>
    </row>
    <row r="26" spans="1:9" s="8" customFormat="1" ht="41.1" customHeight="1" x14ac:dyDescent="0.2">
      <c r="A26" s="15" t="s">
        <v>87</v>
      </c>
      <c r="B26" s="141">
        <v>36735.839999999997</v>
      </c>
      <c r="C26" s="141">
        <v>35440</v>
      </c>
      <c r="D26" s="141">
        <v>35093</v>
      </c>
      <c r="E26" s="140">
        <f t="shared" si="0"/>
        <v>37082.839999999997</v>
      </c>
      <c r="F26" s="1245" t="s">
        <v>628</v>
      </c>
      <c r="G26" s="1246"/>
      <c r="H26" s="1246"/>
      <c r="I26" s="1247"/>
    </row>
    <row r="27" spans="1:9" s="7" customFormat="1" ht="10.199999999999999" x14ac:dyDescent="0.2">
      <c r="A27" s="10" t="s">
        <v>34</v>
      </c>
      <c r="B27" s="113">
        <f>SUM(B23:B26)</f>
        <v>37025.85</v>
      </c>
      <c r="C27" s="113">
        <f t="shared" ref="C27:E27" si="1">SUM(C23:C26)</f>
        <v>145453.5</v>
      </c>
      <c r="D27" s="113">
        <f t="shared" si="1"/>
        <v>35093</v>
      </c>
      <c r="E27" s="113">
        <f t="shared" si="1"/>
        <v>147386.35</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row>
    <row r="31" spans="1:9" s="8" customFormat="1" ht="10.199999999999999" x14ac:dyDescent="0.2">
      <c r="A31" s="155" t="s">
        <v>88</v>
      </c>
      <c r="B31" s="155" t="s">
        <v>25</v>
      </c>
      <c r="C31" s="217" t="s">
        <v>89</v>
      </c>
      <c r="D31" s="1256" t="s">
        <v>90</v>
      </c>
      <c r="E31" s="1256"/>
      <c r="F31" s="1256"/>
      <c r="G31" s="1256"/>
      <c r="H31" s="1256"/>
      <c r="I31" s="1256"/>
    </row>
    <row r="32" spans="1:9" s="8" customFormat="1" ht="12" customHeight="1" x14ac:dyDescent="0.2">
      <c r="A32" s="19"/>
      <c r="B32" s="139"/>
      <c r="C32" s="20"/>
      <c r="D32" s="1270"/>
      <c r="E32" s="1271"/>
      <c r="F32" s="1271"/>
      <c r="G32" s="1271"/>
      <c r="H32" s="1271"/>
      <c r="I32" s="1272"/>
    </row>
    <row r="33" spans="1:9" s="8" customFormat="1" ht="12.75" customHeight="1" x14ac:dyDescent="0.2">
      <c r="A33" s="18"/>
      <c r="B33" s="141"/>
      <c r="C33" s="32"/>
      <c r="D33" s="1273"/>
      <c r="E33" s="1274"/>
      <c r="F33" s="1274"/>
      <c r="G33" s="1274"/>
      <c r="H33" s="1274"/>
      <c r="I33" s="1275"/>
    </row>
    <row r="34" spans="1:9" s="8" customFormat="1" ht="15" customHeight="1" x14ac:dyDescent="0.2">
      <c r="A34" s="18"/>
      <c r="B34" s="141"/>
      <c r="C34" s="33"/>
      <c r="D34" s="1273"/>
      <c r="E34" s="1274"/>
      <c r="F34" s="1274"/>
      <c r="G34" s="1274"/>
      <c r="H34" s="1274"/>
      <c r="I34" s="1275"/>
    </row>
    <row r="35" spans="1:9" s="7" customFormat="1" ht="10.199999999999999" x14ac:dyDescent="0.2">
      <c r="A35" s="10" t="s">
        <v>34</v>
      </c>
      <c r="B35" s="113">
        <f>SUM(B32:B34)</f>
        <v>0</v>
      </c>
      <c r="C35" s="1276"/>
      <c r="D35" s="1277"/>
      <c r="E35" s="1277"/>
      <c r="F35" s="1277"/>
      <c r="G35" s="1277"/>
      <c r="H35" s="1277"/>
      <c r="I35" s="1278"/>
    </row>
    <row r="36" spans="1:9" s="8" customFormat="1" ht="12" customHeight="1" x14ac:dyDescent="0.2">
      <c r="A36" s="1736" t="s">
        <v>96</v>
      </c>
      <c r="B36" s="1736"/>
      <c r="C36" s="1736"/>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row>
    <row r="39" spans="1:9" s="8" customFormat="1" ht="10.199999999999999" x14ac:dyDescent="0.2">
      <c r="A39" s="155" t="s">
        <v>88</v>
      </c>
      <c r="B39" s="155" t="s">
        <v>25</v>
      </c>
      <c r="C39" s="217" t="s">
        <v>89</v>
      </c>
      <c r="D39" s="1279" t="s">
        <v>90</v>
      </c>
      <c r="E39" s="1279"/>
      <c r="F39" s="1279"/>
      <c r="G39" s="1279"/>
      <c r="H39" s="1279"/>
      <c r="I39" s="1280"/>
    </row>
    <row r="40" spans="1:9" s="8" customFormat="1" ht="15" customHeight="1" x14ac:dyDescent="0.2">
      <c r="A40" s="19"/>
      <c r="B40" s="139"/>
      <c r="C40" s="20"/>
      <c r="D40" s="1242"/>
      <c r="E40" s="1281"/>
      <c r="F40" s="1281"/>
      <c r="G40" s="1281"/>
      <c r="H40" s="1281"/>
      <c r="I40" s="1282"/>
    </row>
    <row r="41" spans="1:9" s="8" customFormat="1" ht="15" customHeight="1" x14ac:dyDescent="0.2">
      <c r="A41" s="21"/>
      <c r="B41" s="140"/>
      <c r="C41" s="22"/>
      <c r="D41" s="1242"/>
      <c r="E41" s="1281"/>
      <c r="F41" s="1281"/>
      <c r="G41" s="1281"/>
      <c r="H41" s="1281"/>
      <c r="I41" s="1282"/>
    </row>
    <row r="42" spans="1:9" s="8" customFormat="1" ht="15" customHeight="1" x14ac:dyDescent="0.2">
      <c r="A42" s="21"/>
      <c r="B42" s="140"/>
      <c r="C42" s="22"/>
      <c r="D42" s="1242"/>
      <c r="E42" s="1281"/>
      <c r="F42" s="1281"/>
      <c r="G42" s="1281"/>
      <c r="H42" s="1281"/>
      <c r="I42" s="1282"/>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A44" s="1736" t="s">
        <v>489</v>
      </c>
      <c r="B44" s="1736"/>
      <c r="C44" s="1736"/>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row>
    <row r="47" spans="1:9" s="8" customFormat="1" ht="10.199999999999999" x14ac:dyDescent="0.2">
      <c r="A47" s="157" t="s">
        <v>25</v>
      </c>
      <c r="B47" s="156" t="s">
        <v>122</v>
      </c>
      <c r="C47" s="1285" t="s">
        <v>91</v>
      </c>
      <c r="D47" s="1285"/>
      <c r="E47" s="1285"/>
      <c r="F47" s="1285"/>
      <c r="G47" s="1285"/>
      <c r="H47" s="1285"/>
      <c r="I47" s="1286"/>
    </row>
    <row r="48" spans="1:9" s="8" customFormat="1" ht="10.199999999999999" x14ac:dyDescent="0.2">
      <c r="A48" s="140"/>
      <c r="B48" s="140"/>
      <c r="C48" s="1287"/>
      <c r="D48" s="1287"/>
      <c r="E48" s="1287"/>
      <c r="F48" s="1287"/>
      <c r="G48" s="1287"/>
      <c r="H48" s="1287"/>
      <c r="I48" s="1287"/>
    </row>
    <row r="49" spans="1:9" s="8" customFormat="1" ht="10.199999999999999" x14ac:dyDescent="0.2">
      <c r="A49" s="140"/>
      <c r="B49" s="140"/>
      <c r="C49" s="1287"/>
      <c r="D49" s="1287"/>
      <c r="E49" s="1287"/>
      <c r="F49" s="1287"/>
      <c r="G49" s="1287"/>
      <c r="H49" s="1287"/>
      <c r="I49" s="1287"/>
    </row>
    <row r="50" spans="1:9" s="8" customFormat="1" ht="10.199999999999999" x14ac:dyDescent="0.2">
      <c r="A50" s="141"/>
      <c r="B50" s="141"/>
      <c r="C50" s="1288"/>
      <c r="D50" s="1288"/>
      <c r="E50" s="1288"/>
      <c r="F50" s="1288"/>
      <c r="G50" s="1288"/>
      <c r="H50" s="1288"/>
      <c r="I50" s="1288"/>
    </row>
    <row r="51" spans="1:9" s="7" customFormat="1" ht="10.199999999999999" x14ac:dyDescent="0.2">
      <c r="A51" s="113">
        <f>A48+A49+A50</f>
        <v>0</v>
      </c>
      <c r="B51" s="113">
        <f>B48+B49+B50</f>
        <v>0</v>
      </c>
      <c r="C51" s="1289" t="s">
        <v>34</v>
      </c>
      <c r="D51" s="1289"/>
      <c r="E51" s="1289"/>
      <c r="F51" s="1289"/>
      <c r="G51" s="1289"/>
      <c r="H51" s="1289"/>
      <c r="I51" s="1289"/>
    </row>
    <row r="52" spans="1:9" s="8" customFormat="1" ht="10.199999999999999" x14ac:dyDescent="0.2">
      <c r="A52" s="1736" t="s">
        <v>629</v>
      </c>
      <c r="B52" s="1736"/>
      <c r="C52" s="1736"/>
    </row>
    <row r="53" spans="1:9" s="8" customFormat="1" ht="10.199999999999999" x14ac:dyDescent="0.2">
      <c r="A53" s="1248" t="s">
        <v>123</v>
      </c>
      <c r="B53" s="1248"/>
      <c r="C53" s="1248"/>
      <c r="D53" s="1248"/>
      <c r="E53" s="1248"/>
      <c r="F53" s="1248"/>
      <c r="G53" s="1248"/>
      <c r="H53" s="1248"/>
      <c r="I53" s="1248"/>
    </row>
    <row r="54" spans="1:9" s="8" customFormat="1" ht="10.199999999999999" x14ac:dyDescent="0.2">
      <c r="C54" s="116"/>
    </row>
    <row r="55" spans="1:9" s="23" customFormat="1" ht="10.199999999999999" x14ac:dyDescent="0.2">
      <c r="A55" s="1256" t="s">
        <v>92</v>
      </c>
      <c r="B55" s="1256"/>
      <c r="C55" s="217" t="s">
        <v>93</v>
      </c>
      <c r="D55" s="155" t="s">
        <v>94</v>
      </c>
      <c r="E55" s="155" t="s">
        <v>25</v>
      </c>
    </row>
    <row r="56" spans="1:9" s="8" customFormat="1" ht="11.25" customHeight="1" x14ac:dyDescent="0.2">
      <c r="A56" s="1562" t="s">
        <v>630</v>
      </c>
      <c r="B56" s="1563"/>
      <c r="C56" s="632">
        <v>43493</v>
      </c>
      <c r="D56" s="715">
        <v>43493</v>
      </c>
      <c r="E56" s="449">
        <v>113704</v>
      </c>
    </row>
    <row r="57" spans="1:9" s="8" customFormat="1" ht="11.25" customHeight="1" x14ac:dyDescent="0.2">
      <c r="A57" s="1560" t="s">
        <v>631</v>
      </c>
      <c r="B57" s="1561"/>
      <c r="C57" s="716">
        <v>43493</v>
      </c>
      <c r="D57" s="715">
        <v>43493</v>
      </c>
      <c r="E57" s="451">
        <v>83349</v>
      </c>
    </row>
    <row r="58" spans="1:9" s="8" customFormat="1" ht="11.25" customHeight="1" x14ac:dyDescent="0.2">
      <c r="A58" s="1560" t="s">
        <v>632</v>
      </c>
      <c r="B58" s="1561"/>
      <c r="C58" s="715">
        <v>43493</v>
      </c>
      <c r="D58" s="715">
        <v>43493</v>
      </c>
      <c r="E58" s="451">
        <v>28688</v>
      </c>
    </row>
    <row r="59" spans="1:9" s="8" customFormat="1" ht="11.25" customHeight="1" x14ac:dyDescent="0.2">
      <c r="A59" s="1560" t="s">
        <v>633</v>
      </c>
      <c r="B59" s="1561"/>
      <c r="C59" s="715">
        <v>43493</v>
      </c>
      <c r="D59" s="715">
        <v>43493</v>
      </c>
      <c r="E59" s="451">
        <v>1667</v>
      </c>
    </row>
    <row r="60" spans="1:9" s="8" customFormat="1" ht="11.25" customHeight="1" x14ac:dyDescent="0.2">
      <c r="A60" s="1560" t="s">
        <v>634</v>
      </c>
      <c r="B60" s="1561"/>
      <c r="C60" s="716">
        <v>43479</v>
      </c>
      <c r="D60" s="716">
        <v>43479</v>
      </c>
      <c r="E60" s="451">
        <v>-4000</v>
      </c>
    </row>
    <row r="61" spans="1:9" s="8" customFormat="1" ht="11.25" customHeight="1" x14ac:dyDescent="0.2">
      <c r="A61" s="1560" t="s">
        <v>635</v>
      </c>
      <c r="B61" s="1561"/>
      <c r="C61" s="716">
        <v>43479</v>
      </c>
      <c r="D61" s="716">
        <v>43479</v>
      </c>
      <c r="E61" s="451">
        <v>4000</v>
      </c>
    </row>
    <row r="62" spans="1:9" s="8" customFormat="1" ht="11.25" customHeight="1" x14ac:dyDescent="0.2">
      <c r="A62" s="1560" t="s">
        <v>636</v>
      </c>
      <c r="B62" s="1561"/>
      <c r="C62" s="716">
        <v>43686</v>
      </c>
      <c r="D62" s="716">
        <v>43686</v>
      </c>
      <c r="E62" s="451">
        <v>39300</v>
      </c>
    </row>
    <row r="63" spans="1:9" s="8" customFormat="1" ht="11.25" customHeight="1" x14ac:dyDescent="0.2">
      <c r="A63" s="1560" t="s">
        <v>637</v>
      </c>
      <c r="B63" s="1561"/>
      <c r="C63" s="716">
        <v>43686</v>
      </c>
      <c r="D63" s="716">
        <v>43686</v>
      </c>
      <c r="E63" s="451">
        <v>4200</v>
      </c>
    </row>
    <row r="64" spans="1:9" s="8" customFormat="1" ht="11.25" customHeight="1" x14ac:dyDescent="0.2">
      <c r="A64" s="1560" t="s">
        <v>638</v>
      </c>
      <c r="B64" s="1561"/>
      <c r="C64" s="716">
        <v>43686</v>
      </c>
      <c r="D64" s="716">
        <v>43686</v>
      </c>
      <c r="E64" s="451">
        <v>35100</v>
      </c>
    </row>
    <row r="65" spans="1:9" s="8" customFormat="1" ht="11.25" customHeight="1" x14ac:dyDescent="0.2">
      <c r="A65" s="1560" t="s">
        <v>639</v>
      </c>
      <c r="B65" s="1561"/>
      <c r="C65" s="716">
        <v>43796</v>
      </c>
      <c r="D65" s="716">
        <v>43796</v>
      </c>
      <c r="E65" s="451">
        <v>-30000</v>
      </c>
    </row>
    <row r="66" spans="1:9" s="8" customFormat="1" ht="11.25" customHeight="1" x14ac:dyDescent="0.2">
      <c r="A66" s="1560" t="s">
        <v>640</v>
      </c>
      <c r="B66" s="1561"/>
      <c r="C66" s="716">
        <v>43796</v>
      </c>
      <c r="D66" s="716">
        <v>43796</v>
      </c>
      <c r="E66" s="451">
        <v>19000</v>
      </c>
    </row>
    <row r="67" spans="1:9" s="8" customFormat="1" ht="11.25" customHeight="1" x14ac:dyDescent="0.2">
      <c r="A67" s="1560" t="s">
        <v>641</v>
      </c>
      <c r="B67" s="1561"/>
      <c r="C67" s="716">
        <v>43796</v>
      </c>
      <c r="D67" s="716">
        <v>43796</v>
      </c>
      <c r="E67" s="451">
        <v>11000</v>
      </c>
    </row>
    <row r="68" spans="1:9" s="8" customFormat="1" ht="11.25" customHeight="1" x14ac:dyDescent="0.2">
      <c r="A68" s="1560" t="s">
        <v>642</v>
      </c>
      <c r="B68" s="1561"/>
      <c r="C68" s="716">
        <v>43774</v>
      </c>
      <c r="D68" s="716">
        <v>43774</v>
      </c>
      <c r="E68" s="451">
        <v>8500</v>
      </c>
    </row>
    <row r="69" spans="1:9" s="8" customFormat="1" ht="11.25" customHeight="1" x14ac:dyDescent="0.2">
      <c r="A69" s="1560" t="s">
        <v>643</v>
      </c>
      <c r="B69" s="1561"/>
      <c r="C69" s="716">
        <v>43774</v>
      </c>
      <c r="D69" s="716">
        <v>43774</v>
      </c>
      <c r="E69" s="451">
        <v>8000</v>
      </c>
    </row>
    <row r="70" spans="1:9" s="8" customFormat="1" ht="11.25" customHeight="1" x14ac:dyDescent="0.2">
      <c r="A70" s="1560" t="s">
        <v>644</v>
      </c>
      <c r="B70" s="1561"/>
      <c r="C70" s="716">
        <v>43774</v>
      </c>
      <c r="D70" s="716">
        <v>43774</v>
      </c>
      <c r="E70" s="451">
        <v>500</v>
      </c>
    </row>
    <row r="71" spans="1:9" s="8" customFormat="1" ht="11.25" customHeight="1" x14ac:dyDescent="0.2">
      <c r="A71" s="1560" t="s">
        <v>645</v>
      </c>
      <c r="B71" s="1561"/>
      <c r="C71" s="716">
        <v>43774</v>
      </c>
      <c r="D71" s="716">
        <v>43774</v>
      </c>
      <c r="E71" s="451">
        <v>-390</v>
      </c>
    </row>
    <row r="72" spans="1:9" s="8" customFormat="1" ht="11.25" customHeight="1" x14ac:dyDescent="0.2">
      <c r="A72" s="1560" t="s">
        <v>646</v>
      </c>
      <c r="B72" s="1561"/>
      <c r="C72" s="716">
        <v>43774</v>
      </c>
      <c r="D72" s="716">
        <v>43774</v>
      </c>
      <c r="E72" s="451">
        <v>390</v>
      </c>
    </row>
    <row r="73" spans="1:9" s="8" customFormat="1" ht="11.25" customHeight="1" x14ac:dyDescent="0.2">
      <c r="A73" s="1560" t="s">
        <v>647</v>
      </c>
      <c r="B73" s="1561"/>
      <c r="C73" s="716">
        <v>43816</v>
      </c>
      <c r="D73" s="716">
        <v>43816</v>
      </c>
      <c r="E73" s="451">
        <v>15000</v>
      </c>
    </row>
    <row r="74" spans="1:9" s="8" customFormat="1" ht="11.25" customHeight="1" x14ac:dyDescent="0.2">
      <c r="A74" s="1560" t="s">
        <v>648</v>
      </c>
      <c r="B74" s="1561"/>
      <c r="C74" s="716">
        <v>43816</v>
      </c>
      <c r="D74" s="716">
        <v>43816</v>
      </c>
      <c r="E74" s="451">
        <v>800</v>
      </c>
    </row>
    <row r="75" spans="1:9" s="8" customFormat="1" ht="11.25" customHeight="1" x14ac:dyDescent="0.2">
      <c r="A75" s="1560" t="s">
        <v>640</v>
      </c>
      <c r="B75" s="1561"/>
      <c r="C75" s="716">
        <v>43816</v>
      </c>
      <c r="D75" s="716">
        <v>43816</v>
      </c>
      <c r="E75" s="451">
        <v>14200</v>
      </c>
    </row>
    <row r="76" spans="1:9" s="8" customFormat="1" ht="11.25" customHeight="1" x14ac:dyDescent="0.2">
      <c r="A76" s="1560" t="s">
        <v>649</v>
      </c>
      <c r="B76" s="1561"/>
      <c r="C76" s="716">
        <v>43826</v>
      </c>
      <c r="D76" s="716">
        <v>43826</v>
      </c>
      <c r="E76" s="451">
        <v>-2532</v>
      </c>
    </row>
    <row r="77" spans="1:9" s="8" customFormat="1" ht="11.25" customHeight="1" x14ac:dyDescent="0.2">
      <c r="A77" s="1560" t="s">
        <v>650</v>
      </c>
      <c r="B77" s="1561"/>
      <c r="C77" s="716">
        <v>43826</v>
      </c>
      <c r="D77" s="716">
        <v>43826</v>
      </c>
      <c r="E77" s="451">
        <v>2532</v>
      </c>
    </row>
    <row r="78" spans="1:9" s="8" customFormat="1" ht="11.25" customHeight="1" x14ac:dyDescent="0.2">
      <c r="A78" s="147"/>
      <c r="B78" s="148"/>
      <c r="C78" s="149"/>
      <c r="D78" s="149"/>
      <c r="E78" s="150"/>
    </row>
    <row r="79" spans="1:9" s="8" customFormat="1" ht="10.199999999999999" x14ac:dyDescent="0.2">
      <c r="A79" s="1300" t="s">
        <v>154</v>
      </c>
      <c r="B79" s="1300"/>
      <c r="C79" s="1300"/>
      <c r="D79" s="1300"/>
      <c r="E79" s="1300"/>
      <c r="F79" s="1300"/>
      <c r="G79" s="1300"/>
      <c r="H79" s="1300"/>
      <c r="I79" s="1300"/>
    </row>
    <row r="80" spans="1:9" s="8" customFormat="1" ht="10.199999999999999" x14ac:dyDescent="0.2">
      <c r="A80" s="8" t="s">
        <v>95</v>
      </c>
    </row>
    <row r="81" spans="1:9" s="8" customFormat="1" ht="10.199999999999999" x14ac:dyDescent="0.2">
      <c r="A81" s="1297" t="s">
        <v>651</v>
      </c>
      <c r="B81" s="1298"/>
      <c r="C81" s="1298"/>
      <c r="D81" s="1298"/>
      <c r="E81" s="1298"/>
      <c r="F81" s="1298"/>
      <c r="G81" s="1298"/>
      <c r="H81" s="1298"/>
      <c r="I81" s="1299"/>
    </row>
    <row r="82" spans="1:9" s="8" customFormat="1" ht="10.199999999999999" x14ac:dyDescent="0.2"/>
    <row r="83" spans="1:9" s="8" customFormat="1" ht="0.75" customHeight="1" x14ac:dyDescent="0.2">
      <c r="A83" s="1297"/>
      <c r="B83" s="1298"/>
      <c r="C83" s="1298"/>
      <c r="D83" s="1298"/>
      <c r="E83" s="1298"/>
      <c r="F83" s="1298"/>
      <c r="G83" s="1298"/>
      <c r="H83" s="1298"/>
      <c r="I83" s="1299"/>
    </row>
    <row r="84" spans="1:9" s="8" customFormat="1" ht="10.199999999999999" hidden="1" x14ac:dyDescent="0.2"/>
    <row r="85" spans="1:9" s="7" customFormat="1" ht="10.199999999999999" x14ac:dyDescent="0.2">
      <c r="A85" s="1248" t="s">
        <v>156</v>
      </c>
      <c r="B85" s="1248"/>
      <c r="C85" s="1248"/>
      <c r="D85" s="1248"/>
      <c r="E85" s="1248"/>
      <c r="F85" s="1248"/>
      <c r="G85" s="1248"/>
      <c r="H85" s="1248"/>
      <c r="I85" s="1248"/>
    </row>
    <row r="86" spans="1:9" s="8" customFormat="1" ht="10.199999999999999" x14ac:dyDescent="0.2">
      <c r="A86" s="8" t="s">
        <v>95</v>
      </c>
    </row>
    <row r="87" spans="1:9" s="8" customFormat="1" ht="36" customHeight="1" x14ac:dyDescent="0.2">
      <c r="A87" s="1297" t="s">
        <v>652</v>
      </c>
      <c r="B87" s="1298"/>
      <c r="C87" s="1298"/>
      <c r="D87" s="1298"/>
      <c r="E87" s="1298"/>
      <c r="F87" s="1298"/>
      <c r="G87" s="1298"/>
      <c r="H87" s="1298"/>
      <c r="I87" s="1299"/>
    </row>
    <row r="89" spans="1:9" x14ac:dyDescent="0.25">
      <c r="A89" s="8" t="s">
        <v>653</v>
      </c>
      <c r="D89" s="1737" t="s">
        <v>654</v>
      </c>
      <c r="E89" s="1737"/>
      <c r="F89" s="1737"/>
    </row>
    <row r="90" spans="1:9" x14ac:dyDescent="0.25">
      <c r="A90" s="26"/>
    </row>
    <row r="91" spans="1:9" x14ac:dyDescent="0.25">
      <c r="A91" s="26"/>
    </row>
  </sheetData>
  <mergeCells count="69">
    <mergeCell ref="A87:I87"/>
    <mergeCell ref="D89:F89"/>
    <mergeCell ref="A76:B76"/>
    <mergeCell ref="A77:B77"/>
    <mergeCell ref="A79:I79"/>
    <mergeCell ref="A81:I81"/>
    <mergeCell ref="A83:I83"/>
    <mergeCell ref="A85:I85"/>
    <mergeCell ref="A75:B75"/>
    <mergeCell ref="A64:B64"/>
    <mergeCell ref="A65:B65"/>
    <mergeCell ref="A66:B66"/>
    <mergeCell ref="A67:B67"/>
    <mergeCell ref="A68:B68"/>
    <mergeCell ref="A69:B69"/>
    <mergeCell ref="A70:B70"/>
    <mergeCell ref="A71:B71"/>
    <mergeCell ref="A72:B72"/>
    <mergeCell ref="A73:B73"/>
    <mergeCell ref="A74:B74"/>
    <mergeCell ref="A63:B63"/>
    <mergeCell ref="C51:I51"/>
    <mergeCell ref="A52:C52"/>
    <mergeCell ref="A53:I53"/>
    <mergeCell ref="A55:B55"/>
    <mergeCell ref="A56:B56"/>
    <mergeCell ref="A57:B57"/>
    <mergeCell ref="A58:B58"/>
    <mergeCell ref="A59:B59"/>
    <mergeCell ref="A60:B60"/>
    <mergeCell ref="A61:B61"/>
    <mergeCell ref="A62:B62"/>
    <mergeCell ref="C50:I50"/>
    <mergeCell ref="A37:I37"/>
    <mergeCell ref="D39:I39"/>
    <mergeCell ref="D40:I40"/>
    <mergeCell ref="D41:I41"/>
    <mergeCell ref="D42:I42"/>
    <mergeCell ref="C43:I43"/>
    <mergeCell ref="A44:C44"/>
    <mergeCell ref="A45:I45"/>
    <mergeCell ref="C47:I47"/>
    <mergeCell ref="C48:I48"/>
    <mergeCell ref="C49:I49"/>
    <mergeCell ref="A36:C36"/>
    <mergeCell ref="A20:I20"/>
    <mergeCell ref="F22:I22"/>
    <mergeCell ref="F23:I23"/>
    <mergeCell ref="F24:I24"/>
    <mergeCell ref="F25:I25"/>
    <mergeCell ref="F26:I26"/>
    <mergeCell ref="F27:I27"/>
    <mergeCell ref="A29:I29"/>
    <mergeCell ref="D31:I31"/>
    <mergeCell ref="D32:I34"/>
    <mergeCell ref="C35:I35"/>
    <mergeCell ref="A15:A17"/>
    <mergeCell ref="A3:I3"/>
    <mergeCell ref="A5:B5"/>
    <mergeCell ref="D5:I5"/>
    <mergeCell ref="A6:B6"/>
    <mergeCell ref="D6:I6"/>
    <mergeCell ref="A7:B7"/>
    <mergeCell ref="D7:I7"/>
    <mergeCell ref="A8:B8"/>
    <mergeCell ref="D8:I8"/>
    <mergeCell ref="A9:B9"/>
    <mergeCell ref="D9:I9"/>
    <mergeCell ref="A11:I11"/>
  </mergeCells>
  <pageMargins left="0.70866141732283472" right="0.70866141732283472" top="0.78740157480314965" bottom="0.78740157480314965" header="0.31496062992125984" footer="0.31496062992125984"/>
  <pageSetup paperSize="9" firstPageNumber="206" fitToHeight="3" orientation="landscape" useFirstPageNumber="1" r:id="rId1"/>
  <headerFoot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H10" sqref="H10"/>
    </sheetView>
  </sheetViews>
  <sheetFormatPr defaultColWidth="6.3984375" defaultRowHeight="7.8" x14ac:dyDescent="0.15"/>
  <cols>
    <col min="1" max="1" width="5.3984375" style="634" customWidth="1"/>
    <col min="2" max="2" width="6.3984375" style="633" customWidth="1"/>
    <col min="3" max="3" width="36.796875" style="633" customWidth="1"/>
    <col min="4" max="4" width="9.3984375" style="633" customWidth="1"/>
    <col min="5" max="7" width="11" style="633" customWidth="1"/>
    <col min="8" max="8" width="8.796875" style="633" customWidth="1"/>
    <col min="9" max="11" width="11" style="633" customWidth="1"/>
    <col min="12" max="12" width="14" style="633" customWidth="1"/>
    <col min="13" max="13" width="8.796875" style="633" customWidth="1"/>
    <col min="14" max="17" width="11" style="633" customWidth="1"/>
    <col min="18" max="18" width="8.796875" style="633" customWidth="1"/>
    <col min="19" max="22" width="11" style="633" customWidth="1"/>
    <col min="23" max="23" width="8.796875" style="633" customWidth="1"/>
    <col min="24" max="24" width="11" style="633" customWidth="1"/>
    <col min="25" max="26" width="6.3984375" style="633"/>
    <col min="27" max="27" width="10.3984375" style="633" bestFit="1" customWidth="1"/>
    <col min="28" max="16384" width="6.3984375" style="633"/>
  </cols>
  <sheetData>
    <row r="1" spans="1:24" s="635" customFormat="1" ht="15.6" x14ac:dyDescent="0.3">
      <c r="A1" s="1216" t="s">
        <v>655</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636"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637"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638" customFormat="1" x14ac:dyDescent="0.15">
      <c r="A5" s="1218"/>
      <c r="B5" s="1221"/>
      <c r="C5" s="1221"/>
      <c r="D5" s="1223"/>
      <c r="E5" s="1228"/>
      <c r="F5" s="642" t="s">
        <v>35</v>
      </c>
      <c r="G5" s="642" t="s">
        <v>36</v>
      </c>
      <c r="H5" s="642" t="s">
        <v>37</v>
      </c>
      <c r="I5" s="1230"/>
      <c r="J5" s="1228"/>
      <c r="K5" s="642" t="s">
        <v>35</v>
      </c>
      <c r="L5" s="642" t="s">
        <v>36</v>
      </c>
      <c r="M5" s="642" t="s">
        <v>37</v>
      </c>
      <c r="N5" s="1230"/>
      <c r="O5" s="1228"/>
      <c r="P5" s="642" t="s">
        <v>35</v>
      </c>
      <c r="Q5" s="642" t="s">
        <v>36</v>
      </c>
      <c r="R5" s="642" t="s">
        <v>37</v>
      </c>
      <c r="S5" s="1230"/>
      <c r="T5" s="1228"/>
      <c r="U5" s="642" t="s">
        <v>35</v>
      </c>
      <c r="V5" s="642" t="s">
        <v>36</v>
      </c>
      <c r="W5" s="642" t="s">
        <v>37</v>
      </c>
      <c r="X5" s="1230"/>
    </row>
    <row r="6" spans="1:24" s="636" customFormat="1" x14ac:dyDescent="0.15">
      <c r="A6" s="704" t="s">
        <v>0</v>
      </c>
      <c r="B6" s="1236" t="s">
        <v>1</v>
      </c>
      <c r="C6" s="1236"/>
      <c r="D6" s="705" t="s">
        <v>25</v>
      </c>
      <c r="E6" s="666">
        <f>SUM(E7:E9)</f>
        <v>8882000</v>
      </c>
      <c r="F6" s="646">
        <f>SUM(F7:F9)</f>
        <v>11991437</v>
      </c>
      <c r="G6" s="646">
        <f>SUM(G7:G9)</f>
        <v>12086462.32</v>
      </c>
      <c r="H6" s="643">
        <f t="shared" ref="H6:H29" si="0">G6/F6*100</f>
        <v>100.79244314088463</v>
      </c>
      <c r="I6" s="667">
        <f>SUM(I7:I9)</f>
        <v>10224143</v>
      </c>
      <c r="J6" s="666">
        <f>SUM(J7:J9)</f>
        <v>8882000</v>
      </c>
      <c r="K6" s="646">
        <f t="shared" ref="K6:X6" si="1">SUM(K7:K9)</f>
        <v>11991437</v>
      </c>
      <c r="L6" s="646">
        <f t="shared" si="1"/>
        <v>11991437.32</v>
      </c>
      <c r="M6" s="643">
        <f t="shared" ref="M6:M30" si="2">L6/K6*100</f>
        <v>100.00000266857091</v>
      </c>
      <c r="N6" s="667">
        <f t="shared" si="1"/>
        <v>10224143</v>
      </c>
      <c r="O6" s="666">
        <f t="shared" si="1"/>
        <v>0</v>
      </c>
      <c r="P6" s="646">
        <f t="shared" si="1"/>
        <v>0</v>
      </c>
      <c r="Q6" s="646">
        <f t="shared" si="1"/>
        <v>95025</v>
      </c>
      <c r="R6" s="643">
        <v>0</v>
      </c>
      <c r="S6" s="667">
        <f t="shared" si="1"/>
        <v>0</v>
      </c>
      <c r="T6" s="666">
        <f t="shared" si="1"/>
        <v>379900</v>
      </c>
      <c r="U6" s="646">
        <f t="shared" si="1"/>
        <v>615049</v>
      </c>
      <c r="V6" s="646">
        <f t="shared" si="1"/>
        <v>617319.35</v>
      </c>
      <c r="W6" s="643">
        <f t="shared" ref="W6:W29" si="3">V6/U6*100</f>
        <v>100.36913319101404</v>
      </c>
      <c r="X6" s="667">
        <f t="shared" si="1"/>
        <v>479690</v>
      </c>
    </row>
    <row r="7" spans="1:24" s="636" customFormat="1" x14ac:dyDescent="0.15">
      <c r="A7" s="706" t="s">
        <v>2</v>
      </c>
      <c r="B7" s="1233" t="s">
        <v>46</v>
      </c>
      <c r="C7" s="1233"/>
      <c r="D7" s="705" t="s">
        <v>25</v>
      </c>
      <c r="E7" s="668">
        <f t="shared" ref="E7:G10" si="4">SUM(J7,O7)</f>
        <v>5600000</v>
      </c>
      <c r="F7" s="650">
        <f t="shared" si="4"/>
        <v>8521718</v>
      </c>
      <c r="G7" s="650">
        <f t="shared" si="4"/>
        <v>8521718.3200000003</v>
      </c>
      <c r="H7" s="651">
        <f t="shared" si="0"/>
        <v>100.00000375511135</v>
      </c>
      <c r="I7" s="669">
        <f>SUM(N7,S7)</f>
        <v>6725915</v>
      </c>
      <c r="J7" s="678">
        <v>5600000</v>
      </c>
      <c r="K7" s="652">
        <v>8521718</v>
      </c>
      <c r="L7" s="652">
        <v>8521718.3200000003</v>
      </c>
      <c r="M7" s="651">
        <f t="shared" si="2"/>
        <v>100.00000375511135</v>
      </c>
      <c r="N7" s="717">
        <v>6725915</v>
      </c>
      <c r="O7" s="694"/>
      <c r="P7" s="652"/>
      <c r="Q7" s="652"/>
      <c r="R7" s="651">
        <v>0</v>
      </c>
      <c r="S7" s="679"/>
      <c r="T7" s="694">
        <v>379900</v>
      </c>
      <c r="U7" s="652">
        <v>615049</v>
      </c>
      <c r="V7" s="652">
        <v>617319.35</v>
      </c>
      <c r="W7" s="651">
        <f t="shared" si="3"/>
        <v>100.36913319101404</v>
      </c>
      <c r="X7" s="679">
        <v>479690</v>
      </c>
    </row>
    <row r="8" spans="1:24" s="636" customFormat="1" x14ac:dyDescent="0.15">
      <c r="A8" s="707" t="s">
        <v>3</v>
      </c>
      <c r="B8" s="1237" t="s">
        <v>47</v>
      </c>
      <c r="C8" s="1237"/>
      <c r="D8" s="705" t="s">
        <v>25</v>
      </c>
      <c r="E8" s="668">
        <f t="shared" si="4"/>
        <v>2000</v>
      </c>
      <c r="F8" s="650">
        <f t="shared" si="4"/>
        <v>939</v>
      </c>
      <c r="G8" s="650">
        <f t="shared" si="4"/>
        <v>939</v>
      </c>
      <c r="H8" s="651">
        <f t="shared" si="0"/>
        <v>100</v>
      </c>
      <c r="I8" s="669">
        <f>SUM(N8,S8)</f>
        <v>2028</v>
      </c>
      <c r="J8" s="680">
        <v>2000</v>
      </c>
      <c r="K8" s="650">
        <v>939</v>
      </c>
      <c r="L8" s="650">
        <v>939</v>
      </c>
      <c r="M8" s="651">
        <f t="shared" si="2"/>
        <v>100</v>
      </c>
      <c r="N8" s="718">
        <v>2028</v>
      </c>
      <c r="O8" s="668"/>
      <c r="P8" s="650"/>
      <c r="Q8" s="650"/>
      <c r="R8" s="651">
        <v>0</v>
      </c>
      <c r="S8" s="669"/>
      <c r="T8" s="668">
        <v>0</v>
      </c>
      <c r="U8" s="650">
        <v>0</v>
      </c>
      <c r="V8" s="650"/>
      <c r="W8" s="651">
        <v>0</v>
      </c>
      <c r="X8" s="669"/>
    </row>
    <row r="9" spans="1:24" s="636" customFormat="1" ht="8.4" x14ac:dyDescent="0.2">
      <c r="A9" s="707" t="s">
        <v>4</v>
      </c>
      <c r="B9" s="653" t="s">
        <v>62</v>
      </c>
      <c r="C9" s="654"/>
      <c r="D9" s="705" t="s">
        <v>25</v>
      </c>
      <c r="E9" s="668">
        <f t="shared" si="4"/>
        <v>3280000</v>
      </c>
      <c r="F9" s="650">
        <f t="shared" si="4"/>
        <v>3468780</v>
      </c>
      <c r="G9" s="650">
        <f t="shared" si="4"/>
        <v>3563805</v>
      </c>
      <c r="H9" s="651">
        <f t="shared" si="0"/>
        <v>102.73943576704201</v>
      </c>
      <c r="I9" s="669">
        <f>SUM(N9,S9)</f>
        <v>3496200</v>
      </c>
      <c r="J9" s="680">
        <v>3280000</v>
      </c>
      <c r="K9" s="650">
        <v>3468780</v>
      </c>
      <c r="L9" s="650">
        <v>3468780</v>
      </c>
      <c r="M9" s="651">
        <f t="shared" si="2"/>
        <v>100</v>
      </c>
      <c r="N9" s="718">
        <v>3496200</v>
      </c>
      <c r="O9" s="668"/>
      <c r="P9" s="650"/>
      <c r="Q9" s="650">
        <v>95025</v>
      </c>
      <c r="R9" s="651">
        <v>0</v>
      </c>
      <c r="S9" s="669"/>
      <c r="T9" s="668">
        <v>0</v>
      </c>
      <c r="U9" s="650">
        <v>0</v>
      </c>
      <c r="V9" s="650"/>
      <c r="W9" s="651">
        <v>0</v>
      </c>
      <c r="X9" s="669"/>
    </row>
    <row r="10" spans="1:24" s="636" customFormat="1" x14ac:dyDescent="0.15">
      <c r="A10" s="704" t="s">
        <v>5</v>
      </c>
      <c r="B10" s="1236" t="s">
        <v>7</v>
      </c>
      <c r="C10" s="1236"/>
      <c r="D10" s="705" t="s">
        <v>25</v>
      </c>
      <c r="E10" s="670">
        <f t="shared" si="4"/>
        <v>0</v>
      </c>
      <c r="F10" s="647">
        <f t="shared" si="4"/>
        <v>0</v>
      </c>
      <c r="G10" s="647">
        <f t="shared" si="4"/>
        <v>0</v>
      </c>
      <c r="H10" s="643">
        <v>0</v>
      </c>
      <c r="I10" s="671">
        <f>SUM(N10,S10)</f>
        <v>0</v>
      </c>
      <c r="J10" s="681"/>
      <c r="K10" s="647"/>
      <c r="L10" s="647"/>
      <c r="M10" s="643">
        <v>0</v>
      </c>
      <c r="N10" s="671"/>
      <c r="O10" s="670"/>
      <c r="P10" s="647"/>
      <c r="Q10" s="647"/>
      <c r="R10" s="643">
        <v>0</v>
      </c>
      <c r="S10" s="671"/>
      <c r="T10" s="670"/>
      <c r="U10" s="647"/>
      <c r="V10" s="647"/>
      <c r="W10" s="643">
        <v>0</v>
      </c>
      <c r="X10" s="671"/>
    </row>
    <row r="11" spans="1:24" s="636" customFormat="1" x14ac:dyDescent="0.15">
      <c r="A11" s="704" t="s">
        <v>6</v>
      </c>
      <c r="B11" s="1236" t="s">
        <v>9</v>
      </c>
      <c r="C11" s="1236"/>
      <c r="D11" s="705" t="s">
        <v>25</v>
      </c>
      <c r="E11" s="666">
        <f>SUM(E12:E31)</f>
        <v>8882000</v>
      </c>
      <c r="F11" s="646">
        <f>SUM(F12:F31)</f>
        <v>11991437</v>
      </c>
      <c r="G11" s="646">
        <f>SUM(G12:G31)</f>
        <v>12093696.640000001</v>
      </c>
      <c r="H11" s="643">
        <f t="shared" si="0"/>
        <v>100.85277219068909</v>
      </c>
      <c r="I11" s="667">
        <f>SUM(I12:I31)</f>
        <v>10119396.779999999</v>
      </c>
      <c r="J11" s="666">
        <f>SUM(J12:J31)</f>
        <v>8882000</v>
      </c>
      <c r="K11" s="646">
        <f>SUM(K12:K31)</f>
        <v>11991437</v>
      </c>
      <c r="L11" s="646">
        <f>SUM(L12:L31)</f>
        <v>11998671.640000001</v>
      </c>
      <c r="M11" s="643">
        <f t="shared" si="2"/>
        <v>100.06033171837538</v>
      </c>
      <c r="N11" s="667">
        <f>SUM(N12:N31)</f>
        <v>10119396.779999999</v>
      </c>
      <c r="O11" s="666">
        <f>SUM(O12:O31)</f>
        <v>0</v>
      </c>
      <c r="P11" s="646">
        <f>SUM(P12:P31)</f>
        <v>0</v>
      </c>
      <c r="Q11" s="646">
        <f>SUM(Q12:Q31)</f>
        <v>95025</v>
      </c>
      <c r="R11" s="643">
        <v>0</v>
      </c>
      <c r="S11" s="667">
        <f>SUM(S12:S31)</f>
        <v>0</v>
      </c>
      <c r="T11" s="666">
        <f>SUM(T12:T31)</f>
        <v>330600</v>
      </c>
      <c r="U11" s="646">
        <f>SUM(U12:U31)</f>
        <v>565749</v>
      </c>
      <c r="V11" s="646">
        <f>SUM(V12:V31)</f>
        <v>562080.69999999995</v>
      </c>
      <c r="W11" s="643">
        <f t="shared" si="3"/>
        <v>99.351602919315809</v>
      </c>
      <c r="X11" s="667">
        <f>SUM(X12:X31)</f>
        <v>468689.8</v>
      </c>
    </row>
    <row r="12" spans="1:24" s="636" customFormat="1" x14ac:dyDescent="0.15">
      <c r="A12" s="708" t="s">
        <v>8</v>
      </c>
      <c r="B12" s="1238" t="s">
        <v>28</v>
      </c>
      <c r="C12" s="1238"/>
      <c r="D12" s="705" t="s">
        <v>25</v>
      </c>
      <c r="E12" s="668">
        <f>SUM(J12,O12)</f>
        <v>238000</v>
      </c>
      <c r="F12" s="650">
        <f t="shared" ref="E12:I27" si="5">SUM(K12,P12)</f>
        <v>529579</v>
      </c>
      <c r="G12" s="650">
        <f t="shared" si="5"/>
        <v>529579.41</v>
      </c>
      <c r="H12" s="651">
        <f t="shared" si="0"/>
        <v>100.00007741998833</v>
      </c>
      <c r="I12" s="669">
        <f t="shared" si="5"/>
        <v>324688.7</v>
      </c>
      <c r="J12" s="682">
        <v>238000</v>
      </c>
      <c r="K12" s="655">
        <v>529579</v>
      </c>
      <c r="L12" s="655">
        <v>529579.41</v>
      </c>
      <c r="M12" s="651">
        <f t="shared" si="2"/>
        <v>100.00007741998833</v>
      </c>
      <c r="N12" s="717">
        <v>324688.7</v>
      </c>
      <c r="O12" s="695"/>
      <c r="P12" s="655"/>
      <c r="Q12" s="655"/>
      <c r="R12" s="651">
        <v>0</v>
      </c>
      <c r="S12" s="696"/>
      <c r="T12" s="695">
        <v>75300</v>
      </c>
      <c r="U12" s="655">
        <v>162300</v>
      </c>
      <c r="V12" s="655">
        <v>161199.70000000001</v>
      </c>
      <c r="W12" s="651">
        <f t="shared" si="3"/>
        <v>99.322057917436851</v>
      </c>
      <c r="X12" s="719">
        <v>93644</v>
      </c>
    </row>
    <row r="13" spans="1:24" s="636" customFormat="1" x14ac:dyDescent="0.15">
      <c r="A13" s="706" t="s">
        <v>10</v>
      </c>
      <c r="B13" s="1233" t="s">
        <v>29</v>
      </c>
      <c r="C13" s="1233"/>
      <c r="D13" s="705" t="s">
        <v>25</v>
      </c>
      <c r="E13" s="668">
        <f t="shared" si="5"/>
        <v>710000</v>
      </c>
      <c r="F13" s="650">
        <f t="shared" si="5"/>
        <v>640000</v>
      </c>
      <c r="G13" s="650">
        <f t="shared" si="5"/>
        <v>634979.81000000006</v>
      </c>
      <c r="H13" s="651">
        <f t="shared" si="0"/>
        <v>99.2155953125</v>
      </c>
      <c r="I13" s="669">
        <f t="shared" si="5"/>
        <v>551255.5</v>
      </c>
      <c r="J13" s="682">
        <v>710000</v>
      </c>
      <c r="K13" s="650">
        <v>640000</v>
      </c>
      <c r="L13" s="650">
        <v>634979.81000000006</v>
      </c>
      <c r="M13" s="651">
        <f t="shared" si="2"/>
        <v>99.2155953125</v>
      </c>
      <c r="N13" s="718">
        <v>551255.5</v>
      </c>
      <c r="O13" s="668"/>
      <c r="P13" s="650"/>
      <c r="Q13" s="650"/>
      <c r="R13" s="651">
        <v>0</v>
      </c>
      <c r="S13" s="669"/>
      <c r="T13" s="668">
        <v>49800</v>
      </c>
      <c r="U13" s="650">
        <v>45000</v>
      </c>
      <c r="V13" s="650">
        <v>44433</v>
      </c>
      <c r="W13" s="651">
        <f t="shared" si="3"/>
        <v>98.740000000000009</v>
      </c>
      <c r="X13" s="720">
        <v>39879</v>
      </c>
    </row>
    <row r="14" spans="1:24" s="636" customFormat="1" x14ac:dyDescent="0.15">
      <c r="A14" s="706" t="s">
        <v>11</v>
      </c>
      <c r="B14" s="657" t="s">
        <v>63</v>
      </c>
      <c r="C14" s="657"/>
      <c r="D14" s="705" t="s">
        <v>25</v>
      </c>
      <c r="E14" s="668">
        <f t="shared" si="5"/>
        <v>0</v>
      </c>
      <c r="F14" s="650">
        <f t="shared" si="5"/>
        <v>0</v>
      </c>
      <c r="G14" s="650">
        <f t="shared" si="5"/>
        <v>0</v>
      </c>
      <c r="H14" s="651">
        <v>0</v>
      </c>
      <c r="I14" s="669">
        <f t="shared" si="5"/>
        <v>0</v>
      </c>
      <c r="J14" s="682">
        <v>0</v>
      </c>
      <c r="K14" s="650">
        <v>0</v>
      </c>
      <c r="L14" s="650">
        <v>0</v>
      </c>
      <c r="M14" s="651">
        <v>0</v>
      </c>
      <c r="N14" s="718"/>
      <c r="O14" s="668"/>
      <c r="P14" s="650"/>
      <c r="Q14" s="650"/>
      <c r="R14" s="651">
        <v>0</v>
      </c>
      <c r="S14" s="669"/>
      <c r="T14" s="668">
        <v>0</v>
      </c>
      <c r="U14" s="650">
        <v>0</v>
      </c>
      <c r="V14" s="650">
        <v>0</v>
      </c>
      <c r="W14" s="651">
        <v>0</v>
      </c>
      <c r="X14" s="720">
        <v>0</v>
      </c>
    </row>
    <row r="15" spans="1:24" s="636" customFormat="1" x14ac:dyDescent="0.15">
      <c r="A15" s="706" t="s">
        <v>12</v>
      </c>
      <c r="B15" s="1233" t="s">
        <v>64</v>
      </c>
      <c r="C15" s="1233"/>
      <c r="D15" s="705" t="s">
        <v>25</v>
      </c>
      <c r="E15" s="668">
        <f t="shared" si="5"/>
        <v>180000</v>
      </c>
      <c r="F15" s="650">
        <f t="shared" si="5"/>
        <v>370069</v>
      </c>
      <c r="G15" s="650">
        <f t="shared" si="5"/>
        <v>383992.3</v>
      </c>
      <c r="H15" s="651">
        <f t="shared" si="0"/>
        <v>103.76235242616917</v>
      </c>
      <c r="I15" s="669">
        <f t="shared" si="5"/>
        <v>240048</v>
      </c>
      <c r="J15" s="682">
        <v>180000</v>
      </c>
      <c r="K15" s="650">
        <v>370069</v>
      </c>
      <c r="L15" s="650">
        <v>383992.3</v>
      </c>
      <c r="M15" s="651">
        <f t="shared" si="2"/>
        <v>103.76235242616917</v>
      </c>
      <c r="N15" s="718">
        <v>240048</v>
      </c>
      <c r="O15" s="668"/>
      <c r="P15" s="650"/>
      <c r="Q15" s="650"/>
      <c r="R15" s="651">
        <v>0</v>
      </c>
      <c r="S15" s="669"/>
      <c r="T15" s="668">
        <v>2500</v>
      </c>
      <c r="U15" s="650">
        <v>35500</v>
      </c>
      <c r="V15" s="650">
        <v>35430</v>
      </c>
      <c r="W15" s="651">
        <f t="shared" si="3"/>
        <v>99.802816901408448</v>
      </c>
      <c r="X15" s="720">
        <v>10991</v>
      </c>
    </row>
    <row r="16" spans="1:24" s="636" customFormat="1" x14ac:dyDescent="0.15">
      <c r="A16" s="706" t="s">
        <v>13</v>
      </c>
      <c r="B16" s="1233" t="s">
        <v>30</v>
      </c>
      <c r="C16" s="1233"/>
      <c r="D16" s="705" t="s">
        <v>25</v>
      </c>
      <c r="E16" s="668">
        <f t="shared" si="5"/>
        <v>20000</v>
      </c>
      <c r="F16" s="650">
        <f t="shared" si="5"/>
        <v>65197</v>
      </c>
      <c r="G16" s="650">
        <f t="shared" si="5"/>
        <v>65197.04</v>
      </c>
      <c r="H16" s="651">
        <f t="shared" si="0"/>
        <v>100.00006135251623</v>
      </c>
      <c r="I16" s="669">
        <f t="shared" si="5"/>
        <v>13654</v>
      </c>
      <c r="J16" s="682">
        <v>20000</v>
      </c>
      <c r="K16" s="650">
        <v>65197</v>
      </c>
      <c r="L16" s="650">
        <v>65197.04</v>
      </c>
      <c r="M16" s="651">
        <f t="shared" si="2"/>
        <v>100.00006135251623</v>
      </c>
      <c r="N16" s="718">
        <v>13654</v>
      </c>
      <c r="O16" s="668"/>
      <c r="P16" s="650"/>
      <c r="Q16" s="650"/>
      <c r="R16" s="651">
        <v>0</v>
      </c>
      <c r="S16" s="669"/>
      <c r="T16" s="668">
        <v>500</v>
      </c>
      <c r="U16" s="650">
        <v>500</v>
      </c>
      <c r="V16" s="650">
        <v>0</v>
      </c>
      <c r="W16" s="651">
        <f t="shared" si="3"/>
        <v>0</v>
      </c>
      <c r="X16" s="720">
        <v>0</v>
      </c>
    </row>
    <row r="17" spans="1:24" s="636" customFormat="1" x14ac:dyDescent="0.15">
      <c r="A17" s="706" t="s">
        <v>14</v>
      </c>
      <c r="B17" s="657" t="s">
        <v>48</v>
      </c>
      <c r="C17" s="657"/>
      <c r="D17" s="705" t="s">
        <v>25</v>
      </c>
      <c r="E17" s="668">
        <f t="shared" si="5"/>
        <v>20000</v>
      </c>
      <c r="F17" s="650">
        <f t="shared" si="5"/>
        <v>26591</v>
      </c>
      <c r="G17" s="650">
        <f t="shared" si="5"/>
        <v>26591</v>
      </c>
      <c r="H17" s="651">
        <f t="shared" si="0"/>
        <v>100</v>
      </c>
      <c r="I17" s="669">
        <f t="shared" si="5"/>
        <v>10936</v>
      </c>
      <c r="J17" s="682">
        <v>20000</v>
      </c>
      <c r="K17" s="650">
        <v>26591</v>
      </c>
      <c r="L17" s="650">
        <v>26591</v>
      </c>
      <c r="M17" s="651">
        <f t="shared" si="2"/>
        <v>100</v>
      </c>
      <c r="N17" s="718">
        <v>10936</v>
      </c>
      <c r="O17" s="668"/>
      <c r="P17" s="650"/>
      <c r="Q17" s="650"/>
      <c r="R17" s="651">
        <v>0</v>
      </c>
      <c r="S17" s="669"/>
      <c r="T17" s="668">
        <v>0</v>
      </c>
      <c r="U17" s="650">
        <v>0</v>
      </c>
      <c r="V17" s="650">
        <v>0</v>
      </c>
      <c r="W17" s="651">
        <v>0</v>
      </c>
      <c r="X17" s="720">
        <v>0</v>
      </c>
    </row>
    <row r="18" spans="1:24" s="636" customFormat="1" x14ac:dyDescent="0.15">
      <c r="A18" s="706" t="s">
        <v>15</v>
      </c>
      <c r="B18" s="1233" t="s">
        <v>31</v>
      </c>
      <c r="C18" s="1233"/>
      <c r="D18" s="705" t="s">
        <v>25</v>
      </c>
      <c r="E18" s="668">
        <f t="shared" si="5"/>
        <v>3995311</v>
      </c>
      <c r="F18" s="650">
        <f t="shared" si="5"/>
        <v>5832162</v>
      </c>
      <c r="G18" s="650">
        <f t="shared" si="5"/>
        <v>5927187</v>
      </c>
      <c r="H18" s="651">
        <f t="shared" si="0"/>
        <v>101.62932716889553</v>
      </c>
      <c r="I18" s="669">
        <f t="shared" si="5"/>
        <v>4707201.05</v>
      </c>
      <c r="J18" s="682">
        <v>3995311</v>
      </c>
      <c r="K18" s="650">
        <v>5832162</v>
      </c>
      <c r="L18" s="650">
        <v>5832162</v>
      </c>
      <c r="M18" s="651">
        <f t="shared" si="2"/>
        <v>100</v>
      </c>
      <c r="N18" s="718">
        <v>4707201.05</v>
      </c>
      <c r="O18" s="668">
        <v>0</v>
      </c>
      <c r="P18" s="650">
        <v>0</v>
      </c>
      <c r="Q18" s="650">
        <v>95025</v>
      </c>
      <c r="R18" s="651">
        <v>0</v>
      </c>
      <c r="S18" s="669">
        <v>0</v>
      </c>
      <c r="T18" s="668">
        <v>31800</v>
      </c>
      <c r="U18" s="650">
        <v>47800</v>
      </c>
      <c r="V18" s="650">
        <v>47497</v>
      </c>
      <c r="W18" s="651">
        <f t="shared" si="3"/>
        <v>99.36610878661088</v>
      </c>
      <c r="X18" s="720">
        <v>112957</v>
      </c>
    </row>
    <row r="19" spans="1:24" s="639" customFormat="1" x14ac:dyDescent="0.15">
      <c r="A19" s="706" t="s">
        <v>16</v>
      </c>
      <c r="B19" s="1233" t="s">
        <v>32</v>
      </c>
      <c r="C19" s="1233"/>
      <c r="D19" s="705" t="s">
        <v>25</v>
      </c>
      <c r="E19" s="668">
        <f t="shared" si="5"/>
        <v>2443624</v>
      </c>
      <c r="F19" s="650">
        <f t="shared" si="5"/>
        <v>3173195</v>
      </c>
      <c r="G19" s="650">
        <f t="shared" si="5"/>
        <v>3173195</v>
      </c>
      <c r="H19" s="651">
        <f t="shared" si="0"/>
        <v>100</v>
      </c>
      <c r="I19" s="669">
        <f t="shared" si="5"/>
        <v>2383815</v>
      </c>
      <c r="J19" s="684">
        <v>2443624</v>
      </c>
      <c r="K19" s="650">
        <v>3173195</v>
      </c>
      <c r="L19" s="650">
        <v>3173195</v>
      </c>
      <c r="M19" s="651">
        <f t="shared" si="2"/>
        <v>100</v>
      </c>
      <c r="N19" s="718">
        <v>2383815</v>
      </c>
      <c r="O19" s="668"/>
      <c r="P19" s="650"/>
      <c r="Q19" s="650"/>
      <c r="R19" s="651">
        <v>0</v>
      </c>
      <c r="S19" s="669"/>
      <c r="T19" s="700">
        <v>135000</v>
      </c>
      <c r="U19" s="658">
        <v>191564</v>
      </c>
      <c r="V19" s="658">
        <v>191564</v>
      </c>
      <c r="W19" s="651">
        <f t="shared" si="3"/>
        <v>100</v>
      </c>
      <c r="X19" s="719">
        <v>159387</v>
      </c>
    </row>
    <row r="20" spans="1:24" s="636" customFormat="1" x14ac:dyDescent="0.15">
      <c r="A20" s="706" t="s">
        <v>17</v>
      </c>
      <c r="B20" s="1233" t="s">
        <v>49</v>
      </c>
      <c r="C20" s="1233"/>
      <c r="D20" s="705" t="s">
        <v>25</v>
      </c>
      <c r="E20" s="668">
        <f t="shared" si="5"/>
        <v>757000</v>
      </c>
      <c r="F20" s="650">
        <f t="shared" si="5"/>
        <v>1022134</v>
      </c>
      <c r="G20" s="650">
        <f t="shared" si="5"/>
        <v>1022134</v>
      </c>
      <c r="H20" s="651">
        <f t="shared" si="0"/>
        <v>100</v>
      </c>
      <c r="I20" s="669">
        <f t="shared" si="5"/>
        <v>755524</v>
      </c>
      <c r="J20" s="682">
        <v>757000</v>
      </c>
      <c r="K20" s="650">
        <v>1022134</v>
      </c>
      <c r="L20" s="650">
        <v>1022134</v>
      </c>
      <c r="M20" s="651">
        <f t="shared" si="2"/>
        <v>100</v>
      </c>
      <c r="N20" s="718">
        <v>755524</v>
      </c>
      <c r="O20" s="668"/>
      <c r="P20" s="650"/>
      <c r="Q20" s="650"/>
      <c r="R20" s="651">
        <v>0</v>
      </c>
      <c r="S20" s="669"/>
      <c r="T20" s="668">
        <v>25300</v>
      </c>
      <c r="U20" s="650">
        <v>34763</v>
      </c>
      <c r="V20" s="650">
        <v>34763</v>
      </c>
      <c r="W20" s="651">
        <f t="shared" si="3"/>
        <v>100</v>
      </c>
      <c r="X20" s="720">
        <v>29445</v>
      </c>
    </row>
    <row r="21" spans="1:24" s="636" customFormat="1" x14ac:dyDescent="0.15">
      <c r="A21" s="706" t="s">
        <v>18</v>
      </c>
      <c r="B21" s="1233" t="s">
        <v>50</v>
      </c>
      <c r="C21" s="1233"/>
      <c r="D21" s="705" t="s">
        <v>25</v>
      </c>
      <c r="E21" s="668">
        <f t="shared" si="5"/>
        <v>67000</v>
      </c>
      <c r="F21" s="650">
        <f t="shared" si="5"/>
        <v>71085</v>
      </c>
      <c r="G21" s="650">
        <f t="shared" si="5"/>
        <v>71085</v>
      </c>
      <c r="H21" s="651">
        <f t="shared" si="0"/>
        <v>100</v>
      </c>
      <c r="I21" s="669">
        <f t="shared" si="5"/>
        <v>58615</v>
      </c>
      <c r="J21" s="682">
        <v>67000</v>
      </c>
      <c r="K21" s="650">
        <v>71085</v>
      </c>
      <c r="L21" s="650">
        <v>71085</v>
      </c>
      <c r="M21" s="651">
        <f t="shared" si="2"/>
        <v>100</v>
      </c>
      <c r="N21" s="718">
        <v>58615</v>
      </c>
      <c r="O21" s="668"/>
      <c r="P21" s="650"/>
      <c r="Q21" s="650"/>
      <c r="R21" s="651">
        <v>0</v>
      </c>
      <c r="S21" s="669"/>
      <c r="T21" s="668">
        <v>0</v>
      </c>
      <c r="U21" s="650">
        <v>771</v>
      </c>
      <c r="V21" s="650">
        <v>771</v>
      </c>
      <c r="W21" s="651">
        <f t="shared" si="3"/>
        <v>100</v>
      </c>
      <c r="X21" s="720">
        <v>1907</v>
      </c>
    </row>
    <row r="22" spans="1:24" s="636" customFormat="1" x14ac:dyDescent="0.15">
      <c r="A22" s="706" t="s">
        <v>19</v>
      </c>
      <c r="B22" s="1233" t="s">
        <v>65</v>
      </c>
      <c r="C22" s="1233"/>
      <c r="D22" s="705" t="s">
        <v>25</v>
      </c>
      <c r="E22" s="668">
        <f t="shared" si="5"/>
        <v>0</v>
      </c>
      <c r="F22" s="650">
        <f t="shared" si="5"/>
        <v>7575.2</v>
      </c>
      <c r="G22" s="650">
        <f t="shared" si="5"/>
        <v>7500</v>
      </c>
      <c r="H22" s="651">
        <f t="shared" si="0"/>
        <v>99.007286936318522</v>
      </c>
      <c r="I22" s="669">
        <f t="shared" si="5"/>
        <v>0</v>
      </c>
      <c r="J22" s="682">
        <v>0</v>
      </c>
      <c r="K22" s="650">
        <v>7575.2</v>
      </c>
      <c r="L22" s="650">
        <v>7500</v>
      </c>
      <c r="M22" s="651">
        <f t="shared" si="2"/>
        <v>99.007286936318522</v>
      </c>
      <c r="N22" s="718">
        <v>0</v>
      </c>
      <c r="O22" s="668"/>
      <c r="P22" s="650"/>
      <c r="Q22" s="650"/>
      <c r="R22" s="651">
        <v>0</v>
      </c>
      <c r="S22" s="669"/>
      <c r="T22" s="668">
        <v>0</v>
      </c>
      <c r="U22" s="650">
        <v>0</v>
      </c>
      <c r="V22" s="650">
        <v>0</v>
      </c>
      <c r="W22" s="651">
        <v>0</v>
      </c>
      <c r="X22" s="720">
        <v>0</v>
      </c>
    </row>
    <row r="23" spans="1:24" s="636" customFormat="1" x14ac:dyDescent="0.15">
      <c r="A23" s="706" t="s">
        <v>20</v>
      </c>
      <c r="B23" s="657" t="s">
        <v>66</v>
      </c>
      <c r="C23" s="657"/>
      <c r="D23" s="705" t="s">
        <v>25</v>
      </c>
      <c r="E23" s="668">
        <f t="shared" si="5"/>
        <v>0</v>
      </c>
      <c r="F23" s="650">
        <f t="shared" si="5"/>
        <v>82429</v>
      </c>
      <c r="G23" s="650">
        <f t="shared" si="5"/>
        <v>81490.28</v>
      </c>
      <c r="H23" s="651">
        <f t="shared" si="0"/>
        <v>98.86117749821058</v>
      </c>
      <c r="I23" s="669">
        <f t="shared" si="5"/>
        <v>0</v>
      </c>
      <c r="J23" s="682">
        <v>0</v>
      </c>
      <c r="K23" s="650">
        <v>82429</v>
      </c>
      <c r="L23" s="650">
        <v>81490.28</v>
      </c>
      <c r="M23" s="651">
        <f t="shared" si="2"/>
        <v>98.86117749821058</v>
      </c>
      <c r="N23" s="718">
        <v>0</v>
      </c>
      <c r="O23" s="668"/>
      <c r="P23" s="650"/>
      <c r="Q23" s="650"/>
      <c r="R23" s="651">
        <v>0</v>
      </c>
      <c r="S23" s="669"/>
      <c r="T23" s="668">
        <v>0</v>
      </c>
      <c r="U23" s="650">
        <v>0</v>
      </c>
      <c r="V23" s="650">
        <v>0</v>
      </c>
      <c r="W23" s="651">
        <v>0</v>
      </c>
      <c r="X23" s="720">
        <v>0</v>
      </c>
    </row>
    <row r="24" spans="1:24" s="636" customFormat="1" x14ac:dyDescent="0.15">
      <c r="A24" s="706" t="s">
        <v>21</v>
      </c>
      <c r="B24" s="657" t="s">
        <v>73</v>
      </c>
      <c r="C24" s="657"/>
      <c r="D24" s="705" t="s">
        <v>25</v>
      </c>
      <c r="E24" s="668">
        <f t="shared" si="5"/>
        <v>0</v>
      </c>
      <c r="F24" s="650">
        <f t="shared" si="5"/>
        <v>0</v>
      </c>
      <c r="G24" s="650">
        <f t="shared" si="5"/>
        <v>0</v>
      </c>
      <c r="H24" s="651">
        <v>0</v>
      </c>
      <c r="I24" s="669">
        <f t="shared" si="5"/>
        <v>0</v>
      </c>
      <c r="J24" s="682">
        <v>0</v>
      </c>
      <c r="K24" s="650">
        <v>0</v>
      </c>
      <c r="L24" s="650">
        <v>0</v>
      </c>
      <c r="M24" s="651">
        <v>0</v>
      </c>
      <c r="N24" s="718">
        <v>0</v>
      </c>
      <c r="O24" s="668"/>
      <c r="P24" s="650"/>
      <c r="Q24" s="650"/>
      <c r="R24" s="651">
        <v>0</v>
      </c>
      <c r="S24" s="669"/>
      <c r="T24" s="668">
        <v>0</v>
      </c>
      <c r="U24" s="650">
        <v>0</v>
      </c>
      <c r="V24" s="650">
        <v>0</v>
      </c>
      <c r="W24" s="651">
        <v>0</v>
      </c>
      <c r="X24" s="720">
        <v>0</v>
      </c>
    </row>
    <row r="25" spans="1:24" s="636" customFormat="1" x14ac:dyDescent="0.15">
      <c r="A25" s="708" t="s">
        <v>22</v>
      </c>
      <c r="B25" s="659" t="s">
        <v>68</v>
      </c>
      <c r="C25" s="659"/>
      <c r="D25" s="705" t="s">
        <v>25</v>
      </c>
      <c r="E25" s="668">
        <f t="shared" si="5"/>
        <v>0</v>
      </c>
      <c r="F25" s="650">
        <f t="shared" si="5"/>
        <v>0</v>
      </c>
      <c r="G25" s="650">
        <f t="shared" si="5"/>
        <v>0</v>
      </c>
      <c r="H25" s="651">
        <v>0</v>
      </c>
      <c r="I25" s="669">
        <f t="shared" si="5"/>
        <v>0</v>
      </c>
      <c r="J25" s="682">
        <v>0</v>
      </c>
      <c r="K25" s="655">
        <v>0</v>
      </c>
      <c r="L25" s="655">
        <v>0</v>
      </c>
      <c r="M25" s="651">
        <v>0</v>
      </c>
      <c r="N25" s="717">
        <v>0</v>
      </c>
      <c r="O25" s="695"/>
      <c r="P25" s="655"/>
      <c r="Q25" s="655"/>
      <c r="R25" s="651">
        <v>0</v>
      </c>
      <c r="S25" s="696"/>
      <c r="T25" s="695">
        <v>0</v>
      </c>
      <c r="U25" s="655">
        <v>0</v>
      </c>
      <c r="V25" s="656">
        <v>0</v>
      </c>
      <c r="W25" s="651">
        <v>0</v>
      </c>
      <c r="X25" s="719">
        <v>0</v>
      </c>
    </row>
    <row r="26" spans="1:24" s="640" customFormat="1" x14ac:dyDescent="0.15">
      <c r="A26" s="706" t="s">
        <v>23</v>
      </c>
      <c r="B26" s="1233" t="s">
        <v>69</v>
      </c>
      <c r="C26" s="1233"/>
      <c r="D26" s="705" t="s">
        <v>25</v>
      </c>
      <c r="E26" s="668">
        <f t="shared" si="5"/>
        <v>357055</v>
      </c>
      <c r="F26" s="650">
        <f t="shared" si="5"/>
        <v>371637</v>
      </c>
      <c r="G26" s="650">
        <f t="shared" si="5"/>
        <v>370982</v>
      </c>
      <c r="H26" s="651">
        <f t="shared" si="0"/>
        <v>99.823752747977196</v>
      </c>
      <c r="I26" s="669">
        <f t="shared" si="5"/>
        <v>343336</v>
      </c>
      <c r="J26" s="682">
        <v>357055</v>
      </c>
      <c r="K26" s="656">
        <v>371637</v>
      </c>
      <c r="L26" s="656">
        <v>370982</v>
      </c>
      <c r="M26" s="651">
        <f t="shared" si="2"/>
        <v>99.823752747977196</v>
      </c>
      <c r="N26" s="718">
        <v>343336</v>
      </c>
      <c r="O26" s="697"/>
      <c r="P26" s="656"/>
      <c r="Q26" s="656"/>
      <c r="R26" s="651">
        <v>0</v>
      </c>
      <c r="S26" s="683"/>
      <c r="T26" s="699">
        <v>10400</v>
      </c>
      <c r="U26" s="699">
        <v>23051</v>
      </c>
      <c r="V26" s="656">
        <v>23051</v>
      </c>
      <c r="W26" s="651">
        <f t="shared" si="3"/>
        <v>100</v>
      </c>
      <c r="X26" s="719">
        <v>0</v>
      </c>
    </row>
    <row r="27" spans="1:24" s="641" customFormat="1" x14ac:dyDescent="0.15">
      <c r="A27" s="706" t="s">
        <v>45</v>
      </c>
      <c r="B27" s="657" t="s">
        <v>70</v>
      </c>
      <c r="C27" s="657"/>
      <c r="D27" s="705" t="s">
        <v>25</v>
      </c>
      <c r="E27" s="668">
        <f t="shared" si="5"/>
        <v>33010</v>
      </c>
      <c r="F27" s="650">
        <f t="shared" si="5"/>
        <v>-574993</v>
      </c>
      <c r="G27" s="650">
        <f t="shared" si="5"/>
        <v>-574993</v>
      </c>
      <c r="H27" s="651">
        <f t="shared" si="0"/>
        <v>100</v>
      </c>
      <c r="I27" s="669">
        <f t="shared" si="5"/>
        <v>574993</v>
      </c>
      <c r="J27" s="682">
        <v>33010</v>
      </c>
      <c r="K27" s="656">
        <v>-574993</v>
      </c>
      <c r="L27" s="656">
        <v>-574993</v>
      </c>
      <c r="M27" s="651">
        <f t="shared" si="2"/>
        <v>100</v>
      </c>
      <c r="N27" s="718">
        <v>574993</v>
      </c>
      <c r="O27" s="697"/>
      <c r="P27" s="656"/>
      <c r="Q27" s="656"/>
      <c r="R27" s="651">
        <v>0</v>
      </c>
      <c r="S27" s="683"/>
      <c r="T27" s="699">
        <v>0</v>
      </c>
      <c r="U27" s="699">
        <v>0</v>
      </c>
      <c r="V27" s="656">
        <v>0</v>
      </c>
      <c r="W27" s="651">
        <v>0</v>
      </c>
      <c r="X27" s="719">
        <v>0</v>
      </c>
    </row>
    <row r="28" spans="1:24" s="641" customFormat="1" x14ac:dyDescent="0.15">
      <c r="A28" s="706" t="s">
        <v>51</v>
      </c>
      <c r="B28" s="657" t="s">
        <v>74</v>
      </c>
      <c r="C28" s="657"/>
      <c r="D28" s="705" t="s">
        <v>25</v>
      </c>
      <c r="E28" s="668">
        <f t="shared" ref="E28:G31" si="6">SUM(J28,O28)</f>
        <v>60000</v>
      </c>
      <c r="F28" s="650">
        <f t="shared" si="6"/>
        <v>269767</v>
      </c>
      <c r="G28" s="650">
        <f t="shared" si="6"/>
        <v>269767</v>
      </c>
      <c r="H28" s="651">
        <f t="shared" si="0"/>
        <v>100</v>
      </c>
      <c r="I28" s="669">
        <f t="shared" ref="I28" si="7">SUM(N28,S28)</f>
        <v>155133.53</v>
      </c>
      <c r="J28" s="682">
        <v>60000</v>
      </c>
      <c r="K28" s="656">
        <v>269767</v>
      </c>
      <c r="L28" s="656">
        <v>269767</v>
      </c>
      <c r="M28" s="651">
        <f t="shared" si="2"/>
        <v>100</v>
      </c>
      <c r="N28" s="718">
        <v>155133.53</v>
      </c>
      <c r="O28" s="697"/>
      <c r="P28" s="656"/>
      <c r="Q28" s="656"/>
      <c r="R28" s="651">
        <v>0</v>
      </c>
      <c r="S28" s="683"/>
      <c r="T28" s="699">
        <v>0</v>
      </c>
      <c r="U28" s="699">
        <v>20000</v>
      </c>
      <c r="V28" s="656">
        <v>18877</v>
      </c>
      <c r="W28" s="651">
        <f t="shared" si="3"/>
        <v>94.384999999999991</v>
      </c>
      <c r="X28" s="719">
        <v>20479.8</v>
      </c>
    </row>
    <row r="29" spans="1:24" s="640" customFormat="1" x14ac:dyDescent="0.15">
      <c r="A29" s="706" t="s">
        <v>52</v>
      </c>
      <c r="B29" s="1233" t="s">
        <v>67</v>
      </c>
      <c r="C29" s="1233"/>
      <c r="D29" s="705" t="s">
        <v>25</v>
      </c>
      <c r="E29" s="668">
        <f t="shared" si="6"/>
        <v>1000</v>
      </c>
      <c r="F29" s="650">
        <f t="shared" si="6"/>
        <v>104585</v>
      </c>
      <c r="G29" s="650">
        <f t="shared" si="6"/>
        <v>104585</v>
      </c>
      <c r="H29" s="651">
        <f t="shared" si="0"/>
        <v>100</v>
      </c>
      <c r="I29" s="669">
        <f>SUM(N29,S29)</f>
        <v>197</v>
      </c>
      <c r="J29" s="682">
        <v>1000</v>
      </c>
      <c r="K29" s="656">
        <v>104585</v>
      </c>
      <c r="L29" s="656">
        <v>104585</v>
      </c>
      <c r="M29" s="651">
        <f t="shared" si="2"/>
        <v>100</v>
      </c>
      <c r="N29" s="718">
        <v>197</v>
      </c>
      <c r="O29" s="697"/>
      <c r="P29" s="656"/>
      <c r="Q29" s="656"/>
      <c r="R29" s="651">
        <v>0</v>
      </c>
      <c r="S29" s="683"/>
      <c r="T29" s="699">
        <v>0</v>
      </c>
      <c r="U29" s="699">
        <v>4500</v>
      </c>
      <c r="V29" s="656">
        <v>4495</v>
      </c>
      <c r="W29" s="651">
        <f t="shared" si="3"/>
        <v>99.8888888888889</v>
      </c>
      <c r="X29" s="719">
        <v>0</v>
      </c>
    </row>
    <row r="30" spans="1:24" s="636" customFormat="1" x14ac:dyDescent="0.15">
      <c r="A30" s="706" t="s">
        <v>54</v>
      </c>
      <c r="B30" s="657" t="s">
        <v>53</v>
      </c>
      <c r="C30" s="657"/>
      <c r="D30" s="705" t="s">
        <v>25</v>
      </c>
      <c r="E30" s="668">
        <f t="shared" si="6"/>
        <v>0</v>
      </c>
      <c r="F30" s="650">
        <f t="shared" si="6"/>
        <v>424.8</v>
      </c>
      <c r="G30" s="650">
        <f t="shared" si="6"/>
        <v>424.8</v>
      </c>
      <c r="H30" s="651">
        <v>0</v>
      </c>
      <c r="I30" s="669">
        <f>SUM(N30,S30)</f>
        <v>0</v>
      </c>
      <c r="J30" s="682">
        <v>0</v>
      </c>
      <c r="K30" s="656">
        <v>424.8</v>
      </c>
      <c r="L30" s="656">
        <v>424.8</v>
      </c>
      <c r="M30" s="651">
        <f t="shared" si="2"/>
        <v>100</v>
      </c>
      <c r="N30" s="718">
        <v>0</v>
      </c>
      <c r="O30" s="697"/>
      <c r="P30" s="656"/>
      <c r="Q30" s="656"/>
      <c r="R30" s="651">
        <v>0</v>
      </c>
      <c r="S30" s="683"/>
      <c r="T30" s="699">
        <v>0</v>
      </c>
      <c r="U30" s="699">
        <v>0</v>
      </c>
      <c r="V30" s="656">
        <v>0</v>
      </c>
      <c r="W30" s="651">
        <v>0</v>
      </c>
      <c r="X30" s="719">
        <v>0</v>
      </c>
    </row>
    <row r="31" spans="1:24" s="644" customFormat="1" ht="8.4" x14ac:dyDescent="0.2">
      <c r="A31" s="706" t="s">
        <v>55</v>
      </c>
      <c r="B31" s="653" t="s">
        <v>71</v>
      </c>
      <c r="C31" s="653"/>
      <c r="D31" s="705" t="s">
        <v>25</v>
      </c>
      <c r="E31" s="668">
        <f t="shared" si="6"/>
        <v>0</v>
      </c>
      <c r="F31" s="650">
        <f t="shared" si="6"/>
        <v>0</v>
      </c>
      <c r="G31" s="650">
        <f t="shared" si="6"/>
        <v>0</v>
      </c>
      <c r="H31" s="651">
        <v>0</v>
      </c>
      <c r="I31" s="669">
        <f>SUM(N31,S31)</f>
        <v>0</v>
      </c>
      <c r="J31" s="682">
        <v>0</v>
      </c>
      <c r="K31" s="662">
        <v>0</v>
      </c>
      <c r="L31" s="662">
        <v>0</v>
      </c>
      <c r="M31" s="651">
        <v>0</v>
      </c>
      <c r="N31" s="662">
        <v>0</v>
      </c>
      <c r="O31" s="698"/>
      <c r="P31" s="662"/>
      <c r="Q31" s="662"/>
      <c r="R31" s="651">
        <v>0</v>
      </c>
      <c r="S31" s="685"/>
      <c r="T31" s="699">
        <v>0</v>
      </c>
      <c r="U31" s="663">
        <v>0</v>
      </c>
      <c r="V31" s="662">
        <v>0</v>
      </c>
      <c r="W31" s="651">
        <v>0</v>
      </c>
      <c r="X31" s="719">
        <v>0</v>
      </c>
    </row>
    <row r="32" spans="1:24" s="644" customFormat="1" x14ac:dyDescent="0.15">
      <c r="A32" s="708" t="s">
        <v>56</v>
      </c>
      <c r="B32" s="659" t="s">
        <v>72</v>
      </c>
      <c r="C32" s="659"/>
      <c r="D32" s="705" t="s">
        <v>25</v>
      </c>
      <c r="E32" s="668">
        <f>SUM(J32,O32)</f>
        <v>0</v>
      </c>
      <c r="F32" s="650">
        <f>SUM(K32,P32)</f>
        <v>0</v>
      </c>
      <c r="G32" s="650">
        <f>SUM(L32,Q32)</f>
        <v>0</v>
      </c>
      <c r="H32" s="651">
        <v>0</v>
      </c>
      <c r="I32" s="669">
        <f>SUM(N32,S32)</f>
        <v>0</v>
      </c>
      <c r="J32" s="686">
        <v>0</v>
      </c>
      <c r="K32" s="663">
        <v>0</v>
      </c>
      <c r="L32" s="663">
        <v>0</v>
      </c>
      <c r="M32" s="651">
        <v>0</v>
      </c>
      <c r="N32" s="663">
        <v>0</v>
      </c>
      <c r="O32" s="699"/>
      <c r="P32" s="663"/>
      <c r="Q32" s="663"/>
      <c r="R32" s="651">
        <v>0</v>
      </c>
      <c r="S32" s="687"/>
      <c r="T32" s="699">
        <v>0</v>
      </c>
      <c r="U32" s="663">
        <v>0</v>
      </c>
      <c r="V32" s="663">
        <v>0</v>
      </c>
      <c r="W32" s="651">
        <v>0</v>
      </c>
      <c r="X32" s="687">
        <v>0</v>
      </c>
    </row>
    <row r="33" spans="1:24" s="644" customFormat="1" x14ac:dyDescent="0.15">
      <c r="A33" s="704" t="s">
        <v>57</v>
      </c>
      <c r="B33" s="649" t="s">
        <v>58</v>
      </c>
      <c r="C33" s="649"/>
      <c r="D33" s="705" t="s">
        <v>25</v>
      </c>
      <c r="E33" s="666">
        <f>E6-E11</f>
        <v>0</v>
      </c>
      <c r="F33" s="646">
        <f t="shared" ref="F33:G33" si="8">F6-F11</f>
        <v>0</v>
      </c>
      <c r="G33" s="646">
        <f t="shared" si="8"/>
        <v>-7234.320000000298</v>
      </c>
      <c r="H33" s="664">
        <v>0</v>
      </c>
      <c r="I33" s="667">
        <f t="shared" ref="I33:L33" si="9">I6-I11</f>
        <v>104746.22000000067</v>
      </c>
      <c r="J33" s="666">
        <f t="shared" si="9"/>
        <v>0</v>
      </c>
      <c r="K33" s="646">
        <f t="shared" si="9"/>
        <v>0</v>
      </c>
      <c r="L33" s="646">
        <f t="shared" si="9"/>
        <v>-7234.320000000298</v>
      </c>
      <c r="M33" s="643">
        <v>0</v>
      </c>
      <c r="N33" s="667">
        <f t="shared" ref="N33:Q33" si="10">N6-N11</f>
        <v>104746.22000000067</v>
      </c>
      <c r="O33" s="666">
        <f t="shared" si="10"/>
        <v>0</v>
      </c>
      <c r="P33" s="646">
        <f t="shared" si="10"/>
        <v>0</v>
      </c>
      <c r="Q33" s="646">
        <f t="shared" si="10"/>
        <v>0</v>
      </c>
      <c r="R33" s="643">
        <v>0</v>
      </c>
      <c r="S33" s="667">
        <f t="shared" ref="S33:V33" si="11">S6-S11</f>
        <v>0</v>
      </c>
      <c r="T33" s="666">
        <f t="shared" si="11"/>
        <v>49300</v>
      </c>
      <c r="U33" s="646">
        <f t="shared" si="11"/>
        <v>49300</v>
      </c>
      <c r="V33" s="646">
        <f t="shared" si="11"/>
        <v>55238.650000000023</v>
      </c>
      <c r="W33" s="646">
        <v>0</v>
      </c>
      <c r="X33" s="667">
        <f>X6-X11</f>
        <v>11000.200000000012</v>
      </c>
    </row>
    <row r="34" spans="1:24" s="645" customFormat="1" x14ac:dyDescent="0.15">
      <c r="A34" s="709" t="s">
        <v>59</v>
      </c>
      <c r="B34" s="1239" t="s">
        <v>24</v>
      </c>
      <c r="C34" s="1239"/>
      <c r="D34" s="710" t="s">
        <v>25</v>
      </c>
      <c r="E34" s="721">
        <v>22604</v>
      </c>
      <c r="F34" s="193">
        <v>22604</v>
      </c>
      <c r="G34" s="193">
        <v>23420</v>
      </c>
      <c r="H34" s="651">
        <v>0</v>
      </c>
      <c r="I34" s="722">
        <v>22604</v>
      </c>
      <c r="J34" s="723">
        <v>22604</v>
      </c>
      <c r="K34" s="195">
        <v>22604</v>
      </c>
      <c r="L34" s="195">
        <v>23420</v>
      </c>
      <c r="M34" s="651">
        <v>0</v>
      </c>
      <c r="N34" s="724">
        <v>22604</v>
      </c>
      <c r="O34" s="688"/>
      <c r="P34" s="648"/>
      <c r="Q34" s="648"/>
      <c r="R34" s="651">
        <v>0</v>
      </c>
      <c r="S34" s="689"/>
      <c r="T34" s="688"/>
      <c r="U34" s="648"/>
      <c r="V34" s="648"/>
      <c r="W34" s="651">
        <v>0</v>
      </c>
      <c r="X34" s="689"/>
    </row>
    <row r="35" spans="1:24" s="645" customFormat="1" x14ac:dyDescent="0.15">
      <c r="A35" s="711" t="s">
        <v>60</v>
      </c>
      <c r="B35" s="1240" t="s">
        <v>33</v>
      </c>
      <c r="C35" s="1240"/>
      <c r="D35" s="712" t="s">
        <v>26</v>
      </c>
      <c r="E35" s="721">
        <v>37</v>
      </c>
      <c r="F35" s="193">
        <v>37</v>
      </c>
      <c r="G35" s="193">
        <v>34</v>
      </c>
      <c r="H35" s="651">
        <v>0</v>
      </c>
      <c r="I35" s="722">
        <v>37</v>
      </c>
      <c r="J35" s="723">
        <v>37</v>
      </c>
      <c r="K35" s="195">
        <v>37</v>
      </c>
      <c r="L35" s="195">
        <v>34</v>
      </c>
      <c r="M35" s="651">
        <v>0</v>
      </c>
      <c r="N35" s="724">
        <v>37</v>
      </c>
      <c r="O35" s="688"/>
      <c r="P35" s="648"/>
      <c r="Q35" s="648"/>
      <c r="R35" s="651">
        <v>0</v>
      </c>
      <c r="S35" s="689"/>
      <c r="T35" s="688"/>
      <c r="U35" s="648"/>
      <c r="V35" s="648"/>
      <c r="W35" s="651">
        <v>0</v>
      </c>
      <c r="X35" s="689"/>
    </row>
    <row r="36" spans="1:24" s="645" customFormat="1" ht="8.4" thickBot="1" x14ac:dyDescent="0.2">
      <c r="A36" s="713" t="s">
        <v>61</v>
      </c>
      <c r="B36" s="1241" t="s">
        <v>27</v>
      </c>
      <c r="C36" s="1241"/>
      <c r="D36" s="714" t="s">
        <v>26</v>
      </c>
      <c r="E36" s="725">
        <v>32</v>
      </c>
      <c r="F36" s="726">
        <v>32</v>
      </c>
      <c r="G36" s="726">
        <v>31</v>
      </c>
      <c r="H36" s="692">
        <v>0</v>
      </c>
      <c r="I36" s="727">
        <v>32</v>
      </c>
      <c r="J36" s="728">
        <v>32</v>
      </c>
      <c r="K36" s="729">
        <v>32</v>
      </c>
      <c r="L36" s="729">
        <v>31</v>
      </c>
      <c r="M36" s="692">
        <v>0</v>
      </c>
      <c r="N36" s="730">
        <v>32</v>
      </c>
      <c r="O36" s="690"/>
      <c r="P36" s="691"/>
      <c r="Q36" s="691"/>
      <c r="R36" s="692">
        <v>0</v>
      </c>
      <c r="S36" s="693"/>
      <c r="T36" s="690"/>
      <c r="U36" s="691"/>
      <c r="V36" s="691"/>
      <c r="W36" s="692">
        <v>0</v>
      </c>
      <c r="X36" s="693"/>
    </row>
  </sheetData>
  <mergeCells count="39">
    <mergeCell ref="B26:C26"/>
    <mergeCell ref="B29:C29"/>
    <mergeCell ref="B34:C34"/>
    <mergeCell ref="B35:C35"/>
    <mergeCell ref="B36:C36"/>
    <mergeCell ref="B22:C22"/>
    <mergeCell ref="B8:C8"/>
    <mergeCell ref="B10:C10"/>
    <mergeCell ref="B11:C11"/>
    <mergeCell ref="B12:C12"/>
    <mergeCell ref="B13:C13"/>
    <mergeCell ref="B15:C15"/>
    <mergeCell ref="B16:C16"/>
    <mergeCell ref="B18:C18"/>
    <mergeCell ref="B19:C19"/>
    <mergeCell ref="B20:C20"/>
    <mergeCell ref="B21:C21"/>
    <mergeCell ref="B7:C7"/>
    <mergeCell ref="I4:I5"/>
    <mergeCell ref="J4:J5"/>
    <mergeCell ref="K4:M4"/>
    <mergeCell ref="N4:N5"/>
    <mergeCell ref="B6:C6"/>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s>
  <pageMargins left="0.23622047244094491" right="0.23622047244094491" top="0.74803149606299213" bottom="0.74803149606299213" header="0.31496062992125984" footer="0.31496062992125984"/>
  <pageSetup paperSize="9" scale="98" firstPageNumber="209" fitToHeight="2" orientation="landscape" useFirstPageNumber="1" r:id="rId1"/>
  <headerFoot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1"/>
  <sheetViews>
    <sheetView zoomScaleNormal="100" workbookViewId="0">
      <selection activeCell="N22" sqref="N22"/>
    </sheetView>
  </sheetViews>
  <sheetFormatPr defaultColWidth="25.19921875" defaultRowHeight="7.8" x14ac:dyDescent="0.15"/>
  <cols>
    <col min="1" max="1" width="58" style="732" customWidth="1"/>
    <col min="2" max="2" width="33.3984375" style="732" customWidth="1"/>
    <col min="3" max="5" width="25.796875" style="732" customWidth="1"/>
    <col min="6" max="6" width="22.796875" style="732" customWidth="1"/>
    <col min="7" max="9" width="16" style="732" customWidth="1"/>
    <col min="10" max="26" width="15.19921875" style="732" customWidth="1"/>
    <col min="27" max="16384" width="25.19921875" style="732"/>
  </cols>
  <sheetData>
    <row r="1" spans="1:26" ht="20.399999999999999" customHeight="1" x14ac:dyDescent="0.3">
      <c r="A1" s="323" t="s">
        <v>75</v>
      </c>
      <c r="B1" s="731" t="s">
        <v>656</v>
      </c>
      <c r="C1" s="323"/>
      <c r="D1" s="323"/>
      <c r="E1" s="323"/>
      <c r="F1" s="323"/>
      <c r="G1" s="323"/>
      <c r="H1" s="323"/>
      <c r="I1" s="323"/>
      <c r="J1" s="323"/>
      <c r="K1" s="323"/>
      <c r="L1" s="323"/>
      <c r="M1" s="323"/>
      <c r="N1" s="323"/>
      <c r="O1" s="323"/>
      <c r="P1" s="323"/>
      <c r="Q1" s="323"/>
      <c r="R1" s="323"/>
      <c r="S1" s="323"/>
      <c r="T1" s="323"/>
      <c r="U1" s="323"/>
      <c r="V1" s="323"/>
      <c r="W1" s="323"/>
      <c r="X1" s="323"/>
      <c r="Y1" s="323"/>
      <c r="Z1" s="323"/>
    </row>
    <row r="2" spans="1:26" ht="12.75" customHeight="1" x14ac:dyDescent="0.25">
      <c r="A2" s="44"/>
      <c r="B2" s="44"/>
      <c r="C2" s="44"/>
      <c r="D2" s="44"/>
      <c r="E2" s="44"/>
      <c r="F2" s="44"/>
      <c r="G2" s="44"/>
      <c r="H2" s="44"/>
      <c r="I2" s="44"/>
      <c r="J2" s="44"/>
      <c r="K2" s="44"/>
      <c r="L2" s="44"/>
      <c r="M2" s="44"/>
      <c r="N2" s="44"/>
      <c r="O2" s="44"/>
      <c r="P2" s="44"/>
      <c r="Q2" s="44"/>
      <c r="R2" s="44"/>
      <c r="S2" s="44"/>
      <c r="T2" s="44"/>
      <c r="U2" s="44"/>
      <c r="V2" s="44"/>
      <c r="W2" s="44"/>
      <c r="X2" s="44"/>
      <c r="Y2" s="44"/>
      <c r="Z2" s="44"/>
    </row>
    <row r="3" spans="1:26" ht="12.75" customHeight="1" x14ac:dyDescent="0.25">
      <c r="A3" s="1738" t="s">
        <v>102</v>
      </c>
      <c r="B3" s="1739"/>
      <c r="C3" s="1739"/>
      <c r="D3" s="1739"/>
      <c r="E3" s="1739"/>
      <c r="F3" s="1739"/>
      <c r="G3" s="1739"/>
      <c r="H3" s="1739"/>
      <c r="I3" s="1739"/>
      <c r="J3" s="7"/>
      <c r="K3" s="7"/>
      <c r="L3" s="7"/>
      <c r="M3" s="7"/>
      <c r="N3" s="7"/>
      <c r="O3" s="7"/>
      <c r="P3" s="7"/>
      <c r="Q3" s="7"/>
      <c r="R3" s="7"/>
      <c r="S3" s="7"/>
      <c r="T3" s="7"/>
      <c r="U3" s="7"/>
      <c r="V3" s="7"/>
      <c r="W3" s="7"/>
      <c r="X3" s="7"/>
      <c r="Y3" s="7"/>
      <c r="Z3" s="7"/>
    </row>
    <row r="4" spans="1:26" ht="12.75" customHeight="1" x14ac:dyDescent="0.2">
      <c r="A4" s="8"/>
      <c r="B4" s="8"/>
      <c r="C4" s="8"/>
      <c r="D4" s="8"/>
      <c r="E4" s="8"/>
      <c r="F4" s="8"/>
      <c r="G4" s="8"/>
      <c r="H4" s="8"/>
      <c r="I4" s="8"/>
      <c r="J4" s="8"/>
      <c r="K4" s="8"/>
      <c r="L4" s="8"/>
      <c r="M4" s="8"/>
      <c r="N4" s="8"/>
      <c r="O4" s="8"/>
      <c r="P4" s="8"/>
      <c r="Q4" s="8"/>
      <c r="R4" s="8"/>
      <c r="S4" s="8"/>
      <c r="T4" s="8"/>
      <c r="U4" s="8"/>
      <c r="V4" s="8"/>
      <c r="W4" s="8"/>
      <c r="X4" s="8"/>
      <c r="Y4" s="8"/>
      <c r="Z4" s="8"/>
    </row>
    <row r="5" spans="1:26" ht="12.75" customHeight="1" x14ac:dyDescent="0.25">
      <c r="A5" s="1740" t="s">
        <v>76</v>
      </c>
      <c r="B5" s="1741"/>
      <c r="C5" s="733" t="s">
        <v>25</v>
      </c>
      <c r="D5" s="1740" t="s">
        <v>103</v>
      </c>
      <c r="E5" s="1742"/>
      <c r="F5" s="1742"/>
      <c r="G5" s="1742"/>
      <c r="H5" s="1742"/>
      <c r="I5" s="1741"/>
      <c r="J5" s="9"/>
      <c r="K5" s="9"/>
      <c r="L5" s="9"/>
      <c r="M5" s="9"/>
      <c r="N5" s="9"/>
      <c r="O5" s="9"/>
      <c r="P5" s="9"/>
      <c r="Q5" s="9"/>
      <c r="R5" s="9"/>
      <c r="S5" s="9"/>
      <c r="T5" s="9"/>
      <c r="U5" s="9"/>
      <c r="V5" s="9"/>
      <c r="W5" s="9"/>
      <c r="X5" s="9"/>
      <c r="Y5" s="9"/>
      <c r="Z5" s="9"/>
    </row>
    <row r="6" spans="1:26" ht="15" customHeight="1" x14ac:dyDescent="0.25">
      <c r="A6" s="1743" t="s">
        <v>104</v>
      </c>
      <c r="B6" s="1741"/>
      <c r="C6" s="734">
        <f>SUM(C7:C9)</f>
        <v>48004.5</v>
      </c>
      <c r="D6" s="1744"/>
      <c r="E6" s="1745"/>
      <c r="F6" s="1745"/>
      <c r="G6" s="1745"/>
      <c r="H6" s="1745"/>
      <c r="I6" s="1746"/>
      <c r="J6" s="8"/>
      <c r="K6" s="8"/>
      <c r="L6" s="8"/>
      <c r="M6" s="8"/>
      <c r="N6" s="8"/>
      <c r="O6" s="8"/>
      <c r="P6" s="8"/>
      <c r="Q6" s="8"/>
      <c r="R6" s="8"/>
      <c r="S6" s="8"/>
      <c r="T6" s="8"/>
      <c r="U6" s="8"/>
      <c r="V6" s="8"/>
      <c r="W6" s="8"/>
      <c r="X6" s="8"/>
      <c r="Y6" s="8"/>
      <c r="Z6" s="8"/>
    </row>
    <row r="7" spans="1:26" ht="34.200000000000003" customHeight="1" x14ac:dyDescent="0.25">
      <c r="A7" s="1747" t="s">
        <v>77</v>
      </c>
      <c r="B7" s="1748"/>
      <c r="C7" s="735">
        <v>-7234.15</v>
      </c>
      <c r="D7" s="1749" t="s">
        <v>657</v>
      </c>
      <c r="E7" s="1750"/>
      <c r="F7" s="1750"/>
      <c r="G7" s="1750"/>
      <c r="H7" s="1750"/>
      <c r="I7" s="1748"/>
      <c r="J7" s="8"/>
      <c r="K7" s="8"/>
      <c r="L7" s="8"/>
      <c r="M7" s="8"/>
      <c r="N7" s="8"/>
      <c r="O7" s="8"/>
      <c r="P7" s="8"/>
      <c r="Q7" s="8"/>
      <c r="R7" s="8"/>
      <c r="S7" s="8"/>
      <c r="T7" s="8"/>
      <c r="U7" s="8"/>
      <c r="V7" s="8"/>
      <c r="W7" s="8"/>
      <c r="X7" s="8"/>
      <c r="Y7" s="8"/>
      <c r="Z7" s="8"/>
    </row>
    <row r="8" spans="1:26" ht="29.25" customHeight="1" x14ac:dyDescent="0.25">
      <c r="A8" s="1755" t="s">
        <v>78</v>
      </c>
      <c r="B8" s="1756"/>
      <c r="C8" s="736">
        <v>55238.65</v>
      </c>
      <c r="D8" s="1757" t="s">
        <v>658</v>
      </c>
      <c r="E8" s="1750"/>
      <c r="F8" s="1750"/>
      <c r="G8" s="1750"/>
      <c r="H8" s="1750"/>
      <c r="I8" s="1748"/>
      <c r="J8" s="7"/>
      <c r="K8" s="7"/>
      <c r="L8" s="7"/>
      <c r="M8" s="7"/>
      <c r="N8" s="7"/>
      <c r="O8" s="7"/>
      <c r="P8" s="7"/>
      <c r="Q8" s="7"/>
      <c r="R8" s="7"/>
      <c r="S8" s="7"/>
      <c r="T8" s="7"/>
      <c r="U8" s="7"/>
      <c r="V8" s="7"/>
      <c r="W8" s="7"/>
      <c r="X8" s="7"/>
      <c r="Y8" s="7"/>
      <c r="Z8" s="7"/>
    </row>
    <row r="9" spans="1:26" ht="15" customHeight="1" x14ac:dyDescent="0.25">
      <c r="A9" s="1755" t="s">
        <v>79</v>
      </c>
      <c r="B9" s="1756"/>
      <c r="C9" s="736">
        <v>0</v>
      </c>
      <c r="D9" s="1758"/>
      <c r="E9" s="1759"/>
      <c r="F9" s="1759"/>
      <c r="G9" s="1759"/>
      <c r="H9" s="1759"/>
      <c r="I9" s="1756"/>
      <c r="J9" s="7"/>
      <c r="K9" s="7"/>
      <c r="L9" s="7"/>
      <c r="M9" s="7"/>
      <c r="N9" s="7"/>
      <c r="O9" s="7"/>
      <c r="P9" s="7"/>
      <c r="Q9" s="7"/>
      <c r="R9" s="7"/>
      <c r="S9" s="7"/>
      <c r="T9" s="7"/>
      <c r="U9" s="7"/>
      <c r="V9" s="7"/>
      <c r="W9" s="7"/>
      <c r="X9" s="7"/>
      <c r="Y9" s="7"/>
      <c r="Z9" s="7"/>
    </row>
    <row r="10" spans="1:26" ht="12.75" customHeight="1" x14ac:dyDescent="0.2">
      <c r="A10" s="8"/>
      <c r="B10" s="8"/>
      <c r="C10" s="116"/>
      <c r="D10" s="8"/>
      <c r="E10" s="8"/>
      <c r="F10" s="8"/>
      <c r="G10" s="8"/>
      <c r="H10" s="8"/>
      <c r="I10" s="8"/>
      <c r="J10" s="8"/>
      <c r="K10" s="8"/>
      <c r="L10" s="8"/>
      <c r="M10" s="8"/>
      <c r="N10" s="8"/>
      <c r="O10" s="8"/>
      <c r="P10" s="8"/>
      <c r="Q10" s="8"/>
      <c r="R10" s="8"/>
      <c r="S10" s="8"/>
      <c r="T10" s="8"/>
      <c r="U10" s="8"/>
      <c r="V10" s="8"/>
      <c r="W10" s="8"/>
      <c r="X10" s="8"/>
      <c r="Y10" s="8"/>
      <c r="Z10" s="8"/>
    </row>
    <row r="11" spans="1:26" ht="12.75" customHeight="1" x14ac:dyDescent="0.25">
      <c r="A11" s="1738" t="s">
        <v>107</v>
      </c>
      <c r="B11" s="1739"/>
      <c r="C11" s="1739"/>
      <c r="D11" s="1739"/>
      <c r="E11" s="1739"/>
      <c r="F11" s="1739"/>
      <c r="G11" s="1739"/>
      <c r="H11" s="1739"/>
      <c r="I11" s="1739"/>
      <c r="J11" s="8"/>
      <c r="K11" s="8"/>
      <c r="L11" s="8"/>
      <c r="M11" s="8"/>
      <c r="N11" s="8"/>
      <c r="O11" s="8"/>
      <c r="P11" s="8"/>
      <c r="Q11" s="8"/>
      <c r="R11" s="8"/>
      <c r="S11" s="8"/>
      <c r="T11" s="8"/>
      <c r="U11" s="8"/>
      <c r="V11" s="8"/>
      <c r="W11" s="8"/>
      <c r="X11" s="8"/>
      <c r="Y11" s="8"/>
      <c r="Z11" s="8"/>
    </row>
    <row r="12" spans="1:26" ht="12.75" customHeight="1" x14ac:dyDescent="0.2">
      <c r="A12" s="8"/>
      <c r="B12" s="8"/>
      <c r="C12" s="116"/>
      <c r="D12" s="8"/>
      <c r="E12" s="8"/>
      <c r="F12" s="8"/>
      <c r="G12" s="8"/>
      <c r="H12" s="8"/>
      <c r="I12" s="8"/>
      <c r="J12" s="8"/>
      <c r="K12" s="8"/>
      <c r="L12" s="8"/>
      <c r="M12" s="8"/>
      <c r="N12" s="8"/>
      <c r="O12" s="8"/>
      <c r="P12" s="8"/>
      <c r="Q12" s="8"/>
      <c r="R12" s="8"/>
      <c r="S12" s="8"/>
      <c r="T12" s="8"/>
      <c r="U12" s="8"/>
      <c r="V12" s="8"/>
      <c r="W12" s="8"/>
      <c r="X12" s="8"/>
      <c r="Y12" s="8"/>
      <c r="Z12" s="8"/>
    </row>
    <row r="13" spans="1:26" ht="12.75" customHeight="1" x14ac:dyDescent="0.15">
      <c r="A13" s="733" t="s">
        <v>76</v>
      </c>
      <c r="B13" s="733" t="s">
        <v>80</v>
      </c>
      <c r="C13" s="733" t="s">
        <v>25</v>
      </c>
      <c r="D13" s="737"/>
      <c r="E13" s="738"/>
      <c r="F13" s="738"/>
      <c r="G13" s="738"/>
      <c r="H13" s="738"/>
      <c r="I13" s="738"/>
      <c r="J13" s="11"/>
      <c r="K13" s="11"/>
      <c r="L13" s="11"/>
      <c r="M13" s="11"/>
      <c r="N13" s="11"/>
      <c r="O13" s="11"/>
      <c r="P13" s="11"/>
      <c r="Q13" s="11"/>
      <c r="R13" s="11"/>
      <c r="S13" s="11"/>
      <c r="T13" s="11"/>
      <c r="U13" s="11"/>
      <c r="V13" s="11"/>
      <c r="W13" s="11"/>
      <c r="X13" s="11"/>
      <c r="Y13" s="11"/>
      <c r="Z13" s="11"/>
    </row>
    <row r="14" spans="1:26" ht="15" customHeight="1" x14ac:dyDescent="0.2">
      <c r="A14" s="739" t="s">
        <v>81</v>
      </c>
      <c r="B14" s="740"/>
      <c r="C14" s="741">
        <v>0</v>
      </c>
      <c r="D14" s="742"/>
      <c r="E14" s="743"/>
      <c r="F14" s="743"/>
      <c r="G14" s="743"/>
      <c r="H14" s="743"/>
      <c r="I14" s="743"/>
      <c r="J14" s="8"/>
      <c r="K14" s="8"/>
      <c r="L14" s="8"/>
      <c r="M14" s="8"/>
      <c r="N14" s="8"/>
      <c r="O14" s="8"/>
      <c r="P14" s="8"/>
      <c r="Q14" s="8"/>
      <c r="R14" s="8"/>
      <c r="S14" s="8"/>
      <c r="T14" s="8"/>
      <c r="U14" s="8"/>
      <c r="V14" s="8"/>
      <c r="W14" s="8"/>
      <c r="X14" s="8"/>
      <c r="Y14" s="8"/>
      <c r="Z14" s="8"/>
    </row>
    <row r="15" spans="1:26" ht="15" customHeight="1" x14ac:dyDescent="0.2">
      <c r="A15" s="1760" t="s">
        <v>82</v>
      </c>
      <c r="B15" s="744" t="s">
        <v>98</v>
      </c>
      <c r="C15" s="745">
        <v>0</v>
      </c>
      <c r="D15" s="742"/>
      <c r="E15" s="743"/>
      <c r="F15" s="743"/>
      <c r="G15" s="743"/>
      <c r="H15" s="743"/>
      <c r="I15" s="743"/>
      <c r="J15" s="8"/>
      <c r="K15" s="8"/>
      <c r="L15" s="8"/>
      <c r="M15" s="8"/>
      <c r="N15" s="8"/>
      <c r="O15" s="8"/>
      <c r="P15" s="8"/>
      <c r="Q15" s="8"/>
      <c r="R15" s="8"/>
      <c r="S15" s="8"/>
      <c r="T15" s="8"/>
      <c r="U15" s="8"/>
      <c r="V15" s="8"/>
      <c r="W15" s="8"/>
      <c r="X15" s="8"/>
      <c r="Y15" s="8"/>
      <c r="Z15" s="8"/>
    </row>
    <row r="16" spans="1:26" ht="15" customHeight="1" x14ac:dyDescent="0.2">
      <c r="A16" s="1761"/>
      <c r="B16" s="746" t="s">
        <v>83</v>
      </c>
      <c r="C16" s="747">
        <v>38004.5</v>
      </c>
      <c r="D16" s="748"/>
      <c r="E16" s="749"/>
      <c r="F16" s="749"/>
      <c r="G16" s="749"/>
      <c r="H16" s="749"/>
      <c r="I16" s="749"/>
      <c r="J16" s="8"/>
      <c r="K16" s="8"/>
      <c r="L16" s="8"/>
      <c r="M16" s="8"/>
      <c r="N16" s="8"/>
      <c r="O16" s="8"/>
      <c r="P16" s="8"/>
      <c r="Q16" s="8"/>
      <c r="R16" s="8"/>
      <c r="S16" s="8"/>
      <c r="T16" s="8"/>
      <c r="U16" s="8"/>
      <c r="V16" s="8"/>
      <c r="W16" s="8"/>
      <c r="X16" s="8"/>
      <c r="Y16" s="8"/>
      <c r="Z16" s="8"/>
    </row>
    <row r="17" spans="1:26" ht="15" customHeight="1" x14ac:dyDescent="0.2">
      <c r="A17" s="1762"/>
      <c r="B17" s="750" t="s">
        <v>84</v>
      </c>
      <c r="C17" s="751">
        <v>10000</v>
      </c>
      <c r="D17" s="752"/>
      <c r="E17" s="753"/>
      <c r="F17" s="753"/>
      <c r="G17" s="753"/>
      <c r="H17" s="753"/>
      <c r="I17" s="753"/>
      <c r="J17" s="8"/>
      <c r="K17" s="8"/>
      <c r="L17" s="8"/>
      <c r="M17" s="8"/>
      <c r="N17" s="8"/>
      <c r="O17" s="8"/>
      <c r="P17" s="8"/>
      <c r="Q17" s="8"/>
      <c r="R17" s="8"/>
      <c r="S17" s="8"/>
      <c r="T17" s="8"/>
      <c r="U17" s="8"/>
      <c r="V17" s="8"/>
      <c r="W17" s="8"/>
      <c r="X17" s="8"/>
      <c r="Y17" s="8"/>
      <c r="Z17" s="8"/>
    </row>
    <row r="18" spans="1:26" ht="15" customHeight="1" x14ac:dyDescent="0.2">
      <c r="A18" s="754" t="s">
        <v>104</v>
      </c>
      <c r="B18" s="755"/>
      <c r="C18" s="756">
        <f>SUM(C14:C17)</f>
        <v>48004.5</v>
      </c>
      <c r="D18" s="757"/>
      <c r="E18" s="757"/>
      <c r="F18" s="757"/>
      <c r="G18" s="757"/>
      <c r="H18" s="757"/>
      <c r="I18" s="757"/>
      <c r="J18" s="8"/>
      <c r="K18" s="8"/>
      <c r="L18" s="8"/>
      <c r="M18" s="8"/>
      <c r="N18" s="8"/>
      <c r="O18" s="8"/>
      <c r="P18" s="8"/>
      <c r="Q18" s="8"/>
      <c r="R18" s="8"/>
      <c r="S18" s="8"/>
      <c r="T18" s="8"/>
      <c r="U18" s="8"/>
      <c r="V18" s="8"/>
      <c r="W18" s="8"/>
      <c r="X18" s="8"/>
      <c r="Y18" s="8"/>
      <c r="Z18" s="8"/>
    </row>
    <row r="19" spans="1:26" ht="12.75" customHeight="1" x14ac:dyDescent="0.2">
      <c r="A19" s="758"/>
      <c r="B19" s="8"/>
      <c r="C19" s="116"/>
      <c r="D19" s="8"/>
      <c r="E19" s="8"/>
      <c r="F19" s="8"/>
      <c r="G19" s="8"/>
      <c r="H19" s="8"/>
      <c r="I19" s="8"/>
      <c r="J19" s="8"/>
      <c r="K19" s="8"/>
      <c r="L19" s="8"/>
      <c r="M19" s="8"/>
      <c r="N19" s="8"/>
      <c r="O19" s="8"/>
      <c r="P19" s="8"/>
      <c r="Q19" s="8"/>
      <c r="R19" s="8"/>
      <c r="S19" s="8"/>
      <c r="T19" s="8"/>
      <c r="U19" s="8"/>
      <c r="V19" s="8"/>
      <c r="W19" s="8"/>
      <c r="X19" s="8"/>
      <c r="Y19" s="8"/>
      <c r="Z19" s="8"/>
    </row>
    <row r="20" spans="1:26" ht="12.75" customHeight="1" x14ac:dyDescent="0.25">
      <c r="A20" s="1738" t="s">
        <v>108</v>
      </c>
      <c r="B20" s="1739"/>
      <c r="C20" s="1739"/>
      <c r="D20" s="1739"/>
      <c r="E20" s="1739"/>
      <c r="F20" s="1739"/>
      <c r="G20" s="1739"/>
      <c r="H20" s="1739"/>
      <c r="I20" s="1739"/>
      <c r="J20" s="8"/>
      <c r="K20" s="8"/>
      <c r="L20" s="8"/>
      <c r="M20" s="8"/>
      <c r="N20" s="8"/>
      <c r="O20" s="8"/>
      <c r="P20" s="8"/>
      <c r="Q20" s="8"/>
      <c r="R20" s="8"/>
      <c r="S20" s="8"/>
      <c r="T20" s="8"/>
      <c r="U20" s="8"/>
      <c r="V20" s="8"/>
      <c r="W20" s="8"/>
      <c r="X20" s="8"/>
      <c r="Y20" s="8"/>
      <c r="Z20" s="8"/>
    </row>
    <row r="21" spans="1:26" ht="12.75" customHeight="1" x14ac:dyDescent="0.2">
      <c r="A21" s="8"/>
      <c r="B21" s="8"/>
      <c r="C21" s="116"/>
      <c r="D21" s="8"/>
      <c r="E21" s="8"/>
      <c r="F21" s="8"/>
      <c r="G21" s="8"/>
      <c r="H21" s="8"/>
      <c r="I21" s="8"/>
      <c r="J21" s="8"/>
      <c r="K21" s="8"/>
      <c r="L21" s="8"/>
      <c r="M21" s="8"/>
      <c r="N21" s="8"/>
      <c r="O21" s="8"/>
      <c r="P21" s="8"/>
      <c r="Q21" s="8"/>
      <c r="R21" s="8"/>
      <c r="S21" s="8"/>
      <c r="T21" s="8"/>
      <c r="U21" s="8"/>
      <c r="V21" s="8"/>
      <c r="W21" s="8"/>
      <c r="X21" s="8"/>
      <c r="Y21" s="8"/>
      <c r="Z21" s="8"/>
    </row>
    <row r="22" spans="1:26" ht="12.75" customHeight="1" x14ac:dyDescent="0.25">
      <c r="A22" s="733" t="s">
        <v>80</v>
      </c>
      <c r="B22" s="733" t="s">
        <v>109</v>
      </c>
      <c r="C22" s="759" t="s">
        <v>110</v>
      </c>
      <c r="D22" s="733" t="s">
        <v>111</v>
      </c>
      <c r="E22" s="733" t="s">
        <v>112</v>
      </c>
      <c r="F22" s="1740" t="s">
        <v>484</v>
      </c>
      <c r="G22" s="1742"/>
      <c r="H22" s="1742"/>
      <c r="I22" s="1741"/>
      <c r="J22" s="9"/>
      <c r="K22" s="9"/>
      <c r="L22" s="9"/>
      <c r="M22" s="9"/>
      <c r="N22" s="9"/>
      <c r="O22" s="9"/>
      <c r="P22" s="9"/>
      <c r="Q22" s="9"/>
      <c r="R22" s="9"/>
      <c r="S22" s="9"/>
      <c r="T22" s="9"/>
      <c r="U22" s="9"/>
      <c r="V22" s="9"/>
      <c r="W22" s="9"/>
      <c r="X22" s="9"/>
      <c r="Y22" s="9"/>
      <c r="Z22" s="9"/>
    </row>
    <row r="23" spans="1:26" ht="95.4" customHeight="1" x14ac:dyDescent="0.25">
      <c r="A23" s="744" t="s">
        <v>85</v>
      </c>
      <c r="B23" s="760">
        <v>141605.63</v>
      </c>
      <c r="C23" s="760">
        <v>110746.82</v>
      </c>
      <c r="D23" s="760">
        <v>212429</v>
      </c>
      <c r="E23" s="761">
        <f t="shared" ref="E23:E26" si="0">B23+C23-D23</f>
        <v>39923.450000000012</v>
      </c>
      <c r="F23" s="1751" t="s">
        <v>659</v>
      </c>
      <c r="G23" s="1750"/>
      <c r="H23" s="1750"/>
      <c r="I23" s="1748"/>
      <c r="J23" s="8"/>
      <c r="K23" s="8"/>
      <c r="L23" s="8"/>
      <c r="M23" s="8"/>
      <c r="N23" s="8"/>
      <c r="O23" s="8"/>
      <c r="P23" s="8"/>
      <c r="Q23" s="8"/>
      <c r="R23" s="8"/>
      <c r="S23" s="8"/>
      <c r="T23" s="8"/>
      <c r="U23" s="8"/>
      <c r="V23" s="8"/>
      <c r="W23" s="8"/>
      <c r="X23" s="8"/>
      <c r="Y23" s="8"/>
      <c r="Z23" s="8"/>
    </row>
    <row r="24" spans="1:26" ht="127.2" customHeight="1" x14ac:dyDescent="0.25">
      <c r="A24" s="746" t="s">
        <v>86</v>
      </c>
      <c r="B24" s="762">
        <v>268818.2</v>
      </c>
      <c r="C24" s="762">
        <v>1274033</v>
      </c>
      <c r="D24" s="762">
        <v>1168817</v>
      </c>
      <c r="E24" s="763">
        <f t="shared" si="0"/>
        <v>374034.19999999995</v>
      </c>
      <c r="F24" s="1751" t="s">
        <v>660</v>
      </c>
      <c r="G24" s="1750"/>
      <c r="H24" s="1750"/>
      <c r="I24" s="1748"/>
      <c r="J24" s="8"/>
      <c r="K24" s="8"/>
      <c r="L24" s="8"/>
      <c r="M24" s="8"/>
      <c r="N24" s="8"/>
      <c r="O24" s="8"/>
      <c r="P24" s="8"/>
      <c r="Q24" s="8"/>
      <c r="R24" s="8"/>
      <c r="S24" s="8"/>
      <c r="T24" s="8"/>
      <c r="U24" s="8"/>
      <c r="V24" s="8"/>
      <c r="W24" s="8"/>
      <c r="X24" s="8"/>
      <c r="Y24" s="8"/>
      <c r="Z24" s="8"/>
    </row>
    <row r="25" spans="1:26" ht="28.95" customHeight="1" x14ac:dyDescent="0.25">
      <c r="A25" s="746" t="s">
        <v>84</v>
      </c>
      <c r="B25" s="762">
        <v>16300</v>
      </c>
      <c r="C25" s="762">
        <v>5000</v>
      </c>
      <c r="D25" s="762">
        <v>1100</v>
      </c>
      <c r="E25" s="763">
        <f t="shared" si="0"/>
        <v>20200</v>
      </c>
      <c r="F25" s="1751" t="s">
        <v>661</v>
      </c>
      <c r="G25" s="1750"/>
      <c r="H25" s="1750"/>
      <c r="I25" s="1748"/>
      <c r="J25" s="8"/>
      <c r="K25" s="8"/>
      <c r="L25" s="8"/>
      <c r="M25" s="8"/>
      <c r="N25" s="8"/>
      <c r="O25" s="8"/>
      <c r="P25" s="8"/>
      <c r="Q25" s="8"/>
      <c r="R25" s="8"/>
      <c r="S25" s="8"/>
      <c r="T25" s="8"/>
      <c r="U25" s="8"/>
      <c r="V25" s="8"/>
      <c r="W25" s="8"/>
      <c r="X25" s="8"/>
      <c r="Y25" s="8"/>
      <c r="Z25" s="8"/>
    </row>
    <row r="26" spans="1:26" ht="67.2" customHeight="1" x14ac:dyDescent="0.25">
      <c r="A26" s="750" t="s">
        <v>87</v>
      </c>
      <c r="B26" s="764">
        <v>19507</v>
      </c>
      <c r="C26" s="764">
        <v>26998</v>
      </c>
      <c r="D26" s="764">
        <v>13618</v>
      </c>
      <c r="E26" s="763">
        <f t="shared" si="0"/>
        <v>32887</v>
      </c>
      <c r="F26" s="1752" t="s">
        <v>662</v>
      </c>
      <c r="G26" s="1753"/>
      <c r="H26" s="1753"/>
      <c r="I26" s="1754"/>
      <c r="J26" s="8"/>
      <c r="K26" s="8"/>
      <c r="L26" s="8"/>
      <c r="M26" s="8"/>
      <c r="N26" s="8"/>
      <c r="O26" s="8"/>
      <c r="P26" s="8"/>
      <c r="Q26" s="8"/>
      <c r="R26" s="8"/>
      <c r="S26" s="8"/>
      <c r="T26" s="8"/>
      <c r="U26" s="8"/>
      <c r="V26" s="8"/>
      <c r="W26" s="8"/>
      <c r="X26" s="8"/>
      <c r="Y26" s="8"/>
      <c r="Z26" s="8"/>
    </row>
    <row r="27" spans="1:26" ht="12.75" customHeight="1" x14ac:dyDescent="0.25">
      <c r="A27" s="765" t="s">
        <v>34</v>
      </c>
      <c r="B27" s="734">
        <f t="shared" ref="B27:E27" si="1">SUM(B23:B26)</f>
        <v>446230.83</v>
      </c>
      <c r="C27" s="734">
        <f t="shared" si="1"/>
        <v>1416777.82</v>
      </c>
      <c r="D27" s="734">
        <f t="shared" si="1"/>
        <v>1395964</v>
      </c>
      <c r="E27" s="734">
        <f t="shared" si="1"/>
        <v>467044.64999999997</v>
      </c>
      <c r="F27" s="1766"/>
      <c r="G27" s="1742"/>
      <c r="H27" s="1742"/>
      <c r="I27" s="1767"/>
      <c r="J27" s="7"/>
      <c r="K27" s="7"/>
      <c r="L27" s="7"/>
      <c r="M27" s="7"/>
      <c r="N27" s="7"/>
      <c r="O27" s="7"/>
      <c r="P27" s="7"/>
      <c r="Q27" s="7"/>
      <c r="R27" s="7"/>
      <c r="S27" s="7"/>
      <c r="T27" s="7"/>
      <c r="U27" s="7"/>
      <c r="V27" s="7"/>
      <c r="W27" s="7"/>
      <c r="X27" s="7"/>
      <c r="Y27" s="7"/>
      <c r="Z27" s="7"/>
    </row>
    <row r="28" spans="1:26" ht="12.75" customHeight="1" x14ac:dyDescent="0.2">
      <c r="A28" s="8"/>
      <c r="B28" s="8"/>
      <c r="C28" s="116"/>
      <c r="D28" s="8"/>
      <c r="E28" s="8"/>
      <c r="F28" s="8"/>
      <c r="G28" s="8"/>
      <c r="H28" s="8"/>
      <c r="I28" s="8"/>
      <c r="J28" s="8"/>
      <c r="K28" s="8"/>
      <c r="L28" s="8"/>
      <c r="M28" s="8"/>
      <c r="N28" s="8"/>
      <c r="O28" s="8"/>
      <c r="P28" s="8"/>
      <c r="Q28" s="8"/>
      <c r="R28" s="8"/>
      <c r="S28" s="8"/>
      <c r="T28" s="8"/>
      <c r="U28" s="8"/>
      <c r="V28" s="8"/>
      <c r="W28" s="8"/>
      <c r="X28" s="8"/>
      <c r="Y28" s="8"/>
      <c r="Z28" s="8"/>
    </row>
    <row r="29" spans="1:26" ht="12.75" customHeight="1" x14ac:dyDescent="0.25">
      <c r="A29" s="1738" t="s">
        <v>118</v>
      </c>
      <c r="B29" s="1739"/>
      <c r="C29" s="1739"/>
      <c r="D29" s="1739"/>
      <c r="E29" s="1739"/>
      <c r="F29" s="1739"/>
      <c r="G29" s="1739"/>
      <c r="H29" s="1739"/>
      <c r="I29" s="1739"/>
      <c r="J29" s="8"/>
      <c r="K29" s="8"/>
      <c r="L29" s="8"/>
      <c r="M29" s="8"/>
      <c r="N29" s="8"/>
      <c r="O29" s="8"/>
      <c r="P29" s="8"/>
      <c r="Q29" s="8"/>
      <c r="R29" s="8"/>
      <c r="S29" s="8"/>
      <c r="T29" s="8"/>
      <c r="U29" s="8"/>
      <c r="V29" s="8"/>
      <c r="W29" s="8"/>
      <c r="X29" s="8"/>
      <c r="Y29" s="8"/>
      <c r="Z29" s="8"/>
    </row>
    <row r="30" spans="1:26" ht="12.75" customHeight="1" x14ac:dyDescent="0.2">
      <c r="A30" s="8"/>
      <c r="B30" s="8"/>
      <c r="C30" s="116"/>
      <c r="D30" s="8"/>
      <c r="E30" s="8"/>
      <c r="F30" s="8"/>
      <c r="G30" s="8"/>
      <c r="H30" s="8"/>
      <c r="I30" s="8"/>
      <c r="J30" s="8"/>
      <c r="K30" s="8"/>
      <c r="L30" s="8"/>
      <c r="M30" s="8"/>
      <c r="N30" s="8"/>
      <c r="O30" s="8"/>
      <c r="P30" s="8"/>
      <c r="Q30" s="8"/>
      <c r="R30" s="8"/>
      <c r="S30" s="8"/>
      <c r="T30" s="8"/>
      <c r="U30" s="8"/>
      <c r="V30" s="8"/>
      <c r="W30" s="8"/>
      <c r="X30" s="8"/>
      <c r="Y30" s="8"/>
      <c r="Z30" s="8"/>
    </row>
    <row r="31" spans="1:26" ht="12.75" customHeight="1" x14ac:dyDescent="0.25">
      <c r="A31" s="733" t="s">
        <v>88</v>
      </c>
      <c r="B31" s="733" t="s">
        <v>25</v>
      </c>
      <c r="C31" s="759" t="s">
        <v>89</v>
      </c>
      <c r="D31" s="1740" t="s">
        <v>90</v>
      </c>
      <c r="E31" s="1742"/>
      <c r="F31" s="1742"/>
      <c r="G31" s="1742"/>
      <c r="H31" s="1742"/>
      <c r="I31" s="1741"/>
      <c r="J31" s="8"/>
      <c r="K31" s="8"/>
      <c r="L31" s="8"/>
      <c r="M31" s="8"/>
      <c r="N31" s="8"/>
      <c r="O31" s="8"/>
      <c r="P31" s="8"/>
      <c r="Q31" s="8"/>
      <c r="R31" s="8"/>
      <c r="S31" s="8"/>
      <c r="T31" s="8"/>
      <c r="U31" s="8"/>
      <c r="V31" s="8"/>
      <c r="W31" s="8"/>
      <c r="X31" s="8"/>
      <c r="Y31" s="8"/>
      <c r="Z31" s="8"/>
    </row>
    <row r="32" spans="1:26" ht="15" customHeight="1" x14ac:dyDescent="0.2">
      <c r="A32" s="766" t="s">
        <v>663</v>
      </c>
      <c r="B32" s="761"/>
      <c r="C32" s="767"/>
      <c r="D32" s="1768"/>
      <c r="E32" s="1745"/>
      <c r="F32" s="1745"/>
      <c r="G32" s="1745"/>
      <c r="H32" s="1745"/>
      <c r="I32" s="1746"/>
      <c r="J32" s="8"/>
      <c r="K32" s="8"/>
      <c r="L32" s="8"/>
      <c r="M32" s="8"/>
      <c r="N32" s="8"/>
      <c r="O32" s="8"/>
      <c r="P32" s="8"/>
      <c r="Q32" s="8"/>
      <c r="R32" s="8"/>
      <c r="S32" s="8"/>
      <c r="T32" s="8"/>
      <c r="U32" s="8"/>
      <c r="V32" s="8"/>
      <c r="W32" s="8"/>
      <c r="X32" s="8"/>
      <c r="Y32" s="8"/>
      <c r="Z32" s="8"/>
    </row>
    <row r="33" spans="1:26" ht="15" customHeight="1" x14ac:dyDescent="0.2">
      <c r="A33" s="768"/>
      <c r="B33" s="769"/>
      <c r="C33" s="768"/>
      <c r="D33" s="1769"/>
      <c r="E33" s="1770"/>
      <c r="F33" s="1770"/>
      <c r="G33" s="1770"/>
      <c r="H33" s="1770"/>
      <c r="I33" s="1771"/>
      <c r="J33" s="8"/>
      <c r="K33" s="8"/>
      <c r="L33" s="8"/>
      <c r="M33" s="8"/>
      <c r="N33" s="8"/>
      <c r="O33" s="8"/>
      <c r="P33" s="8"/>
      <c r="Q33" s="8"/>
      <c r="R33" s="8"/>
      <c r="S33" s="8"/>
      <c r="T33" s="8"/>
      <c r="U33" s="8"/>
      <c r="V33" s="8"/>
      <c r="W33" s="8"/>
      <c r="X33" s="8"/>
      <c r="Y33" s="8"/>
      <c r="Z33" s="8"/>
    </row>
    <row r="34" spans="1:26" ht="15" customHeight="1" x14ac:dyDescent="0.2">
      <c r="A34" s="768"/>
      <c r="B34" s="769"/>
      <c r="C34" s="770"/>
      <c r="D34" s="1769"/>
      <c r="E34" s="1770"/>
      <c r="F34" s="1770"/>
      <c r="G34" s="1770"/>
      <c r="H34" s="1770"/>
      <c r="I34" s="1771"/>
      <c r="J34" s="8"/>
      <c r="K34" s="8"/>
      <c r="L34" s="8"/>
      <c r="M34" s="8"/>
      <c r="N34" s="8"/>
      <c r="O34" s="8"/>
      <c r="P34" s="8"/>
      <c r="Q34" s="8"/>
      <c r="R34" s="8"/>
      <c r="S34" s="8"/>
      <c r="T34" s="8"/>
      <c r="U34" s="8"/>
      <c r="V34" s="8"/>
      <c r="W34" s="8"/>
      <c r="X34" s="8"/>
      <c r="Y34" s="8"/>
      <c r="Z34" s="8"/>
    </row>
    <row r="35" spans="1:26" ht="12.75" customHeight="1" x14ac:dyDescent="0.25">
      <c r="A35" s="765" t="s">
        <v>34</v>
      </c>
      <c r="B35" s="734">
        <f>SUM(B32:B34)</f>
        <v>0</v>
      </c>
      <c r="C35" s="1772"/>
      <c r="D35" s="1742"/>
      <c r="E35" s="1742"/>
      <c r="F35" s="1742"/>
      <c r="G35" s="1742"/>
      <c r="H35" s="1742"/>
      <c r="I35" s="1767"/>
      <c r="J35" s="7"/>
      <c r="K35" s="7"/>
      <c r="L35" s="7"/>
      <c r="M35" s="7"/>
      <c r="N35" s="7"/>
      <c r="O35" s="7"/>
      <c r="P35" s="7"/>
      <c r="Q35" s="7"/>
      <c r="R35" s="7"/>
      <c r="S35" s="7"/>
      <c r="T35" s="7"/>
      <c r="U35" s="7"/>
      <c r="V35" s="7"/>
      <c r="W35" s="7"/>
      <c r="X35" s="7"/>
      <c r="Y35" s="7"/>
      <c r="Z35" s="7"/>
    </row>
    <row r="36" spans="1:26" ht="12.75" customHeight="1" x14ac:dyDescent="0.2">
      <c r="A36" s="8"/>
      <c r="B36" s="8"/>
      <c r="C36" s="116"/>
      <c r="D36" s="8"/>
      <c r="E36" s="8"/>
      <c r="F36" s="8"/>
      <c r="G36" s="8"/>
      <c r="H36" s="8"/>
      <c r="I36" s="8"/>
      <c r="J36" s="8"/>
      <c r="K36" s="8"/>
      <c r="L36" s="8"/>
      <c r="M36" s="8"/>
      <c r="N36" s="8"/>
      <c r="O36" s="8"/>
      <c r="P36" s="8"/>
      <c r="Q36" s="8"/>
      <c r="R36" s="8"/>
      <c r="S36" s="8"/>
      <c r="T36" s="8"/>
      <c r="U36" s="8"/>
      <c r="V36" s="8"/>
      <c r="W36" s="8"/>
      <c r="X36" s="8"/>
      <c r="Y36" s="8"/>
      <c r="Z36" s="8"/>
    </row>
    <row r="37" spans="1:26" ht="12.75" customHeight="1" x14ac:dyDescent="0.25">
      <c r="A37" s="1738" t="s">
        <v>119</v>
      </c>
      <c r="B37" s="1739"/>
      <c r="C37" s="1739"/>
      <c r="D37" s="1739"/>
      <c r="E37" s="1739"/>
      <c r="F37" s="1739"/>
      <c r="G37" s="1739"/>
      <c r="H37" s="1739"/>
      <c r="I37" s="1739"/>
      <c r="J37" s="8"/>
      <c r="K37" s="8"/>
      <c r="L37" s="8"/>
      <c r="M37" s="8"/>
      <c r="N37" s="8"/>
      <c r="O37" s="8"/>
      <c r="P37" s="8"/>
      <c r="Q37" s="8"/>
      <c r="R37" s="8"/>
      <c r="S37" s="8"/>
      <c r="T37" s="8"/>
      <c r="U37" s="8"/>
      <c r="V37" s="8"/>
      <c r="W37" s="8"/>
      <c r="X37" s="8"/>
      <c r="Y37" s="8"/>
      <c r="Z37" s="8"/>
    </row>
    <row r="38" spans="1:26" ht="12.75" customHeight="1" x14ac:dyDescent="0.2">
      <c r="A38" s="8"/>
      <c r="B38" s="8"/>
      <c r="C38" s="116"/>
      <c r="D38" s="8"/>
      <c r="E38" s="8"/>
      <c r="F38" s="8"/>
      <c r="G38" s="8"/>
      <c r="H38" s="8"/>
      <c r="I38" s="8"/>
      <c r="J38" s="8"/>
      <c r="K38" s="8"/>
      <c r="L38" s="8"/>
      <c r="M38" s="8"/>
      <c r="N38" s="8"/>
      <c r="O38" s="8"/>
      <c r="P38" s="8"/>
      <c r="Q38" s="8"/>
      <c r="R38" s="8"/>
      <c r="S38" s="8"/>
      <c r="T38" s="8"/>
      <c r="U38" s="8"/>
      <c r="V38" s="8"/>
      <c r="W38" s="8"/>
      <c r="X38" s="8"/>
      <c r="Y38" s="8"/>
      <c r="Z38" s="8"/>
    </row>
    <row r="39" spans="1:26" ht="12.75" customHeight="1" x14ac:dyDescent="0.25">
      <c r="A39" s="733" t="s">
        <v>88</v>
      </c>
      <c r="B39" s="733" t="s">
        <v>25</v>
      </c>
      <c r="C39" s="759" t="s">
        <v>89</v>
      </c>
      <c r="D39" s="1763" t="s">
        <v>90</v>
      </c>
      <c r="E39" s="1745"/>
      <c r="F39" s="1745"/>
      <c r="G39" s="1745"/>
      <c r="H39" s="1745"/>
      <c r="I39" s="1746"/>
      <c r="J39" s="8"/>
      <c r="K39" s="8"/>
      <c r="L39" s="8"/>
      <c r="M39" s="8"/>
      <c r="N39" s="8"/>
      <c r="O39" s="8"/>
      <c r="P39" s="8"/>
      <c r="Q39" s="8"/>
      <c r="R39" s="8"/>
      <c r="S39" s="8"/>
      <c r="T39" s="8"/>
      <c r="U39" s="8"/>
      <c r="V39" s="8"/>
      <c r="W39" s="8"/>
      <c r="X39" s="8"/>
      <c r="Y39" s="8"/>
      <c r="Z39" s="8"/>
    </row>
    <row r="40" spans="1:26" ht="15" customHeight="1" x14ac:dyDescent="0.25">
      <c r="A40" s="766" t="s">
        <v>664</v>
      </c>
      <c r="B40" s="761"/>
      <c r="C40" s="767"/>
      <c r="D40" s="1764"/>
      <c r="E40" s="1759"/>
      <c r="F40" s="1759"/>
      <c r="G40" s="1759"/>
      <c r="H40" s="1759"/>
      <c r="I40" s="1756"/>
      <c r="J40" s="8"/>
      <c r="K40" s="8"/>
      <c r="L40" s="8"/>
      <c r="M40" s="8"/>
      <c r="N40" s="8"/>
      <c r="O40" s="8"/>
      <c r="P40" s="8"/>
      <c r="Q40" s="8"/>
      <c r="R40" s="8"/>
      <c r="S40" s="8"/>
      <c r="T40" s="8"/>
      <c r="U40" s="8"/>
      <c r="V40" s="8"/>
      <c r="W40" s="8"/>
      <c r="X40" s="8"/>
      <c r="Y40" s="8"/>
      <c r="Z40" s="8"/>
    </row>
    <row r="41" spans="1:26" ht="15" customHeight="1" x14ac:dyDescent="0.25">
      <c r="A41" s="771"/>
      <c r="B41" s="763"/>
      <c r="C41" s="771"/>
      <c r="D41" s="1764"/>
      <c r="E41" s="1759"/>
      <c r="F41" s="1759"/>
      <c r="G41" s="1759"/>
      <c r="H41" s="1759"/>
      <c r="I41" s="1756"/>
      <c r="J41" s="8"/>
      <c r="K41" s="8"/>
      <c r="L41" s="8"/>
      <c r="M41" s="8"/>
      <c r="N41" s="8"/>
      <c r="O41" s="8"/>
      <c r="P41" s="8"/>
      <c r="Q41" s="8"/>
      <c r="R41" s="8"/>
      <c r="S41" s="8"/>
      <c r="T41" s="8"/>
      <c r="U41" s="8"/>
      <c r="V41" s="8"/>
      <c r="W41" s="8"/>
      <c r="X41" s="8"/>
      <c r="Y41" s="8"/>
      <c r="Z41" s="8"/>
    </row>
    <row r="42" spans="1:26" ht="15" customHeight="1" x14ac:dyDescent="0.25">
      <c r="A42" s="771"/>
      <c r="B42" s="763"/>
      <c r="C42" s="771"/>
      <c r="D42" s="1764"/>
      <c r="E42" s="1759"/>
      <c r="F42" s="1759"/>
      <c r="G42" s="1759"/>
      <c r="H42" s="1759"/>
      <c r="I42" s="1756"/>
      <c r="J42" s="8"/>
      <c r="K42" s="8"/>
      <c r="L42" s="8"/>
      <c r="M42" s="8"/>
      <c r="N42" s="8"/>
      <c r="O42" s="8"/>
      <c r="P42" s="8"/>
      <c r="Q42" s="8"/>
      <c r="R42" s="8"/>
      <c r="S42" s="8"/>
      <c r="T42" s="8"/>
      <c r="U42" s="8"/>
      <c r="V42" s="8"/>
      <c r="W42" s="8"/>
      <c r="X42" s="8"/>
      <c r="Y42" s="8"/>
      <c r="Z42" s="8"/>
    </row>
    <row r="43" spans="1:26" ht="12.75" customHeight="1" x14ac:dyDescent="0.25">
      <c r="A43" s="765" t="s">
        <v>34</v>
      </c>
      <c r="B43" s="734">
        <f>SUM(B40:B42)</f>
        <v>0</v>
      </c>
      <c r="C43" s="1765"/>
      <c r="D43" s="1742"/>
      <c r="E43" s="1742"/>
      <c r="F43" s="1742"/>
      <c r="G43" s="1742"/>
      <c r="H43" s="1742"/>
      <c r="I43" s="1741"/>
      <c r="J43" s="7"/>
      <c r="K43" s="7"/>
      <c r="L43" s="7"/>
      <c r="M43" s="7"/>
      <c r="N43" s="7"/>
      <c r="O43" s="7"/>
      <c r="P43" s="7"/>
      <c r="Q43" s="7"/>
      <c r="R43" s="7"/>
      <c r="S43" s="7"/>
      <c r="T43" s="7"/>
      <c r="U43" s="7"/>
      <c r="V43" s="7"/>
      <c r="W43" s="7"/>
      <c r="X43" s="7"/>
      <c r="Y43" s="7"/>
      <c r="Z43" s="7"/>
    </row>
    <row r="44" spans="1:26" ht="12.75" customHeight="1" x14ac:dyDescent="0.2">
      <c r="A44" s="8"/>
      <c r="B44" s="8"/>
      <c r="C44" s="116"/>
      <c r="D44" s="8"/>
      <c r="E44" s="8"/>
      <c r="F44" s="8"/>
      <c r="G44" s="8"/>
      <c r="H44" s="8"/>
      <c r="I44" s="8"/>
      <c r="J44" s="8"/>
      <c r="K44" s="8"/>
      <c r="L44" s="8"/>
      <c r="M44" s="8"/>
      <c r="N44" s="8"/>
      <c r="O44" s="8"/>
      <c r="P44" s="8"/>
      <c r="Q44" s="8"/>
      <c r="R44" s="8"/>
      <c r="S44" s="8"/>
      <c r="T44" s="8"/>
      <c r="U44" s="8"/>
      <c r="V44" s="8"/>
      <c r="W44" s="8"/>
      <c r="X44" s="8"/>
      <c r="Y44" s="8"/>
      <c r="Z44" s="8"/>
    </row>
    <row r="45" spans="1:26" ht="12.75" customHeight="1" x14ac:dyDescent="0.25">
      <c r="A45" s="1738" t="s">
        <v>120</v>
      </c>
      <c r="B45" s="1739"/>
      <c r="C45" s="1739"/>
      <c r="D45" s="1739"/>
      <c r="E45" s="1739"/>
      <c r="F45" s="1739"/>
      <c r="G45" s="1739"/>
      <c r="H45" s="1739"/>
      <c r="I45" s="1739"/>
      <c r="J45" s="8"/>
      <c r="K45" s="8"/>
      <c r="L45" s="8"/>
      <c r="M45" s="8"/>
      <c r="N45" s="8"/>
      <c r="O45" s="8"/>
      <c r="P45" s="8"/>
      <c r="Q45" s="8"/>
      <c r="R45" s="8"/>
      <c r="S45" s="8"/>
      <c r="T45" s="8"/>
      <c r="U45" s="8"/>
      <c r="V45" s="8"/>
      <c r="W45" s="8"/>
      <c r="X45" s="8"/>
      <c r="Y45" s="8"/>
      <c r="Z45" s="8"/>
    </row>
    <row r="46" spans="1:26" ht="12.75" customHeight="1" x14ac:dyDescent="0.2">
      <c r="A46" s="8"/>
      <c r="B46" s="8"/>
      <c r="C46" s="116"/>
      <c r="D46" s="8"/>
      <c r="E46" s="8"/>
      <c r="F46" s="8"/>
      <c r="G46" s="8"/>
      <c r="H46" s="8"/>
      <c r="I46" s="8"/>
      <c r="J46" s="8"/>
      <c r="K46" s="8"/>
      <c r="L46" s="8"/>
      <c r="M46" s="8"/>
      <c r="N46" s="8"/>
      <c r="O46" s="8"/>
      <c r="P46" s="8"/>
      <c r="Q46" s="8"/>
      <c r="R46" s="8"/>
      <c r="S46" s="8"/>
      <c r="T46" s="8"/>
      <c r="U46" s="8"/>
      <c r="V46" s="8"/>
      <c r="W46" s="8"/>
      <c r="X46" s="8"/>
      <c r="Y46" s="8"/>
      <c r="Z46" s="8"/>
    </row>
    <row r="47" spans="1:26" ht="12.75" customHeight="1" x14ac:dyDescent="0.25">
      <c r="A47" s="772" t="s">
        <v>25</v>
      </c>
      <c r="B47" s="773" t="s">
        <v>122</v>
      </c>
      <c r="C47" s="1775" t="s">
        <v>91</v>
      </c>
      <c r="D47" s="1745"/>
      <c r="E47" s="1745"/>
      <c r="F47" s="1745"/>
      <c r="G47" s="1745"/>
      <c r="H47" s="1745"/>
      <c r="I47" s="1746"/>
      <c r="J47" s="8"/>
      <c r="K47" s="8"/>
      <c r="L47" s="8"/>
      <c r="M47" s="8"/>
      <c r="N47" s="8"/>
      <c r="O47" s="8"/>
      <c r="P47" s="8"/>
      <c r="Q47" s="8"/>
      <c r="R47" s="8"/>
      <c r="S47" s="8"/>
      <c r="T47" s="8"/>
      <c r="U47" s="8"/>
      <c r="V47" s="8"/>
      <c r="W47" s="8"/>
      <c r="X47" s="8"/>
      <c r="Y47" s="8"/>
      <c r="Z47" s="8"/>
    </row>
    <row r="48" spans="1:26" ht="12.75" customHeight="1" x14ac:dyDescent="0.25">
      <c r="A48" s="762" t="s">
        <v>665</v>
      </c>
      <c r="B48" s="763"/>
      <c r="C48" s="1776"/>
      <c r="D48" s="1759"/>
      <c r="E48" s="1759"/>
      <c r="F48" s="1759"/>
      <c r="G48" s="1759"/>
      <c r="H48" s="1759"/>
      <c r="I48" s="1756"/>
      <c r="J48" s="8"/>
      <c r="K48" s="8"/>
      <c r="L48" s="8"/>
      <c r="M48" s="8"/>
      <c r="N48" s="8"/>
      <c r="O48" s="8"/>
      <c r="P48" s="8"/>
      <c r="Q48" s="8"/>
      <c r="R48" s="8"/>
      <c r="S48" s="8"/>
      <c r="T48" s="8"/>
      <c r="U48" s="8"/>
      <c r="V48" s="8"/>
      <c r="W48" s="8"/>
      <c r="X48" s="8"/>
      <c r="Y48" s="8"/>
      <c r="Z48" s="8"/>
    </row>
    <row r="49" spans="1:26" ht="12.75" customHeight="1" x14ac:dyDescent="0.25">
      <c r="A49" s="763"/>
      <c r="B49" s="763"/>
      <c r="C49" s="1776"/>
      <c r="D49" s="1759"/>
      <c r="E49" s="1759"/>
      <c r="F49" s="1759"/>
      <c r="G49" s="1759"/>
      <c r="H49" s="1759"/>
      <c r="I49" s="1756"/>
      <c r="J49" s="8"/>
      <c r="K49" s="8"/>
      <c r="L49" s="8"/>
      <c r="M49" s="8"/>
      <c r="N49" s="8"/>
      <c r="O49" s="8"/>
      <c r="P49" s="8"/>
      <c r="Q49" s="8"/>
      <c r="R49" s="8"/>
      <c r="S49" s="8"/>
      <c r="T49" s="8"/>
      <c r="U49" s="8"/>
      <c r="V49" s="8"/>
      <c r="W49" s="8"/>
      <c r="X49" s="8"/>
      <c r="Y49" s="8"/>
      <c r="Z49" s="8"/>
    </row>
    <row r="50" spans="1:26" ht="12.75" customHeight="1" x14ac:dyDescent="0.25">
      <c r="A50" s="769"/>
      <c r="B50" s="769"/>
      <c r="C50" s="1777"/>
      <c r="D50" s="1778"/>
      <c r="E50" s="1778"/>
      <c r="F50" s="1778"/>
      <c r="G50" s="1778"/>
      <c r="H50" s="1778"/>
      <c r="I50" s="1779"/>
      <c r="J50" s="8"/>
      <c r="K50" s="8"/>
      <c r="L50" s="8"/>
      <c r="M50" s="8"/>
      <c r="N50" s="8"/>
      <c r="O50" s="8"/>
      <c r="P50" s="8"/>
      <c r="Q50" s="8"/>
      <c r="R50" s="8"/>
      <c r="S50" s="8"/>
      <c r="T50" s="8"/>
      <c r="U50" s="8"/>
      <c r="V50" s="8"/>
      <c r="W50" s="8"/>
      <c r="X50" s="8"/>
      <c r="Y50" s="8"/>
      <c r="Z50" s="8"/>
    </row>
    <row r="51" spans="1:26" ht="12.75" customHeight="1" x14ac:dyDescent="0.25">
      <c r="A51" s="734"/>
      <c r="B51" s="734">
        <f>B48+B49+B50</f>
        <v>0</v>
      </c>
      <c r="C51" s="1780" t="s">
        <v>34</v>
      </c>
      <c r="D51" s="1742"/>
      <c r="E51" s="1742"/>
      <c r="F51" s="1742"/>
      <c r="G51" s="1742"/>
      <c r="H51" s="1742"/>
      <c r="I51" s="1741"/>
      <c r="J51" s="7"/>
      <c r="K51" s="7"/>
      <c r="L51" s="7"/>
      <c r="M51" s="7"/>
      <c r="N51" s="7"/>
      <c r="O51" s="7"/>
      <c r="P51" s="7"/>
      <c r="Q51" s="7"/>
      <c r="R51" s="7"/>
      <c r="S51" s="7"/>
      <c r="T51" s="7"/>
      <c r="U51" s="7"/>
      <c r="V51" s="7"/>
      <c r="W51" s="7"/>
      <c r="X51" s="7"/>
      <c r="Y51" s="7"/>
      <c r="Z51" s="7"/>
    </row>
    <row r="52" spans="1:26" ht="12.75" customHeight="1" x14ac:dyDescent="0.2">
      <c r="A52" s="8"/>
      <c r="B52" s="8"/>
      <c r="C52" s="116"/>
      <c r="D52" s="8"/>
      <c r="E52" s="8"/>
      <c r="F52" s="8"/>
      <c r="G52" s="8"/>
      <c r="H52" s="8"/>
      <c r="I52" s="8"/>
      <c r="J52" s="8"/>
      <c r="K52" s="8"/>
      <c r="L52" s="8"/>
      <c r="M52" s="8"/>
      <c r="N52" s="8"/>
      <c r="O52" s="8"/>
      <c r="P52" s="8"/>
      <c r="Q52" s="8"/>
      <c r="R52" s="8"/>
      <c r="S52" s="8"/>
      <c r="T52" s="8"/>
      <c r="U52" s="8"/>
      <c r="V52" s="8"/>
      <c r="W52" s="8"/>
      <c r="X52" s="8"/>
      <c r="Y52" s="8"/>
      <c r="Z52" s="8"/>
    </row>
    <row r="53" spans="1:26" ht="12.75" customHeight="1" x14ac:dyDescent="0.25">
      <c r="A53" s="1738" t="s">
        <v>123</v>
      </c>
      <c r="B53" s="1739"/>
      <c r="C53" s="1739"/>
      <c r="D53" s="1739"/>
      <c r="E53" s="1739"/>
      <c r="F53" s="1739"/>
      <c r="G53" s="1739"/>
      <c r="H53" s="1739"/>
      <c r="I53" s="1739"/>
      <c r="J53" s="8"/>
      <c r="K53" s="8"/>
      <c r="L53" s="8"/>
      <c r="M53" s="8"/>
      <c r="N53" s="8"/>
      <c r="O53" s="8"/>
      <c r="P53" s="8"/>
      <c r="Q53" s="8"/>
      <c r="R53" s="8"/>
      <c r="S53" s="8"/>
      <c r="T53" s="8"/>
      <c r="U53" s="8"/>
      <c r="V53" s="8"/>
      <c r="W53" s="8"/>
      <c r="X53" s="8"/>
      <c r="Y53" s="8"/>
      <c r="Z53" s="8"/>
    </row>
    <row r="54" spans="1:26" ht="12.75" customHeight="1" x14ac:dyDescent="0.2">
      <c r="A54" s="8"/>
      <c r="B54" s="8"/>
      <c r="C54" s="116"/>
      <c r="D54" s="8"/>
      <c r="E54" s="8"/>
      <c r="F54" s="8"/>
      <c r="G54" s="8"/>
      <c r="H54" s="8"/>
      <c r="I54" s="8"/>
      <c r="J54" s="8"/>
      <c r="K54" s="8"/>
      <c r="L54" s="8"/>
      <c r="M54" s="8"/>
      <c r="N54" s="8"/>
      <c r="O54" s="8"/>
      <c r="P54" s="8"/>
      <c r="Q54" s="8"/>
      <c r="R54" s="8"/>
      <c r="S54" s="8"/>
      <c r="T54" s="8"/>
      <c r="U54" s="8"/>
      <c r="V54" s="8"/>
      <c r="W54" s="8"/>
      <c r="X54" s="8"/>
      <c r="Y54" s="8"/>
      <c r="Z54" s="8"/>
    </row>
    <row r="55" spans="1:26" ht="11.25" customHeight="1" x14ac:dyDescent="0.2">
      <c r="A55" s="774" t="s">
        <v>666</v>
      </c>
      <c r="B55" s="774"/>
      <c r="C55" s="775"/>
      <c r="D55" s="775"/>
      <c r="E55" s="776"/>
      <c r="F55" s="8"/>
      <c r="G55" s="8"/>
      <c r="H55" s="8"/>
      <c r="I55" s="8"/>
      <c r="J55" s="8"/>
      <c r="K55" s="8"/>
      <c r="L55" s="8"/>
      <c r="M55" s="8"/>
      <c r="N55" s="8"/>
      <c r="O55" s="8"/>
      <c r="P55" s="8"/>
      <c r="Q55" s="8"/>
      <c r="R55" s="8"/>
      <c r="S55" s="8"/>
      <c r="T55" s="8"/>
      <c r="U55" s="8"/>
      <c r="V55" s="8"/>
      <c r="W55" s="8"/>
      <c r="X55" s="8"/>
      <c r="Y55" s="8"/>
      <c r="Z55" s="8"/>
    </row>
    <row r="56" spans="1:26" ht="11.25" customHeight="1" x14ac:dyDescent="0.25">
      <c r="A56" s="1740" t="s">
        <v>92</v>
      </c>
      <c r="B56" s="1741"/>
      <c r="C56" s="777" t="s">
        <v>621</v>
      </c>
      <c r="D56" s="777" t="s">
        <v>667</v>
      </c>
      <c r="E56" s="778" t="s">
        <v>668</v>
      </c>
      <c r="F56" s="777" t="s">
        <v>622</v>
      </c>
      <c r="G56" s="777" t="s">
        <v>623</v>
      </c>
      <c r="H56" s="8"/>
      <c r="I56" s="8"/>
      <c r="J56" s="8"/>
      <c r="K56" s="8"/>
      <c r="L56" s="8"/>
      <c r="M56" s="8"/>
      <c r="N56" s="8"/>
      <c r="O56" s="8"/>
      <c r="P56" s="8"/>
      <c r="Q56" s="8"/>
      <c r="R56" s="8"/>
      <c r="S56" s="8"/>
      <c r="T56" s="8"/>
      <c r="U56" s="8"/>
      <c r="V56" s="8"/>
      <c r="W56" s="8"/>
      <c r="X56" s="8"/>
      <c r="Y56" s="8"/>
      <c r="Z56" s="8"/>
    </row>
    <row r="57" spans="1:26" ht="11.25" customHeight="1" x14ac:dyDescent="0.25">
      <c r="A57" s="1773" t="s">
        <v>669</v>
      </c>
      <c r="B57" s="1748"/>
      <c r="C57" s="779">
        <v>521</v>
      </c>
      <c r="D57" s="779">
        <v>0</v>
      </c>
      <c r="E57" s="780" t="s">
        <v>670</v>
      </c>
      <c r="F57" s="781" t="s">
        <v>671</v>
      </c>
      <c r="G57" s="782">
        <v>43496</v>
      </c>
      <c r="H57" s="8"/>
      <c r="I57" s="8"/>
      <c r="J57" s="8"/>
      <c r="K57" s="8"/>
      <c r="L57" s="8"/>
      <c r="M57" s="8"/>
      <c r="N57" s="8"/>
      <c r="O57" s="8"/>
      <c r="P57" s="8"/>
      <c r="Q57" s="8"/>
      <c r="R57" s="8"/>
      <c r="S57" s="8"/>
      <c r="T57" s="8"/>
      <c r="U57" s="8"/>
      <c r="V57" s="8"/>
      <c r="W57" s="8"/>
      <c r="X57" s="8"/>
      <c r="Y57" s="8"/>
      <c r="Z57" s="8"/>
    </row>
    <row r="58" spans="1:26" ht="11.25" customHeight="1" x14ac:dyDescent="0.25">
      <c r="A58" s="1774" t="s">
        <v>672</v>
      </c>
      <c r="B58" s="1756"/>
      <c r="C58" s="783">
        <v>524</v>
      </c>
      <c r="D58" s="783">
        <v>0</v>
      </c>
      <c r="E58" s="784" t="s">
        <v>673</v>
      </c>
      <c r="F58" s="785" t="s">
        <v>671</v>
      </c>
      <c r="G58" s="786">
        <v>43496</v>
      </c>
      <c r="H58" s="8"/>
      <c r="I58" s="8"/>
      <c r="J58" s="8"/>
      <c r="K58" s="8"/>
      <c r="L58" s="8"/>
      <c r="M58" s="8"/>
      <c r="N58" s="8"/>
      <c r="O58" s="8"/>
      <c r="P58" s="8"/>
      <c r="Q58" s="8"/>
      <c r="R58" s="8"/>
      <c r="S58" s="8"/>
      <c r="T58" s="8"/>
      <c r="U58" s="8"/>
      <c r="V58" s="8"/>
      <c r="W58" s="8"/>
      <c r="X58" s="8"/>
      <c r="Y58" s="8"/>
      <c r="Z58" s="8"/>
    </row>
    <row r="59" spans="1:26" ht="11.25" customHeight="1" x14ac:dyDescent="0.25">
      <c r="A59" s="1774" t="s">
        <v>674</v>
      </c>
      <c r="B59" s="1756"/>
      <c r="C59" s="783">
        <v>527</v>
      </c>
      <c r="D59" s="783">
        <v>0</v>
      </c>
      <c r="E59" s="784" t="s">
        <v>675</v>
      </c>
      <c r="F59" s="785" t="s">
        <v>671</v>
      </c>
      <c r="G59" s="786">
        <v>43496</v>
      </c>
      <c r="H59" s="8"/>
      <c r="I59" s="8"/>
      <c r="J59" s="8"/>
      <c r="K59" s="8"/>
      <c r="L59" s="8"/>
      <c r="M59" s="8"/>
      <c r="N59" s="8"/>
      <c r="O59" s="8"/>
      <c r="P59" s="8"/>
      <c r="Q59" s="8"/>
      <c r="R59" s="8"/>
      <c r="S59" s="8"/>
      <c r="T59" s="8"/>
      <c r="U59" s="8"/>
      <c r="V59" s="8"/>
      <c r="W59" s="8"/>
      <c r="X59" s="8"/>
      <c r="Y59" s="8"/>
      <c r="Z59" s="8"/>
    </row>
    <row r="60" spans="1:26" ht="11.25" customHeight="1" x14ac:dyDescent="0.25">
      <c r="A60" s="1774" t="s">
        <v>676</v>
      </c>
      <c r="B60" s="1756"/>
      <c r="C60" s="783">
        <v>672</v>
      </c>
      <c r="D60" s="783" t="s">
        <v>677</v>
      </c>
      <c r="E60" s="784">
        <v>0</v>
      </c>
      <c r="F60" s="785" t="s">
        <v>671</v>
      </c>
      <c r="G60" s="786">
        <v>43496</v>
      </c>
      <c r="H60" s="8"/>
      <c r="I60" s="8"/>
      <c r="J60" s="8"/>
      <c r="K60" s="8"/>
      <c r="L60" s="8"/>
      <c r="M60" s="8"/>
      <c r="N60" s="8"/>
      <c r="O60" s="8"/>
      <c r="P60" s="8"/>
      <c r="Q60" s="8"/>
      <c r="R60" s="8"/>
      <c r="S60" s="8"/>
      <c r="T60" s="8"/>
      <c r="U60" s="8"/>
      <c r="V60" s="8"/>
      <c r="W60" s="8"/>
      <c r="X60" s="8"/>
      <c r="Y60" s="8"/>
      <c r="Z60" s="8"/>
    </row>
    <row r="61" spans="1:26" ht="11.25" customHeight="1" x14ac:dyDescent="0.25">
      <c r="A61" s="1774" t="s">
        <v>678</v>
      </c>
      <c r="B61" s="1756"/>
      <c r="C61" s="783">
        <v>555</v>
      </c>
      <c r="D61" s="783">
        <v>0</v>
      </c>
      <c r="E61" s="784" t="s">
        <v>679</v>
      </c>
      <c r="F61" s="785" t="s">
        <v>680</v>
      </c>
      <c r="G61" s="786">
        <v>43529</v>
      </c>
      <c r="H61" s="8"/>
      <c r="I61" s="8"/>
      <c r="J61" s="8"/>
      <c r="K61" s="8"/>
      <c r="L61" s="8"/>
      <c r="M61" s="8"/>
      <c r="N61" s="8"/>
      <c r="O61" s="8"/>
      <c r="P61" s="8"/>
      <c r="Q61" s="8"/>
      <c r="R61" s="8"/>
      <c r="S61" s="8"/>
      <c r="T61" s="8"/>
      <c r="U61" s="8"/>
      <c r="V61" s="8"/>
      <c r="W61" s="8"/>
      <c r="X61" s="8"/>
      <c r="Y61" s="8"/>
      <c r="Z61" s="8"/>
    </row>
    <row r="62" spans="1:26" ht="11.25" customHeight="1" x14ac:dyDescent="0.25">
      <c r="A62" s="1774" t="s">
        <v>678</v>
      </c>
      <c r="B62" s="1756"/>
      <c r="C62" s="783">
        <v>602</v>
      </c>
      <c r="D62" s="783" t="s">
        <v>681</v>
      </c>
      <c r="E62" s="784">
        <v>0</v>
      </c>
      <c r="F62" s="785" t="s">
        <v>680</v>
      </c>
      <c r="G62" s="786">
        <v>43529</v>
      </c>
      <c r="H62" s="8"/>
      <c r="I62" s="8"/>
      <c r="J62" s="8"/>
      <c r="K62" s="8"/>
      <c r="L62" s="8"/>
      <c r="M62" s="8"/>
      <c r="N62" s="8"/>
      <c r="O62" s="8"/>
      <c r="P62" s="8"/>
      <c r="Q62" s="8"/>
      <c r="R62" s="8"/>
      <c r="S62" s="8"/>
      <c r="T62" s="8"/>
      <c r="U62" s="8"/>
      <c r="V62" s="8"/>
      <c r="W62" s="8"/>
      <c r="X62" s="8"/>
      <c r="Y62" s="8"/>
      <c r="Z62" s="8"/>
    </row>
    <row r="63" spans="1:26" ht="11.25" customHeight="1" x14ac:dyDescent="0.25">
      <c r="A63" s="1774" t="s">
        <v>678</v>
      </c>
      <c r="B63" s="1756"/>
      <c r="C63" s="783">
        <v>521</v>
      </c>
      <c r="D63" s="783">
        <v>0</v>
      </c>
      <c r="E63" s="784" t="s">
        <v>682</v>
      </c>
      <c r="F63" s="785" t="s">
        <v>680</v>
      </c>
      <c r="G63" s="786">
        <v>43529</v>
      </c>
      <c r="H63" s="8"/>
      <c r="I63" s="8"/>
      <c r="J63" s="8"/>
      <c r="K63" s="8"/>
      <c r="L63" s="8"/>
      <c r="M63" s="8"/>
      <c r="N63" s="8"/>
      <c r="O63" s="8"/>
      <c r="P63" s="8"/>
      <c r="Q63" s="8"/>
      <c r="R63" s="8"/>
      <c r="S63" s="8"/>
      <c r="T63" s="8"/>
      <c r="U63" s="8"/>
      <c r="V63" s="8"/>
      <c r="W63" s="8"/>
      <c r="X63" s="8"/>
      <c r="Y63" s="8"/>
      <c r="Z63" s="8"/>
    </row>
    <row r="64" spans="1:26" ht="11.25" customHeight="1" x14ac:dyDescent="0.25">
      <c r="A64" s="1774" t="s">
        <v>678</v>
      </c>
      <c r="B64" s="1756"/>
      <c r="C64" s="783">
        <v>524</v>
      </c>
      <c r="D64" s="783">
        <v>0</v>
      </c>
      <c r="E64" s="784" t="s">
        <v>683</v>
      </c>
      <c r="F64" s="785" t="s">
        <v>680</v>
      </c>
      <c r="G64" s="786">
        <v>43529</v>
      </c>
      <c r="H64" s="8"/>
      <c r="I64" s="8"/>
      <c r="J64" s="8"/>
      <c r="K64" s="8"/>
      <c r="L64" s="8"/>
      <c r="M64" s="8"/>
      <c r="N64" s="8"/>
      <c r="O64" s="8"/>
      <c r="P64" s="8"/>
      <c r="Q64" s="8"/>
      <c r="R64" s="8"/>
      <c r="S64" s="8"/>
      <c r="T64" s="8"/>
      <c r="U64" s="8"/>
      <c r="V64" s="8"/>
      <c r="W64" s="8"/>
      <c r="X64" s="8"/>
      <c r="Y64" s="8"/>
      <c r="Z64" s="8"/>
    </row>
    <row r="65" spans="1:26" ht="11.25" customHeight="1" x14ac:dyDescent="0.25">
      <c r="A65" s="1774" t="s">
        <v>678</v>
      </c>
      <c r="B65" s="1756"/>
      <c r="C65" s="783">
        <v>525</v>
      </c>
      <c r="D65" s="783">
        <v>0</v>
      </c>
      <c r="E65" s="784" t="s">
        <v>684</v>
      </c>
      <c r="F65" s="785" t="s">
        <v>680</v>
      </c>
      <c r="G65" s="786">
        <v>43529</v>
      </c>
      <c r="H65" s="8"/>
      <c r="I65" s="8"/>
      <c r="J65" s="8"/>
      <c r="K65" s="8"/>
      <c r="L65" s="8"/>
      <c r="M65" s="8"/>
      <c r="N65" s="8"/>
      <c r="O65" s="8"/>
      <c r="P65" s="8"/>
      <c r="Q65" s="8"/>
      <c r="R65" s="8"/>
      <c r="S65" s="8"/>
      <c r="T65" s="8"/>
      <c r="U65" s="8"/>
      <c r="V65" s="8"/>
      <c r="W65" s="8"/>
      <c r="X65" s="8"/>
      <c r="Y65" s="8"/>
      <c r="Z65" s="8"/>
    </row>
    <row r="66" spans="1:26" ht="11.25" customHeight="1" x14ac:dyDescent="0.25">
      <c r="A66" s="1774" t="s">
        <v>678</v>
      </c>
      <c r="B66" s="1756"/>
      <c r="C66" s="783">
        <v>527</v>
      </c>
      <c r="D66" s="783">
        <v>0</v>
      </c>
      <c r="E66" s="784" t="s">
        <v>685</v>
      </c>
      <c r="F66" s="785" t="s">
        <v>680</v>
      </c>
      <c r="G66" s="786">
        <v>43529</v>
      </c>
      <c r="H66" s="8"/>
      <c r="I66" s="8"/>
      <c r="J66" s="8"/>
      <c r="K66" s="8"/>
      <c r="L66" s="8"/>
      <c r="M66" s="8"/>
      <c r="N66" s="8"/>
      <c r="O66" s="8"/>
      <c r="P66" s="8"/>
      <c r="Q66" s="8"/>
      <c r="R66" s="8"/>
      <c r="S66" s="8"/>
      <c r="T66" s="8"/>
      <c r="U66" s="8"/>
      <c r="V66" s="8"/>
      <c r="W66" s="8"/>
      <c r="X66" s="8"/>
      <c r="Y66" s="8"/>
      <c r="Z66" s="8"/>
    </row>
    <row r="67" spans="1:26" ht="11.25" customHeight="1" x14ac:dyDescent="0.25">
      <c r="A67" s="1774" t="s">
        <v>678</v>
      </c>
      <c r="B67" s="1756"/>
      <c r="C67" s="783">
        <v>501</v>
      </c>
      <c r="D67" s="783">
        <v>0</v>
      </c>
      <c r="E67" s="784" t="s">
        <v>686</v>
      </c>
      <c r="F67" s="785">
        <v>0</v>
      </c>
      <c r="G67" s="786">
        <v>43642</v>
      </c>
      <c r="H67" s="8"/>
      <c r="I67" s="8"/>
      <c r="J67" s="8"/>
      <c r="K67" s="8"/>
      <c r="L67" s="8"/>
      <c r="M67" s="8"/>
      <c r="N67" s="8"/>
      <c r="O67" s="8"/>
      <c r="P67" s="8"/>
      <c r="Q67" s="8"/>
      <c r="R67" s="8"/>
      <c r="S67" s="8"/>
      <c r="T67" s="8"/>
      <c r="U67" s="8"/>
      <c r="V67" s="8"/>
      <c r="W67" s="8"/>
      <c r="X67" s="8"/>
      <c r="Y67" s="8"/>
      <c r="Z67" s="8"/>
    </row>
    <row r="68" spans="1:26" ht="11.25" customHeight="1" x14ac:dyDescent="0.25">
      <c r="A68" s="1774" t="s">
        <v>678</v>
      </c>
      <c r="B68" s="1756"/>
      <c r="C68" s="783">
        <v>555</v>
      </c>
      <c r="D68" s="783">
        <v>0</v>
      </c>
      <c r="E68" s="784" t="s">
        <v>687</v>
      </c>
      <c r="F68" s="785">
        <v>0</v>
      </c>
      <c r="G68" s="786">
        <v>43642</v>
      </c>
      <c r="H68" s="8"/>
      <c r="I68" s="8"/>
      <c r="J68" s="8"/>
      <c r="K68" s="8"/>
      <c r="L68" s="8"/>
      <c r="M68" s="8"/>
      <c r="N68" s="8"/>
      <c r="O68" s="8"/>
      <c r="P68" s="8"/>
      <c r="Q68" s="8"/>
      <c r="R68" s="8"/>
      <c r="S68" s="8"/>
      <c r="T68" s="8"/>
      <c r="U68" s="8"/>
      <c r="V68" s="8"/>
      <c r="W68" s="8"/>
      <c r="X68" s="8"/>
      <c r="Y68" s="8"/>
      <c r="Z68" s="8"/>
    </row>
    <row r="69" spans="1:26" ht="11.25" customHeight="1" x14ac:dyDescent="0.25">
      <c r="A69" s="1774" t="s">
        <v>678</v>
      </c>
      <c r="B69" s="1756"/>
      <c r="C69" s="783">
        <v>602</v>
      </c>
      <c r="D69" s="783" t="s">
        <v>688</v>
      </c>
      <c r="E69" s="784">
        <v>0</v>
      </c>
      <c r="F69" s="785">
        <v>0</v>
      </c>
      <c r="G69" s="786">
        <v>43642</v>
      </c>
      <c r="H69" s="8"/>
      <c r="I69" s="8"/>
      <c r="J69" s="8"/>
      <c r="K69" s="8"/>
      <c r="L69" s="8"/>
      <c r="M69" s="8"/>
      <c r="N69" s="8"/>
      <c r="O69" s="8"/>
      <c r="P69" s="8"/>
      <c r="Q69" s="8"/>
      <c r="R69" s="8"/>
      <c r="S69" s="8"/>
      <c r="T69" s="8"/>
      <c r="U69" s="8"/>
      <c r="V69" s="8"/>
      <c r="W69" s="8"/>
      <c r="X69" s="8"/>
      <c r="Y69" s="8"/>
      <c r="Z69" s="8"/>
    </row>
    <row r="70" spans="1:26" ht="11.25" customHeight="1" x14ac:dyDescent="0.25">
      <c r="A70" s="1774" t="s">
        <v>678</v>
      </c>
      <c r="B70" s="1756"/>
      <c r="C70" s="783">
        <v>538</v>
      </c>
      <c r="D70" s="783">
        <v>0</v>
      </c>
      <c r="E70" s="784" t="s">
        <v>689</v>
      </c>
      <c r="F70" s="785">
        <v>0</v>
      </c>
      <c r="G70" s="786">
        <v>43642</v>
      </c>
      <c r="H70" s="8"/>
      <c r="I70" s="8"/>
      <c r="J70" s="8"/>
      <c r="K70" s="8"/>
      <c r="L70" s="8"/>
      <c r="M70" s="8"/>
      <c r="N70" s="8"/>
      <c r="O70" s="8"/>
      <c r="P70" s="8"/>
      <c r="Q70" s="8"/>
      <c r="R70" s="8"/>
      <c r="S70" s="8"/>
      <c r="T70" s="8"/>
      <c r="U70" s="8"/>
      <c r="V70" s="8"/>
      <c r="W70" s="8"/>
      <c r="X70" s="8"/>
      <c r="Y70" s="8"/>
      <c r="Z70" s="8"/>
    </row>
    <row r="71" spans="1:26" ht="11.25" customHeight="1" x14ac:dyDescent="0.25">
      <c r="A71" s="1774" t="s">
        <v>678</v>
      </c>
      <c r="B71" s="1756"/>
      <c r="C71" s="783">
        <v>542</v>
      </c>
      <c r="D71" s="783">
        <v>0</v>
      </c>
      <c r="E71" s="784" t="s">
        <v>689</v>
      </c>
      <c r="F71" s="785">
        <v>0</v>
      </c>
      <c r="G71" s="786">
        <v>43642</v>
      </c>
      <c r="H71" s="8"/>
      <c r="I71" s="8"/>
      <c r="J71" s="8"/>
      <c r="K71" s="8"/>
      <c r="L71" s="8"/>
      <c r="M71" s="8"/>
      <c r="N71" s="8"/>
      <c r="O71" s="8"/>
      <c r="P71" s="8"/>
      <c r="Q71" s="8"/>
      <c r="R71" s="8"/>
      <c r="S71" s="8"/>
      <c r="T71" s="8"/>
      <c r="U71" s="8"/>
      <c r="V71" s="8"/>
      <c r="W71" s="8"/>
      <c r="X71" s="8"/>
      <c r="Y71" s="8"/>
      <c r="Z71" s="8"/>
    </row>
    <row r="72" spans="1:26" ht="11.25" customHeight="1" x14ac:dyDescent="0.25">
      <c r="A72" s="1774" t="s">
        <v>690</v>
      </c>
      <c r="B72" s="1756"/>
      <c r="C72" s="783">
        <v>512</v>
      </c>
      <c r="D72" s="783">
        <v>0</v>
      </c>
      <c r="E72" s="784" t="s">
        <v>689</v>
      </c>
      <c r="F72" s="785">
        <v>0</v>
      </c>
      <c r="G72" s="786">
        <v>43642</v>
      </c>
      <c r="H72" s="8"/>
      <c r="I72" s="8"/>
      <c r="J72" s="8"/>
      <c r="K72" s="8"/>
      <c r="L72" s="8"/>
      <c r="M72" s="8"/>
      <c r="N72" s="8"/>
      <c r="O72" s="8"/>
      <c r="P72" s="8"/>
      <c r="Q72" s="8"/>
      <c r="R72" s="8"/>
      <c r="S72" s="8"/>
      <c r="T72" s="8"/>
      <c r="U72" s="8"/>
      <c r="V72" s="8"/>
      <c r="W72" s="8"/>
      <c r="X72" s="8"/>
      <c r="Y72" s="8"/>
      <c r="Z72" s="8"/>
    </row>
    <row r="73" spans="1:26" ht="11.25" customHeight="1" x14ac:dyDescent="0.25">
      <c r="A73" s="1774" t="s">
        <v>690</v>
      </c>
      <c r="B73" s="1756"/>
      <c r="C73" s="783">
        <v>513</v>
      </c>
      <c r="D73" s="783">
        <v>0</v>
      </c>
      <c r="E73" s="784" t="s">
        <v>691</v>
      </c>
      <c r="F73" s="785">
        <v>0</v>
      </c>
      <c r="G73" s="786">
        <v>43642</v>
      </c>
      <c r="H73" s="8"/>
      <c r="I73" s="8"/>
      <c r="J73" s="8"/>
      <c r="K73" s="8"/>
      <c r="L73" s="8"/>
      <c r="M73" s="8"/>
      <c r="N73" s="8"/>
      <c r="O73" s="8"/>
      <c r="P73" s="8"/>
      <c r="Q73" s="8"/>
      <c r="R73" s="8"/>
      <c r="S73" s="8"/>
      <c r="T73" s="8"/>
      <c r="U73" s="8"/>
      <c r="V73" s="8"/>
      <c r="W73" s="8"/>
      <c r="X73" s="8"/>
      <c r="Y73" s="8"/>
      <c r="Z73" s="8"/>
    </row>
    <row r="74" spans="1:26" ht="11.25" customHeight="1" x14ac:dyDescent="0.25">
      <c r="A74" s="1774" t="s">
        <v>692</v>
      </c>
      <c r="B74" s="1756"/>
      <c r="C74" s="783">
        <v>602</v>
      </c>
      <c r="D74" s="783" t="s">
        <v>693</v>
      </c>
      <c r="E74" s="784">
        <v>0</v>
      </c>
      <c r="F74" s="785">
        <v>0</v>
      </c>
      <c r="G74" s="786">
        <v>43642</v>
      </c>
      <c r="H74" s="8"/>
      <c r="I74" s="8"/>
      <c r="J74" s="8"/>
      <c r="K74" s="8"/>
      <c r="L74" s="8"/>
      <c r="M74" s="8"/>
      <c r="N74" s="8"/>
      <c r="O74" s="8"/>
      <c r="P74" s="8"/>
      <c r="Q74" s="8"/>
      <c r="R74" s="8"/>
      <c r="S74" s="8"/>
      <c r="T74" s="8"/>
      <c r="U74" s="8"/>
      <c r="V74" s="8"/>
      <c r="W74" s="8"/>
      <c r="X74" s="8"/>
      <c r="Y74" s="8"/>
      <c r="Z74" s="8"/>
    </row>
    <row r="75" spans="1:26" ht="11.25" customHeight="1" x14ac:dyDescent="0.25">
      <c r="A75" s="1774" t="s">
        <v>692</v>
      </c>
      <c r="B75" s="1756"/>
      <c r="C75" s="783">
        <v>558</v>
      </c>
      <c r="D75" s="783">
        <v>0</v>
      </c>
      <c r="E75" s="784" t="s">
        <v>694</v>
      </c>
      <c r="F75" s="785">
        <v>0</v>
      </c>
      <c r="G75" s="786">
        <v>43642</v>
      </c>
      <c r="H75" s="8"/>
      <c r="I75" s="8"/>
      <c r="J75" s="8"/>
      <c r="K75" s="8"/>
      <c r="L75" s="8"/>
      <c r="M75" s="8"/>
      <c r="N75" s="8"/>
      <c r="O75" s="8"/>
      <c r="P75" s="8"/>
      <c r="Q75" s="8"/>
      <c r="R75" s="8"/>
      <c r="S75" s="8"/>
      <c r="T75" s="8"/>
      <c r="U75" s="8"/>
      <c r="V75" s="8"/>
      <c r="W75" s="8"/>
      <c r="X75" s="8"/>
      <c r="Y75" s="8"/>
      <c r="Z75" s="8"/>
    </row>
    <row r="76" spans="1:26" ht="11.25" customHeight="1" x14ac:dyDescent="0.25">
      <c r="A76" s="1774" t="s">
        <v>692</v>
      </c>
      <c r="B76" s="1756"/>
      <c r="C76" s="783">
        <v>549</v>
      </c>
      <c r="D76" s="783">
        <v>0</v>
      </c>
      <c r="E76" s="784" t="s">
        <v>694</v>
      </c>
      <c r="F76" s="785">
        <v>0</v>
      </c>
      <c r="G76" s="786">
        <v>43642</v>
      </c>
      <c r="H76" s="8"/>
      <c r="I76" s="8"/>
      <c r="J76" s="8"/>
      <c r="K76" s="8"/>
      <c r="L76" s="8"/>
      <c r="M76" s="8"/>
      <c r="N76" s="8"/>
      <c r="O76" s="8"/>
      <c r="P76" s="8"/>
      <c r="Q76" s="8"/>
      <c r="R76" s="8"/>
      <c r="S76" s="8"/>
      <c r="T76" s="8"/>
      <c r="U76" s="8"/>
      <c r="V76" s="8"/>
      <c r="W76" s="8"/>
      <c r="X76" s="8"/>
      <c r="Y76" s="8"/>
      <c r="Z76" s="8"/>
    </row>
    <row r="77" spans="1:26" ht="11.25" customHeight="1" x14ac:dyDescent="0.25">
      <c r="A77" s="1774" t="s">
        <v>692</v>
      </c>
      <c r="B77" s="1756"/>
      <c r="C77" s="783">
        <v>602</v>
      </c>
      <c r="D77" s="783" t="s">
        <v>695</v>
      </c>
      <c r="E77" s="784">
        <v>0</v>
      </c>
      <c r="F77" s="785">
        <v>0</v>
      </c>
      <c r="G77" s="786">
        <v>43642</v>
      </c>
      <c r="H77" s="8"/>
      <c r="I77" s="8"/>
      <c r="J77" s="8"/>
      <c r="K77" s="8"/>
      <c r="L77" s="8"/>
      <c r="M77" s="8"/>
      <c r="N77" s="8"/>
      <c r="O77" s="8"/>
      <c r="P77" s="8"/>
      <c r="Q77" s="8"/>
      <c r="R77" s="8"/>
      <c r="S77" s="8"/>
      <c r="T77" s="8"/>
      <c r="U77" s="8"/>
      <c r="V77" s="8"/>
      <c r="W77" s="8"/>
      <c r="X77" s="8"/>
      <c r="Y77" s="8"/>
      <c r="Z77" s="8"/>
    </row>
    <row r="78" spans="1:26" ht="11.25" customHeight="1" x14ac:dyDescent="0.25">
      <c r="A78" s="1774" t="s">
        <v>692</v>
      </c>
      <c r="B78" s="1756"/>
      <c r="C78" s="783">
        <v>511</v>
      </c>
      <c r="D78" s="783">
        <v>0</v>
      </c>
      <c r="E78" s="784" t="s">
        <v>695</v>
      </c>
      <c r="F78" s="785">
        <v>0</v>
      </c>
      <c r="G78" s="786">
        <v>43642</v>
      </c>
      <c r="H78" s="8"/>
      <c r="I78" s="8"/>
      <c r="J78" s="8"/>
      <c r="K78" s="8"/>
      <c r="L78" s="8"/>
      <c r="M78" s="8"/>
      <c r="N78" s="8"/>
      <c r="O78" s="8"/>
      <c r="P78" s="8"/>
      <c r="Q78" s="8"/>
      <c r="R78" s="8"/>
      <c r="S78" s="8"/>
      <c r="T78" s="8"/>
      <c r="U78" s="8"/>
      <c r="V78" s="8"/>
      <c r="W78" s="8"/>
      <c r="X78" s="8"/>
      <c r="Y78" s="8"/>
      <c r="Z78" s="8"/>
    </row>
    <row r="79" spans="1:26" ht="11.25" customHeight="1" x14ac:dyDescent="0.25">
      <c r="A79" s="1774" t="s">
        <v>692</v>
      </c>
      <c r="B79" s="1756"/>
      <c r="C79" s="783">
        <v>501</v>
      </c>
      <c r="D79" s="783">
        <v>0</v>
      </c>
      <c r="E79" s="784" t="s">
        <v>696</v>
      </c>
      <c r="F79" s="785">
        <v>0</v>
      </c>
      <c r="G79" s="786">
        <v>43642</v>
      </c>
      <c r="H79" s="8"/>
      <c r="I79" s="8"/>
      <c r="J79" s="8"/>
      <c r="K79" s="8"/>
      <c r="L79" s="8"/>
      <c r="M79" s="8"/>
      <c r="N79" s="8"/>
      <c r="O79" s="8"/>
      <c r="P79" s="8"/>
      <c r="Q79" s="8"/>
      <c r="R79" s="8"/>
      <c r="S79" s="8"/>
      <c r="T79" s="8"/>
      <c r="U79" s="8"/>
      <c r="V79" s="8"/>
      <c r="W79" s="8"/>
      <c r="X79" s="8"/>
      <c r="Y79" s="8"/>
      <c r="Z79" s="8"/>
    </row>
    <row r="80" spans="1:26" ht="11.25" customHeight="1" x14ac:dyDescent="0.25">
      <c r="A80" s="1774" t="s">
        <v>692</v>
      </c>
      <c r="B80" s="1756"/>
      <c r="C80" s="783">
        <v>602</v>
      </c>
      <c r="D80" s="783" t="s">
        <v>697</v>
      </c>
      <c r="E80" s="784">
        <v>0</v>
      </c>
      <c r="F80" s="785">
        <v>0</v>
      </c>
      <c r="G80" s="786">
        <v>43642</v>
      </c>
      <c r="H80" s="8"/>
      <c r="I80" s="8"/>
      <c r="J80" s="8"/>
      <c r="K80" s="8"/>
      <c r="L80" s="8"/>
      <c r="M80" s="8"/>
      <c r="N80" s="8"/>
      <c r="O80" s="8"/>
      <c r="P80" s="8"/>
      <c r="Q80" s="8"/>
      <c r="R80" s="8"/>
      <c r="S80" s="8"/>
      <c r="T80" s="8"/>
      <c r="U80" s="8"/>
      <c r="V80" s="8"/>
      <c r="W80" s="8"/>
      <c r="X80" s="8"/>
      <c r="Y80" s="8"/>
      <c r="Z80" s="8"/>
    </row>
    <row r="81" spans="1:26" ht="11.25" customHeight="1" x14ac:dyDescent="0.25">
      <c r="A81" s="1774" t="s">
        <v>692</v>
      </c>
      <c r="B81" s="1756"/>
      <c r="C81" s="783">
        <v>511</v>
      </c>
      <c r="D81" s="783">
        <v>0</v>
      </c>
      <c r="E81" s="784" t="s">
        <v>698</v>
      </c>
      <c r="F81" s="785">
        <v>0</v>
      </c>
      <c r="G81" s="786">
        <v>43642</v>
      </c>
      <c r="H81" s="8"/>
      <c r="I81" s="8"/>
      <c r="J81" s="8"/>
      <c r="K81" s="8"/>
      <c r="L81" s="8"/>
      <c r="M81" s="8"/>
      <c r="N81" s="8"/>
      <c r="O81" s="8"/>
      <c r="P81" s="8"/>
      <c r="Q81" s="8"/>
      <c r="R81" s="8"/>
      <c r="S81" s="8"/>
      <c r="T81" s="8"/>
      <c r="U81" s="8"/>
      <c r="V81" s="8"/>
      <c r="W81" s="8"/>
      <c r="X81" s="8"/>
      <c r="Y81" s="8"/>
      <c r="Z81" s="8"/>
    </row>
    <row r="82" spans="1:26" ht="11.25" customHeight="1" x14ac:dyDescent="0.25">
      <c r="A82" s="1774" t="s">
        <v>692</v>
      </c>
      <c r="B82" s="1756"/>
      <c r="C82" s="783">
        <v>518</v>
      </c>
      <c r="D82" s="783">
        <v>0</v>
      </c>
      <c r="E82" s="784" t="s">
        <v>699</v>
      </c>
      <c r="F82" s="785">
        <v>0</v>
      </c>
      <c r="G82" s="786">
        <v>43642</v>
      </c>
      <c r="H82" s="8"/>
      <c r="I82" s="8"/>
      <c r="J82" s="8"/>
      <c r="K82" s="8"/>
      <c r="L82" s="8"/>
      <c r="M82" s="8"/>
      <c r="N82" s="8"/>
      <c r="O82" s="8"/>
      <c r="P82" s="8"/>
      <c r="Q82" s="8"/>
      <c r="R82" s="8"/>
      <c r="S82" s="8"/>
      <c r="T82" s="8"/>
      <c r="U82" s="8"/>
      <c r="V82" s="8"/>
      <c r="W82" s="8"/>
      <c r="X82" s="8"/>
      <c r="Y82" s="8"/>
      <c r="Z82" s="8"/>
    </row>
    <row r="83" spans="1:26" ht="11.25" customHeight="1" x14ac:dyDescent="0.25">
      <c r="A83" s="1774" t="s">
        <v>700</v>
      </c>
      <c r="B83" s="1756"/>
      <c r="C83" s="783">
        <v>518</v>
      </c>
      <c r="D83" s="783">
        <v>0</v>
      </c>
      <c r="E83" s="784" t="s">
        <v>701</v>
      </c>
      <c r="F83" s="785">
        <v>0</v>
      </c>
      <c r="G83" s="786">
        <v>43642</v>
      </c>
      <c r="H83" s="8"/>
      <c r="I83" s="8"/>
      <c r="J83" s="8"/>
      <c r="K83" s="8"/>
      <c r="L83" s="8"/>
      <c r="M83" s="8"/>
      <c r="N83" s="8"/>
      <c r="O83" s="8"/>
      <c r="P83" s="8"/>
      <c r="Q83" s="8"/>
      <c r="R83" s="8"/>
      <c r="S83" s="8"/>
      <c r="T83" s="8"/>
      <c r="U83" s="8"/>
      <c r="V83" s="8"/>
      <c r="W83" s="8"/>
      <c r="X83" s="8"/>
      <c r="Y83" s="8"/>
      <c r="Z83" s="8"/>
    </row>
    <row r="84" spans="1:26" ht="11.25" customHeight="1" x14ac:dyDescent="0.25">
      <c r="A84" s="1774" t="s">
        <v>700</v>
      </c>
      <c r="B84" s="1756"/>
      <c r="C84" s="783">
        <v>602</v>
      </c>
      <c r="D84" s="783" t="s">
        <v>701</v>
      </c>
      <c r="E84" s="784">
        <v>0</v>
      </c>
      <c r="F84" s="785">
        <v>0</v>
      </c>
      <c r="G84" s="786">
        <v>43642</v>
      </c>
      <c r="H84" s="8"/>
      <c r="I84" s="8"/>
      <c r="J84" s="8"/>
      <c r="K84" s="8"/>
      <c r="L84" s="8"/>
      <c r="M84" s="8"/>
      <c r="N84" s="8"/>
      <c r="O84" s="8"/>
      <c r="P84" s="8"/>
      <c r="Q84" s="8"/>
      <c r="R84" s="8"/>
      <c r="S84" s="8"/>
      <c r="T84" s="8"/>
      <c r="U84" s="8"/>
      <c r="V84" s="8"/>
      <c r="W84" s="8"/>
      <c r="X84" s="8"/>
      <c r="Y84" s="8"/>
      <c r="Z84" s="8"/>
    </row>
    <row r="85" spans="1:26" ht="11.25" customHeight="1" x14ac:dyDescent="0.25">
      <c r="A85" s="1774" t="s">
        <v>702</v>
      </c>
      <c r="B85" s="1756"/>
      <c r="C85" s="783">
        <v>649</v>
      </c>
      <c r="D85" s="783" t="s">
        <v>703</v>
      </c>
      <c r="E85" s="784">
        <v>0</v>
      </c>
      <c r="F85" s="785">
        <v>0</v>
      </c>
      <c r="G85" s="787">
        <v>43829</v>
      </c>
      <c r="H85" s="8"/>
      <c r="I85" s="8"/>
      <c r="J85" s="8"/>
      <c r="K85" s="8"/>
      <c r="L85" s="8"/>
      <c r="M85" s="8"/>
      <c r="N85" s="8"/>
      <c r="O85" s="8"/>
      <c r="P85" s="8"/>
      <c r="Q85" s="8"/>
      <c r="R85" s="8"/>
      <c r="S85" s="8"/>
      <c r="T85" s="8"/>
      <c r="U85" s="8"/>
      <c r="V85" s="8"/>
      <c r="W85" s="8"/>
      <c r="X85" s="8"/>
      <c r="Y85" s="8"/>
      <c r="Z85" s="8"/>
    </row>
    <row r="86" spans="1:26" ht="11.25" customHeight="1" x14ac:dyDescent="0.25">
      <c r="A86" s="1774" t="s">
        <v>702</v>
      </c>
      <c r="B86" s="1756"/>
      <c r="C86" s="783">
        <v>511</v>
      </c>
      <c r="D86" s="783">
        <v>0</v>
      </c>
      <c r="E86" s="784" t="s">
        <v>703</v>
      </c>
      <c r="F86" s="785">
        <v>0</v>
      </c>
      <c r="G86" s="787">
        <v>43829</v>
      </c>
      <c r="H86" s="8"/>
      <c r="I86" s="8"/>
      <c r="J86" s="8"/>
      <c r="K86" s="8"/>
      <c r="L86" s="8"/>
      <c r="M86" s="8"/>
      <c r="N86" s="8"/>
      <c r="O86" s="8"/>
      <c r="P86" s="8"/>
      <c r="Q86" s="8"/>
      <c r="R86" s="8"/>
      <c r="S86" s="8"/>
      <c r="T86" s="8"/>
      <c r="U86" s="8"/>
      <c r="V86" s="8"/>
      <c r="W86" s="8"/>
      <c r="X86" s="8"/>
      <c r="Y86" s="8"/>
      <c r="Z86" s="8"/>
    </row>
    <row r="87" spans="1:26" ht="11.25" customHeight="1" x14ac:dyDescent="0.25">
      <c r="A87" s="1774" t="s">
        <v>525</v>
      </c>
      <c r="B87" s="1756"/>
      <c r="C87" s="783">
        <v>648</v>
      </c>
      <c r="D87" s="783" t="s">
        <v>704</v>
      </c>
      <c r="E87" s="784">
        <v>0</v>
      </c>
      <c r="F87" s="785">
        <v>0</v>
      </c>
      <c r="G87" s="787">
        <v>43829</v>
      </c>
      <c r="H87" s="8"/>
      <c r="I87" s="8"/>
      <c r="J87" s="8"/>
      <c r="K87" s="8"/>
      <c r="L87" s="8"/>
      <c r="M87" s="8"/>
      <c r="N87" s="8"/>
      <c r="O87" s="8"/>
      <c r="P87" s="8"/>
      <c r="Q87" s="8"/>
      <c r="R87" s="8"/>
      <c r="S87" s="8"/>
      <c r="T87" s="8"/>
      <c r="U87" s="8"/>
      <c r="V87" s="8"/>
      <c r="W87" s="8"/>
      <c r="X87" s="8"/>
      <c r="Y87" s="8"/>
      <c r="Z87" s="8"/>
    </row>
    <row r="88" spans="1:26" ht="11.25" customHeight="1" x14ac:dyDescent="0.25">
      <c r="A88" s="1774" t="s">
        <v>525</v>
      </c>
      <c r="B88" s="1756"/>
      <c r="C88" s="783">
        <v>521</v>
      </c>
      <c r="D88" s="783">
        <v>0</v>
      </c>
      <c r="E88" s="784" t="s">
        <v>704</v>
      </c>
      <c r="F88" s="785">
        <v>0</v>
      </c>
      <c r="G88" s="787">
        <v>43829</v>
      </c>
      <c r="H88" s="8"/>
      <c r="I88" s="8"/>
      <c r="J88" s="8"/>
      <c r="K88" s="8"/>
      <c r="L88" s="8"/>
      <c r="M88" s="8"/>
      <c r="N88" s="8"/>
      <c r="O88" s="8"/>
      <c r="P88" s="8"/>
      <c r="Q88" s="8"/>
      <c r="R88" s="8"/>
      <c r="S88" s="8"/>
      <c r="T88" s="8"/>
      <c r="U88" s="8"/>
      <c r="V88" s="8"/>
      <c r="W88" s="8"/>
      <c r="X88" s="8"/>
      <c r="Y88" s="8"/>
      <c r="Z88" s="8"/>
    </row>
    <row r="89" spans="1:26" ht="11.25" customHeight="1" x14ac:dyDescent="0.25">
      <c r="A89" s="1774" t="s">
        <v>705</v>
      </c>
      <c r="B89" s="1756"/>
      <c r="C89" s="783">
        <v>648</v>
      </c>
      <c r="D89" s="783" t="s">
        <v>706</v>
      </c>
      <c r="E89" s="784">
        <v>0</v>
      </c>
      <c r="F89" s="785">
        <v>0</v>
      </c>
      <c r="G89" s="787">
        <v>43829</v>
      </c>
      <c r="H89" s="8"/>
      <c r="I89" s="8"/>
      <c r="J89" s="8"/>
      <c r="K89" s="8"/>
      <c r="L89" s="8"/>
      <c r="M89" s="8"/>
      <c r="N89" s="8"/>
      <c r="O89" s="8"/>
      <c r="P89" s="8"/>
      <c r="Q89" s="8"/>
      <c r="R89" s="8"/>
      <c r="S89" s="8"/>
      <c r="T89" s="8"/>
      <c r="U89" s="8"/>
      <c r="V89" s="8"/>
      <c r="W89" s="8"/>
      <c r="X89" s="8"/>
      <c r="Y89" s="8"/>
      <c r="Z89" s="8"/>
    </row>
    <row r="90" spans="1:26" ht="11.25" customHeight="1" x14ac:dyDescent="0.25">
      <c r="A90" s="1774" t="s">
        <v>705</v>
      </c>
      <c r="B90" s="1756"/>
      <c r="C90" s="783">
        <v>542</v>
      </c>
      <c r="D90" s="783">
        <v>0</v>
      </c>
      <c r="E90" s="784" t="s">
        <v>706</v>
      </c>
      <c r="F90" s="785">
        <v>0</v>
      </c>
      <c r="G90" s="787">
        <v>43829</v>
      </c>
      <c r="H90" s="8"/>
      <c r="I90" s="8"/>
      <c r="J90" s="8"/>
      <c r="K90" s="8"/>
      <c r="L90" s="8"/>
      <c r="M90" s="8"/>
      <c r="N90" s="8"/>
      <c r="O90" s="8"/>
      <c r="P90" s="8"/>
      <c r="Q90" s="8"/>
      <c r="R90" s="8"/>
      <c r="S90" s="8"/>
      <c r="T90" s="8"/>
      <c r="U90" s="8"/>
      <c r="V90" s="8"/>
      <c r="W90" s="8"/>
      <c r="X90" s="8"/>
      <c r="Y90" s="8"/>
      <c r="Z90" s="8"/>
    </row>
    <row r="91" spans="1:26" ht="11.25" customHeight="1" x14ac:dyDescent="0.25">
      <c r="A91" s="1774" t="s">
        <v>707</v>
      </c>
      <c r="B91" s="1756"/>
      <c r="C91" s="783">
        <v>649</v>
      </c>
      <c r="D91" s="783" t="s">
        <v>708</v>
      </c>
      <c r="E91" s="784">
        <v>0</v>
      </c>
      <c r="F91" s="785">
        <v>0</v>
      </c>
      <c r="G91" s="787">
        <v>43829</v>
      </c>
      <c r="H91" s="8"/>
      <c r="I91" s="8"/>
      <c r="J91" s="8"/>
      <c r="K91" s="8"/>
      <c r="L91" s="8"/>
      <c r="M91" s="8"/>
      <c r="N91" s="8"/>
      <c r="O91" s="8"/>
      <c r="P91" s="8"/>
      <c r="Q91" s="8"/>
      <c r="R91" s="8"/>
      <c r="S91" s="8"/>
      <c r="T91" s="8"/>
      <c r="U91" s="8"/>
      <c r="V91" s="8"/>
      <c r="W91" s="8"/>
      <c r="X91" s="8"/>
      <c r="Y91" s="8"/>
      <c r="Z91" s="8"/>
    </row>
    <row r="92" spans="1:26" ht="11.25" customHeight="1" x14ac:dyDescent="0.25">
      <c r="A92" s="1774" t="s">
        <v>709</v>
      </c>
      <c r="B92" s="1756"/>
      <c r="C92" s="783">
        <v>501</v>
      </c>
      <c r="D92" s="783">
        <v>0</v>
      </c>
      <c r="E92" s="784" t="s">
        <v>710</v>
      </c>
      <c r="F92" s="785">
        <v>0</v>
      </c>
      <c r="G92" s="787">
        <v>43829</v>
      </c>
      <c r="H92" s="8"/>
      <c r="I92" s="8"/>
      <c r="J92" s="8"/>
      <c r="K92" s="8"/>
      <c r="L92" s="8"/>
      <c r="M92" s="8"/>
      <c r="N92" s="8"/>
      <c r="O92" s="8"/>
      <c r="P92" s="8"/>
      <c r="Q92" s="8"/>
      <c r="R92" s="8"/>
      <c r="S92" s="8"/>
      <c r="T92" s="8"/>
      <c r="U92" s="8"/>
      <c r="V92" s="8"/>
      <c r="W92" s="8"/>
      <c r="X92" s="8"/>
      <c r="Y92" s="8"/>
      <c r="Z92" s="8"/>
    </row>
    <row r="93" spans="1:26" ht="11.25" customHeight="1" x14ac:dyDescent="0.25">
      <c r="A93" s="1774" t="s">
        <v>709</v>
      </c>
      <c r="B93" s="1756"/>
      <c r="C93" s="783">
        <v>513</v>
      </c>
      <c r="D93" s="783">
        <v>0</v>
      </c>
      <c r="E93" s="784" t="s">
        <v>711</v>
      </c>
      <c r="F93" s="785">
        <v>0</v>
      </c>
      <c r="G93" s="787">
        <v>43829</v>
      </c>
      <c r="H93" s="8"/>
      <c r="I93" s="8"/>
      <c r="J93" s="8"/>
      <c r="K93" s="8"/>
      <c r="L93" s="8"/>
      <c r="M93" s="8"/>
      <c r="N93" s="8"/>
      <c r="O93" s="8"/>
      <c r="P93" s="8"/>
      <c r="Q93" s="8"/>
      <c r="R93" s="8"/>
      <c r="S93" s="8"/>
      <c r="T93" s="8"/>
      <c r="U93" s="8"/>
      <c r="V93" s="8"/>
      <c r="W93" s="8"/>
      <c r="X93" s="8"/>
      <c r="Y93" s="8"/>
      <c r="Z93" s="8"/>
    </row>
    <row r="94" spans="1:26" ht="11.25" customHeight="1" x14ac:dyDescent="0.25">
      <c r="A94" s="1774" t="s">
        <v>709</v>
      </c>
      <c r="B94" s="1756"/>
      <c r="C94" s="783">
        <v>518</v>
      </c>
      <c r="D94" s="783">
        <v>0</v>
      </c>
      <c r="E94" s="784" t="s">
        <v>712</v>
      </c>
      <c r="F94" s="785">
        <v>0</v>
      </c>
      <c r="G94" s="787">
        <v>43829</v>
      </c>
      <c r="H94" s="8"/>
      <c r="I94" s="8"/>
      <c r="J94" s="8"/>
      <c r="K94" s="8"/>
      <c r="L94" s="8"/>
      <c r="M94" s="8"/>
      <c r="N94" s="8"/>
      <c r="O94" s="8"/>
      <c r="P94" s="8"/>
      <c r="Q94" s="8"/>
      <c r="R94" s="8"/>
      <c r="S94" s="8"/>
      <c r="T94" s="8"/>
      <c r="U94" s="8"/>
      <c r="V94" s="8"/>
      <c r="W94" s="8"/>
      <c r="X94" s="8"/>
      <c r="Y94" s="8"/>
      <c r="Z94" s="8"/>
    </row>
    <row r="95" spans="1:26" ht="11.25" customHeight="1" x14ac:dyDescent="0.25">
      <c r="A95" s="1774" t="s">
        <v>709</v>
      </c>
      <c r="B95" s="1756"/>
      <c r="C95" s="783">
        <v>549</v>
      </c>
      <c r="D95" s="783">
        <v>0</v>
      </c>
      <c r="E95" s="784" t="s">
        <v>713</v>
      </c>
      <c r="F95" s="785">
        <v>0</v>
      </c>
      <c r="G95" s="787">
        <v>43829</v>
      </c>
      <c r="H95" s="8"/>
      <c r="I95" s="8"/>
      <c r="J95" s="8"/>
      <c r="K95" s="8"/>
      <c r="L95" s="8"/>
      <c r="M95" s="8"/>
      <c r="N95" s="8"/>
      <c r="O95" s="8"/>
      <c r="P95" s="8"/>
      <c r="Q95" s="8"/>
      <c r="R95" s="8"/>
      <c r="S95" s="8"/>
      <c r="T95" s="8"/>
      <c r="U95" s="8"/>
      <c r="V95" s="8"/>
      <c r="W95" s="8"/>
      <c r="X95" s="8"/>
      <c r="Y95" s="8"/>
      <c r="Z95" s="8"/>
    </row>
    <row r="96" spans="1:26" ht="11.25" customHeight="1" x14ac:dyDescent="0.25">
      <c r="A96" s="1774" t="s">
        <v>709</v>
      </c>
      <c r="B96" s="1756"/>
      <c r="C96" s="783">
        <v>558</v>
      </c>
      <c r="D96" s="783">
        <v>0</v>
      </c>
      <c r="E96" s="784" t="s">
        <v>714</v>
      </c>
      <c r="F96" s="785">
        <v>0</v>
      </c>
      <c r="G96" s="787">
        <v>43829</v>
      </c>
      <c r="H96" s="8"/>
      <c r="I96" s="8"/>
      <c r="J96" s="8"/>
      <c r="K96" s="8"/>
      <c r="L96" s="8"/>
      <c r="M96" s="8"/>
      <c r="N96" s="8"/>
      <c r="O96" s="8"/>
      <c r="P96" s="8"/>
      <c r="Q96" s="8"/>
      <c r="R96" s="8"/>
      <c r="S96" s="8"/>
      <c r="T96" s="8"/>
      <c r="U96" s="8"/>
      <c r="V96" s="8"/>
      <c r="W96" s="8"/>
      <c r="X96" s="8"/>
      <c r="Y96" s="8"/>
      <c r="Z96" s="8"/>
    </row>
    <row r="97" spans="1:26" ht="11.25" customHeight="1" x14ac:dyDescent="0.25">
      <c r="A97" s="1774" t="s">
        <v>715</v>
      </c>
      <c r="B97" s="1756"/>
      <c r="C97" s="783">
        <v>521</v>
      </c>
      <c r="D97" s="783">
        <v>0</v>
      </c>
      <c r="E97" s="784" t="s">
        <v>716</v>
      </c>
      <c r="F97" s="785">
        <v>0</v>
      </c>
      <c r="G97" s="787">
        <v>43829</v>
      </c>
      <c r="H97" s="8"/>
      <c r="I97" s="8"/>
      <c r="J97" s="8"/>
      <c r="K97" s="8"/>
      <c r="L97" s="8"/>
      <c r="M97" s="8"/>
      <c r="N97" s="8"/>
      <c r="O97" s="8"/>
      <c r="P97" s="8"/>
      <c r="Q97" s="8"/>
      <c r="R97" s="8"/>
      <c r="S97" s="8"/>
      <c r="T97" s="8"/>
      <c r="U97" s="8"/>
      <c r="V97" s="8"/>
      <c r="W97" s="8"/>
      <c r="X97" s="8"/>
      <c r="Y97" s="8"/>
      <c r="Z97" s="8"/>
    </row>
    <row r="98" spans="1:26" ht="11.25" customHeight="1" x14ac:dyDescent="0.25">
      <c r="A98" s="1774" t="s">
        <v>715</v>
      </c>
      <c r="B98" s="1756"/>
      <c r="C98" s="783">
        <v>524</v>
      </c>
      <c r="D98" s="783">
        <v>0</v>
      </c>
      <c r="E98" s="784" t="s">
        <v>717</v>
      </c>
      <c r="F98" s="785">
        <v>0</v>
      </c>
      <c r="G98" s="787">
        <v>43829</v>
      </c>
      <c r="H98" s="8"/>
      <c r="I98" s="8"/>
      <c r="J98" s="8"/>
      <c r="K98" s="8"/>
      <c r="L98" s="8"/>
      <c r="M98" s="8"/>
      <c r="N98" s="8"/>
      <c r="O98" s="8"/>
      <c r="P98" s="8"/>
      <c r="Q98" s="8"/>
      <c r="R98" s="8"/>
      <c r="S98" s="8"/>
      <c r="T98" s="8"/>
      <c r="U98" s="8"/>
      <c r="V98" s="8"/>
      <c r="W98" s="8"/>
      <c r="X98" s="8"/>
      <c r="Y98" s="8"/>
      <c r="Z98" s="8"/>
    </row>
    <row r="99" spans="1:26" ht="11.25" customHeight="1" x14ac:dyDescent="0.25">
      <c r="A99" s="1774" t="s">
        <v>715</v>
      </c>
      <c r="B99" s="1756"/>
      <c r="C99" s="783">
        <v>525</v>
      </c>
      <c r="D99" s="783">
        <v>0</v>
      </c>
      <c r="E99" s="784" t="s">
        <v>718</v>
      </c>
      <c r="F99" s="785">
        <v>0</v>
      </c>
      <c r="G99" s="787">
        <v>43829</v>
      </c>
      <c r="H99" s="8"/>
      <c r="I99" s="8"/>
      <c r="J99" s="8"/>
      <c r="K99" s="8"/>
      <c r="L99" s="8"/>
      <c r="M99" s="8"/>
      <c r="N99" s="8"/>
      <c r="O99" s="8"/>
      <c r="P99" s="8"/>
      <c r="Q99" s="8"/>
      <c r="R99" s="8"/>
      <c r="S99" s="8"/>
      <c r="T99" s="8"/>
      <c r="U99" s="8"/>
      <c r="V99" s="8"/>
      <c r="W99" s="8"/>
      <c r="X99" s="8"/>
      <c r="Y99" s="8"/>
      <c r="Z99" s="8"/>
    </row>
    <row r="100" spans="1:26" ht="11.25" customHeight="1" x14ac:dyDescent="0.25">
      <c r="A100" s="1774" t="s">
        <v>715</v>
      </c>
      <c r="B100" s="1756"/>
      <c r="C100" s="783">
        <v>527</v>
      </c>
      <c r="D100" s="783">
        <v>0</v>
      </c>
      <c r="E100" s="784" t="s">
        <v>719</v>
      </c>
      <c r="F100" s="785">
        <v>0</v>
      </c>
      <c r="G100" s="787">
        <v>43829</v>
      </c>
      <c r="H100" s="8"/>
      <c r="I100" s="8"/>
      <c r="J100" s="8"/>
      <c r="K100" s="8"/>
      <c r="L100" s="8"/>
      <c r="M100" s="8"/>
      <c r="N100" s="8"/>
      <c r="O100" s="8"/>
      <c r="P100" s="8"/>
      <c r="Q100" s="8"/>
      <c r="R100" s="8"/>
      <c r="S100" s="8"/>
      <c r="T100" s="8"/>
      <c r="U100" s="8"/>
      <c r="V100" s="8"/>
      <c r="W100" s="8"/>
      <c r="X100" s="8"/>
      <c r="Y100" s="8"/>
      <c r="Z100" s="8"/>
    </row>
    <row r="101" spans="1:26" ht="11.25" customHeight="1" x14ac:dyDescent="0.25">
      <c r="A101" s="1774" t="s">
        <v>720</v>
      </c>
      <c r="B101" s="1756"/>
      <c r="C101" s="783">
        <v>602</v>
      </c>
      <c r="D101" s="783" t="s">
        <v>721</v>
      </c>
      <c r="E101" s="784">
        <v>0</v>
      </c>
      <c r="F101" s="785">
        <v>0</v>
      </c>
      <c r="G101" s="787">
        <v>43829</v>
      </c>
      <c r="H101" s="8"/>
      <c r="I101" s="8"/>
      <c r="J101" s="8"/>
      <c r="K101" s="8"/>
      <c r="L101" s="8"/>
      <c r="M101" s="8"/>
      <c r="N101" s="8"/>
      <c r="O101" s="8"/>
      <c r="P101" s="8"/>
      <c r="Q101" s="8"/>
      <c r="R101" s="8"/>
      <c r="S101" s="8"/>
      <c r="T101" s="8"/>
      <c r="U101" s="8"/>
      <c r="V101" s="8"/>
      <c r="W101" s="8"/>
      <c r="X101" s="8"/>
      <c r="Y101" s="8"/>
      <c r="Z101" s="8"/>
    </row>
    <row r="102" spans="1:26" ht="11.25" customHeight="1" x14ac:dyDescent="0.25">
      <c r="A102" s="1774" t="s">
        <v>720</v>
      </c>
      <c r="B102" s="1756"/>
      <c r="C102" s="783">
        <v>662</v>
      </c>
      <c r="D102" s="783" t="s">
        <v>722</v>
      </c>
      <c r="E102" s="784">
        <v>0</v>
      </c>
      <c r="F102" s="785">
        <v>0</v>
      </c>
      <c r="G102" s="787">
        <v>43829</v>
      </c>
      <c r="H102" s="8"/>
      <c r="I102" s="8"/>
      <c r="J102" s="8"/>
      <c r="K102" s="8"/>
      <c r="L102" s="8"/>
      <c r="M102" s="8"/>
      <c r="N102" s="8"/>
      <c r="O102" s="8"/>
      <c r="P102" s="8"/>
      <c r="Q102" s="8"/>
      <c r="R102" s="8"/>
      <c r="S102" s="8"/>
      <c r="T102" s="8"/>
      <c r="U102" s="8"/>
      <c r="V102" s="8"/>
      <c r="W102" s="8"/>
      <c r="X102" s="8"/>
      <c r="Y102" s="8"/>
      <c r="Z102" s="8"/>
    </row>
    <row r="103" spans="1:26" ht="11.25" customHeight="1" x14ac:dyDescent="0.25">
      <c r="A103" s="1774" t="s">
        <v>720</v>
      </c>
      <c r="B103" s="1756"/>
      <c r="C103" s="783">
        <v>649</v>
      </c>
      <c r="D103" s="783" t="s">
        <v>723</v>
      </c>
      <c r="E103" s="784">
        <v>0</v>
      </c>
      <c r="F103" s="785">
        <v>0</v>
      </c>
      <c r="G103" s="787">
        <v>43829</v>
      </c>
      <c r="H103" s="8"/>
      <c r="I103" s="8"/>
      <c r="J103" s="8"/>
      <c r="K103" s="8"/>
      <c r="L103" s="8"/>
      <c r="M103" s="8"/>
      <c r="N103" s="8"/>
      <c r="O103" s="8"/>
      <c r="P103" s="8"/>
      <c r="Q103" s="8"/>
      <c r="R103" s="8"/>
      <c r="S103" s="8"/>
      <c r="T103" s="8"/>
      <c r="U103" s="8"/>
      <c r="V103" s="8"/>
      <c r="W103" s="8"/>
      <c r="X103" s="8"/>
      <c r="Y103" s="8"/>
      <c r="Z103" s="8"/>
    </row>
    <row r="104" spans="1:26" ht="11.25" customHeight="1" x14ac:dyDescent="0.25">
      <c r="A104" s="1774" t="s">
        <v>724</v>
      </c>
      <c r="B104" s="1756"/>
      <c r="C104" s="783">
        <v>511</v>
      </c>
      <c r="D104" s="783">
        <v>0</v>
      </c>
      <c r="E104" s="784" t="s">
        <v>723</v>
      </c>
      <c r="F104" s="785">
        <v>0</v>
      </c>
      <c r="G104" s="787">
        <v>43829</v>
      </c>
      <c r="H104" s="8"/>
      <c r="I104" s="8"/>
      <c r="J104" s="8"/>
      <c r="K104" s="8"/>
      <c r="L104" s="8"/>
      <c r="M104" s="8"/>
      <c r="N104" s="8"/>
      <c r="O104" s="8"/>
      <c r="P104" s="8"/>
      <c r="Q104" s="8"/>
      <c r="R104" s="8"/>
      <c r="S104" s="8"/>
      <c r="T104" s="8"/>
      <c r="U104" s="8"/>
      <c r="V104" s="8"/>
      <c r="W104" s="8"/>
      <c r="X104" s="8"/>
      <c r="Y104" s="8"/>
      <c r="Z104" s="8"/>
    </row>
    <row r="105" spans="1:26" ht="11.25" customHeight="1" x14ac:dyDescent="0.25">
      <c r="A105" s="1774" t="s">
        <v>725</v>
      </c>
      <c r="B105" s="1756"/>
      <c r="C105" s="783">
        <v>602</v>
      </c>
      <c r="D105" s="783" t="s">
        <v>726</v>
      </c>
      <c r="E105" s="784">
        <v>0</v>
      </c>
      <c r="F105" s="785">
        <v>0</v>
      </c>
      <c r="G105" s="787">
        <v>43829</v>
      </c>
      <c r="H105" s="8"/>
      <c r="I105" s="8"/>
      <c r="J105" s="8"/>
      <c r="K105" s="8"/>
      <c r="L105" s="8"/>
      <c r="M105" s="8"/>
      <c r="N105" s="8"/>
      <c r="O105" s="8"/>
      <c r="P105" s="8"/>
      <c r="Q105" s="8"/>
      <c r="R105" s="8"/>
      <c r="S105" s="8"/>
      <c r="T105" s="8"/>
      <c r="U105" s="8"/>
      <c r="V105" s="8"/>
      <c r="W105" s="8"/>
      <c r="X105" s="8"/>
      <c r="Y105" s="8"/>
      <c r="Z105" s="8"/>
    </row>
    <row r="106" spans="1:26" ht="11.25" customHeight="1" x14ac:dyDescent="0.25">
      <c r="A106" s="1774" t="s">
        <v>727</v>
      </c>
      <c r="B106" s="1756"/>
      <c r="C106" s="783">
        <v>501</v>
      </c>
      <c r="D106" s="783">
        <v>0</v>
      </c>
      <c r="E106" s="784" t="s">
        <v>728</v>
      </c>
      <c r="F106" s="785">
        <v>0</v>
      </c>
      <c r="G106" s="787">
        <v>43829</v>
      </c>
      <c r="H106" s="8"/>
      <c r="I106" s="8"/>
      <c r="J106" s="8"/>
      <c r="K106" s="8"/>
      <c r="L106" s="8"/>
      <c r="M106" s="8"/>
      <c r="N106" s="8"/>
      <c r="O106" s="8"/>
      <c r="P106" s="8"/>
      <c r="Q106" s="8"/>
      <c r="R106" s="8"/>
      <c r="S106" s="8"/>
      <c r="T106" s="8"/>
      <c r="U106" s="8"/>
      <c r="V106" s="8"/>
      <c r="W106" s="8"/>
      <c r="X106" s="8"/>
      <c r="Y106" s="8"/>
      <c r="Z106" s="8"/>
    </row>
    <row r="107" spans="1:26" ht="11.25" customHeight="1" x14ac:dyDescent="0.25">
      <c r="A107" s="1774" t="s">
        <v>727</v>
      </c>
      <c r="B107" s="1756"/>
      <c r="C107" s="783">
        <v>512</v>
      </c>
      <c r="D107" s="783">
        <v>0</v>
      </c>
      <c r="E107" s="784" t="s">
        <v>729</v>
      </c>
      <c r="F107" s="785">
        <v>0</v>
      </c>
      <c r="G107" s="787">
        <v>43829</v>
      </c>
      <c r="H107" s="8"/>
      <c r="I107" s="8"/>
      <c r="J107" s="8"/>
      <c r="K107" s="8"/>
      <c r="L107" s="8"/>
      <c r="M107" s="8"/>
      <c r="N107" s="8"/>
      <c r="O107" s="8"/>
      <c r="P107" s="8"/>
      <c r="Q107" s="8"/>
      <c r="R107" s="8"/>
      <c r="S107" s="8"/>
      <c r="T107" s="8"/>
      <c r="U107" s="8"/>
      <c r="V107" s="8"/>
      <c r="W107" s="8"/>
      <c r="X107" s="8"/>
      <c r="Y107" s="8"/>
      <c r="Z107" s="8"/>
    </row>
    <row r="108" spans="1:26" ht="11.25" customHeight="1" x14ac:dyDescent="0.25">
      <c r="A108" s="1774" t="s">
        <v>727</v>
      </c>
      <c r="B108" s="1756"/>
      <c r="C108" s="783">
        <v>513</v>
      </c>
      <c r="D108" s="783">
        <v>0</v>
      </c>
      <c r="E108" s="784">
        <v>561</v>
      </c>
      <c r="F108" s="785">
        <v>0</v>
      </c>
      <c r="G108" s="787">
        <v>43829</v>
      </c>
      <c r="H108" s="8"/>
      <c r="I108" s="8"/>
      <c r="J108" s="8"/>
      <c r="K108" s="8"/>
      <c r="L108" s="8"/>
      <c r="M108" s="8"/>
      <c r="N108" s="8"/>
      <c r="O108" s="8"/>
      <c r="P108" s="8"/>
      <c r="Q108" s="8"/>
      <c r="R108" s="8"/>
      <c r="S108" s="8"/>
      <c r="T108" s="8"/>
      <c r="U108" s="8"/>
      <c r="V108" s="8"/>
      <c r="W108" s="8"/>
      <c r="X108" s="8"/>
      <c r="Y108" s="8"/>
      <c r="Z108" s="8"/>
    </row>
    <row r="109" spans="1:26" ht="11.25" customHeight="1" x14ac:dyDescent="0.25">
      <c r="A109" s="1774" t="s">
        <v>727</v>
      </c>
      <c r="B109" s="1756"/>
      <c r="C109" s="783">
        <v>518</v>
      </c>
      <c r="D109" s="783">
        <v>0</v>
      </c>
      <c r="E109" s="784" t="s">
        <v>730</v>
      </c>
      <c r="F109" s="785">
        <v>0</v>
      </c>
      <c r="G109" s="787">
        <v>43829</v>
      </c>
      <c r="H109" s="8"/>
      <c r="I109" s="8"/>
      <c r="J109" s="8"/>
      <c r="K109" s="8"/>
      <c r="L109" s="8"/>
      <c r="M109" s="8"/>
      <c r="N109" s="8"/>
      <c r="O109" s="8"/>
      <c r="P109" s="8"/>
      <c r="Q109" s="8"/>
      <c r="R109" s="8"/>
      <c r="S109" s="8"/>
      <c r="T109" s="8"/>
      <c r="U109" s="8"/>
      <c r="V109" s="8"/>
      <c r="W109" s="8"/>
      <c r="X109" s="8"/>
      <c r="Y109" s="8"/>
      <c r="Z109" s="8"/>
    </row>
    <row r="110" spans="1:26" ht="11.25" customHeight="1" x14ac:dyDescent="0.25">
      <c r="A110" s="1774" t="s">
        <v>727</v>
      </c>
      <c r="B110" s="1756"/>
      <c r="C110" s="783">
        <v>558</v>
      </c>
      <c r="D110" s="783">
        <v>0</v>
      </c>
      <c r="E110" s="784" t="s">
        <v>731</v>
      </c>
      <c r="F110" s="785">
        <v>0</v>
      </c>
      <c r="G110" s="787">
        <v>43829</v>
      </c>
      <c r="H110" s="8"/>
      <c r="I110" s="8"/>
      <c r="J110" s="8"/>
      <c r="K110" s="8"/>
      <c r="L110" s="8"/>
      <c r="M110" s="8"/>
      <c r="N110" s="8"/>
      <c r="O110" s="8"/>
      <c r="P110" s="8"/>
      <c r="Q110" s="8"/>
      <c r="R110" s="8"/>
      <c r="S110" s="8"/>
      <c r="T110" s="8"/>
      <c r="U110" s="8"/>
      <c r="V110" s="8"/>
      <c r="W110" s="8"/>
      <c r="X110" s="8"/>
      <c r="Y110" s="8"/>
      <c r="Z110" s="8"/>
    </row>
    <row r="111" spans="1:26" ht="11.25" customHeight="1" x14ac:dyDescent="0.25">
      <c r="A111" s="1774" t="s">
        <v>727</v>
      </c>
      <c r="B111" s="1756"/>
      <c r="C111" s="783">
        <v>549</v>
      </c>
      <c r="D111" s="783">
        <v>0</v>
      </c>
      <c r="E111" s="784" t="s">
        <v>732</v>
      </c>
      <c r="F111" s="785">
        <v>0</v>
      </c>
      <c r="G111" s="787">
        <v>43829</v>
      </c>
      <c r="H111" s="8"/>
      <c r="I111" s="8"/>
      <c r="J111" s="8"/>
      <c r="K111" s="8"/>
      <c r="L111" s="8"/>
      <c r="M111" s="8"/>
      <c r="N111" s="8"/>
      <c r="O111" s="8"/>
      <c r="P111" s="8"/>
      <c r="Q111" s="8"/>
      <c r="R111" s="8"/>
      <c r="S111" s="8"/>
      <c r="T111" s="8"/>
      <c r="U111" s="8"/>
      <c r="V111" s="8"/>
      <c r="W111" s="8"/>
      <c r="X111" s="8"/>
      <c r="Y111" s="8"/>
      <c r="Z111" s="8"/>
    </row>
    <row r="112" spans="1:26" ht="11.25" customHeight="1" x14ac:dyDescent="0.25">
      <c r="A112" s="1774" t="s">
        <v>727</v>
      </c>
      <c r="B112" s="1756"/>
      <c r="C112" s="783">
        <v>511</v>
      </c>
      <c r="D112" s="783">
        <v>0</v>
      </c>
      <c r="E112" s="784" t="s">
        <v>733</v>
      </c>
      <c r="F112" s="785">
        <v>0</v>
      </c>
      <c r="G112" s="787">
        <v>43829</v>
      </c>
      <c r="H112" s="8"/>
      <c r="I112" s="8"/>
      <c r="J112" s="8"/>
      <c r="K112" s="8"/>
      <c r="L112" s="8"/>
      <c r="M112" s="8"/>
      <c r="N112" s="8"/>
      <c r="O112" s="8"/>
      <c r="P112" s="8"/>
      <c r="Q112" s="8"/>
      <c r="R112" s="8"/>
      <c r="S112" s="8"/>
      <c r="T112" s="8"/>
      <c r="U112" s="8"/>
      <c r="V112" s="8"/>
      <c r="W112" s="8"/>
      <c r="X112" s="8"/>
      <c r="Y112" s="8"/>
      <c r="Z112" s="8"/>
    </row>
    <row r="113" spans="1:26" ht="11.25" customHeight="1" x14ac:dyDescent="0.25">
      <c r="A113" s="1774" t="s">
        <v>727</v>
      </c>
      <c r="B113" s="1756"/>
      <c r="C113" s="783">
        <v>538</v>
      </c>
      <c r="D113" s="783">
        <v>0</v>
      </c>
      <c r="E113" s="784" t="s">
        <v>734</v>
      </c>
      <c r="F113" s="785">
        <v>0</v>
      </c>
      <c r="G113" s="787">
        <v>43829</v>
      </c>
      <c r="H113" s="8"/>
      <c r="I113" s="8"/>
      <c r="J113" s="8"/>
      <c r="K113" s="8"/>
      <c r="L113" s="8"/>
      <c r="M113" s="8"/>
      <c r="N113" s="8"/>
      <c r="O113" s="8"/>
      <c r="P113" s="8"/>
      <c r="Q113" s="8"/>
      <c r="R113" s="8"/>
      <c r="S113" s="8"/>
      <c r="T113" s="8"/>
      <c r="U113" s="8"/>
      <c r="V113" s="8"/>
      <c r="W113" s="8"/>
      <c r="X113" s="8"/>
      <c r="Y113" s="8"/>
      <c r="Z113" s="8"/>
    </row>
    <row r="114" spans="1:26" ht="11.25" customHeight="1" x14ac:dyDescent="0.25">
      <c r="A114" s="1774" t="s">
        <v>727</v>
      </c>
      <c r="B114" s="1756"/>
      <c r="C114" s="783">
        <v>563</v>
      </c>
      <c r="D114" s="783">
        <v>0</v>
      </c>
      <c r="E114" s="784">
        <v>424.8</v>
      </c>
      <c r="F114" s="785">
        <v>0</v>
      </c>
      <c r="G114" s="787">
        <v>43829</v>
      </c>
      <c r="H114" s="8"/>
      <c r="I114" s="8"/>
      <c r="J114" s="8"/>
      <c r="K114" s="8"/>
      <c r="L114" s="8"/>
      <c r="M114" s="8"/>
      <c r="N114" s="8"/>
      <c r="O114" s="8"/>
      <c r="P114" s="8"/>
      <c r="Q114" s="8"/>
      <c r="R114" s="8"/>
      <c r="S114" s="8"/>
      <c r="T114" s="8"/>
      <c r="U114" s="8"/>
      <c r="V114" s="8"/>
      <c r="W114" s="8"/>
      <c r="X114" s="8"/>
      <c r="Y114" s="8"/>
      <c r="Z114" s="8"/>
    </row>
    <row r="115" spans="1:26" ht="11.25" customHeight="1" x14ac:dyDescent="0.25">
      <c r="A115" s="1774" t="s">
        <v>735</v>
      </c>
      <c r="B115" s="1756"/>
      <c r="C115" s="783">
        <v>502</v>
      </c>
      <c r="D115" s="783">
        <v>0</v>
      </c>
      <c r="E115" s="784" t="s">
        <v>736</v>
      </c>
      <c r="F115" s="785">
        <v>0</v>
      </c>
      <c r="G115" s="787">
        <v>43817</v>
      </c>
      <c r="H115" s="8"/>
      <c r="I115" s="8"/>
      <c r="J115" s="8"/>
      <c r="K115" s="8"/>
      <c r="L115" s="8"/>
      <c r="M115" s="8"/>
      <c r="N115" s="8"/>
      <c r="O115" s="8"/>
      <c r="P115" s="8"/>
      <c r="Q115" s="8"/>
      <c r="R115" s="8"/>
      <c r="S115" s="8"/>
      <c r="T115" s="8"/>
      <c r="U115" s="8"/>
      <c r="V115" s="8"/>
      <c r="W115" s="8"/>
      <c r="X115" s="8"/>
      <c r="Y115" s="8"/>
      <c r="Z115" s="8"/>
    </row>
    <row r="116" spans="1:26" ht="11.25" customHeight="1" x14ac:dyDescent="0.25">
      <c r="A116" s="1774" t="s">
        <v>735</v>
      </c>
      <c r="B116" s="1756"/>
      <c r="C116" s="783">
        <v>511</v>
      </c>
      <c r="D116" s="783">
        <v>0</v>
      </c>
      <c r="E116" s="784" t="s">
        <v>697</v>
      </c>
      <c r="F116" s="785">
        <v>0</v>
      </c>
      <c r="G116" s="787">
        <v>43817</v>
      </c>
      <c r="H116" s="8"/>
      <c r="I116" s="8"/>
      <c r="J116" s="8"/>
      <c r="K116" s="8"/>
      <c r="L116" s="8"/>
      <c r="M116" s="8"/>
      <c r="N116" s="8"/>
      <c r="O116" s="8"/>
      <c r="P116" s="8"/>
      <c r="Q116" s="8"/>
      <c r="R116" s="8"/>
      <c r="S116" s="8"/>
      <c r="T116" s="8"/>
      <c r="U116" s="8"/>
      <c r="V116" s="8"/>
      <c r="W116" s="8"/>
      <c r="X116" s="8"/>
      <c r="Y116" s="8"/>
      <c r="Z116" s="8"/>
    </row>
    <row r="117" spans="1:26" ht="11.25" customHeight="1" x14ac:dyDescent="0.25">
      <c r="A117" s="1774" t="s">
        <v>737</v>
      </c>
      <c r="B117" s="1756"/>
      <c r="C117" s="783">
        <v>551</v>
      </c>
      <c r="D117" s="783" t="s">
        <v>738</v>
      </c>
      <c r="E117" s="784">
        <v>0</v>
      </c>
      <c r="F117" s="785" t="s">
        <v>739</v>
      </c>
      <c r="G117" s="787">
        <v>43809</v>
      </c>
      <c r="H117" s="8"/>
      <c r="I117" s="8"/>
      <c r="J117" s="8"/>
      <c r="K117" s="8"/>
      <c r="L117" s="8"/>
      <c r="M117" s="8"/>
      <c r="N117" s="8"/>
      <c r="O117" s="8"/>
      <c r="P117" s="8"/>
      <c r="Q117" s="8"/>
      <c r="R117" s="8"/>
      <c r="S117" s="8"/>
      <c r="T117" s="8"/>
      <c r="U117" s="8"/>
      <c r="V117" s="8"/>
      <c r="W117" s="8"/>
      <c r="X117" s="8"/>
      <c r="Y117" s="8"/>
      <c r="Z117" s="8"/>
    </row>
    <row r="118" spans="1:26" ht="11.25" customHeight="1" x14ac:dyDescent="0.25">
      <c r="A118" s="1781" t="s">
        <v>737</v>
      </c>
      <c r="B118" s="1779"/>
      <c r="C118" s="788">
        <v>602</v>
      </c>
      <c r="D118" s="788">
        <v>0</v>
      </c>
      <c r="E118" s="789" t="s">
        <v>738</v>
      </c>
      <c r="F118" s="790" t="s">
        <v>740</v>
      </c>
      <c r="G118" s="791">
        <v>43809</v>
      </c>
      <c r="H118" s="8"/>
      <c r="I118" s="8"/>
      <c r="J118" s="8"/>
      <c r="K118" s="8"/>
      <c r="L118" s="8"/>
      <c r="M118" s="8"/>
      <c r="N118" s="8"/>
      <c r="O118" s="8"/>
      <c r="P118" s="8"/>
      <c r="Q118" s="8"/>
      <c r="R118" s="8"/>
      <c r="S118" s="8"/>
      <c r="T118" s="8"/>
      <c r="U118" s="8"/>
      <c r="V118" s="8"/>
      <c r="W118" s="8"/>
      <c r="X118" s="8"/>
      <c r="Y118" s="8"/>
      <c r="Z118" s="8"/>
    </row>
    <row r="119" spans="1:26" ht="11.25" customHeight="1" x14ac:dyDescent="0.25">
      <c r="A119" s="1782" t="s">
        <v>570</v>
      </c>
      <c r="B119" s="1741"/>
      <c r="C119" s="792"/>
      <c r="D119" s="793" t="s">
        <v>741</v>
      </c>
      <c r="E119" s="794" t="s">
        <v>741</v>
      </c>
      <c r="F119" s="1783"/>
      <c r="G119" s="1741"/>
      <c r="H119" s="8"/>
      <c r="I119" s="8"/>
      <c r="J119" s="8"/>
      <c r="K119" s="8"/>
      <c r="L119" s="8"/>
      <c r="M119" s="8"/>
      <c r="N119" s="8"/>
      <c r="O119" s="8"/>
      <c r="P119" s="8"/>
      <c r="Q119" s="8"/>
      <c r="R119" s="8"/>
      <c r="S119" s="8"/>
      <c r="T119" s="8"/>
      <c r="U119" s="8"/>
      <c r="V119" s="8"/>
      <c r="W119" s="8"/>
      <c r="X119" s="8"/>
      <c r="Y119" s="8"/>
      <c r="Z119" s="8"/>
    </row>
    <row r="120" spans="1:26" ht="11.25" customHeight="1" x14ac:dyDescent="0.2">
      <c r="A120" s="774"/>
      <c r="B120" s="774"/>
      <c r="C120" s="775"/>
      <c r="D120" s="775"/>
      <c r="E120" s="776"/>
      <c r="F120" s="8"/>
      <c r="G120" s="8"/>
      <c r="H120" s="8"/>
      <c r="I120" s="8"/>
      <c r="J120" s="8"/>
      <c r="K120" s="8"/>
      <c r="L120" s="8"/>
      <c r="M120" s="8"/>
      <c r="N120" s="8"/>
      <c r="O120" s="8"/>
      <c r="P120" s="8"/>
      <c r="Q120" s="8"/>
      <c r="R120" s="8"/>
      <c r="S120" s="8"/>
      <c r="T120" s="8"/>
      <c r="U120" s="8"/>
      <c r="V120" s="8"/>
      <c r="W120" s="8"/>
      <c r="X120" s="8"/>
      <c r="Y120" s="8"/>
      <c r="Z120" s="8"/>
    </row>
    <row r="121" spans="1:26" ht="11.25" customHeight="1" x14ac:dyDescent="0.2">
      <c r="A121" s="774" t="s">
        <v>742</v>
      </c>
      <c r="B121" s="774"/>
      <c r="C121" s="775"/>
      <c r="D121" s="775"/>
      <c r="E121" s="776"/>
      <c r="F121" s="8"/>
      <c r="G121" s="8"/>
      <c r="H121" s="8"/>
      <c r="I121" s="8"/>
      <c r="J121" s="8"/>
      <c r="K121" s="8"/>
      <c r="L121" s="8"/>
      <c r="M121" s="8"/>
      <c r="N121" s="8"/>
      <c r="O121" s="8"/>
      <c r="P121" s="8"/>
      <c r="Q121" s="8"/>
      <c r="R121" s="8"/>
      <c r="S121" s="8"/>
      <c r="T121" s="8"/>
      <c r="U121" s="8"/>
      <c r="V121" s="8"/>
      <c r="W121" s="8"/>
      <c r="X121" s="8"/>
      <c r="Y121" s="8"/>
      <c r="Z121" s="8"/>
    </row>
    <row r="122" spans="1:26" ht="11.25" customHeight="1" x14ac:dyDescent="0.25">
      <c r="A122" s="1740" t="s">
        <v>92</v>
      </c>
      <c r="B122" s="1741"/>
      <c r="C122" s="777" t="s">
        <v>621</v>
      </c>
      <c r="D122" s="777" t="s">
        <v>667</v>
      </c>
      <c r="E122" s="778" t="s">
        <v>668</v>
      </c>
      <c r="F122" s="777" t="s">
        <v>743</v>
      </c>
      <c r="G122" s="777" t="s">
        <v>623</v>
      </c>
      <c r="H122" s="8"/>
      <c r="I122" s="8"/>
      <c r="J122" s="8"/>
      <c r="K122" s="8"/>
      <c r="L122" s="8"/>
      <c r="M122" s="8"/>
      <c r="N122" s="8"/>
      <c r="O122" s="8"/>
      <c r="P122" s="8"/>
      <c r="Q122" s="8"/>
      <c r="R122" s="8"/>
      <c r="S122" s="8"/>
      <c r="T122" s="8"/>
      <c r="U122" s="8"/>
      <c r="V122" s="8"/>
      <c r="W122" s="8"/>
      <c r="X122" s="8"/>
      <c r="Y122" s="8"/>
      <c r="Z122" s="8"/>
    </row>
    <row r="123" spans="1:26" ht="11.25" customHeight="1" x14ac:dyDescent="0.25">
      <c r="A123" s="1773" t="s">
        <v>744</v>
      </c>
      <c r="B123" s="1748"/>
      <c r="C123" s="779">
        <v>602</v>
      </c>
      <c r="D123" s="779" t="s">
        <v>745</v>
      </c>
      <c r="E123" s="780">
        <v>0</v>
      </c>
      <c r="F123" s="781">
        <v>0</v>
      </c>
      <c r="G123" s="782">
        <v>43642</v>
      </c>
      <c r="H123" s="8"/>
      <c r="I123" s="8"/>
      <c r="J123" s="8"/>
      <c r="K123" s="8"/>
      <c r="L123" s="8"/>
      <c r="M123" s="8"/>
      <c r="N123" s="8"/>
      <c r="O123" s="8"/>
      <c r="P123" s="8"/>
      <c r="Q123" s="8"/>
      <c r="R123" s="8"/>
      <c r="S123" s="8"/>
      <c r="T123" s="8"/>
      <c r="U123" s="8"/>
      <c r="V123" s="8"/>
      <c r="W123" s="8"/>
      <c r="X123" s="8"/>
      <c r="Y123" s="8"/>
      <c r="Z123" s="8"/>
    </row>
    <row r="124" spans="1:26" ht="11.25" customHeight="1" x14ac:dyDescent="0.25">
      <c r="A124" s="1774" t="s">
        <v>744</v>
      </c>
      <c r="B124" s="1756"/>
      <c r="C124" s="783">
        <v>501</v>
      </c>
      <c r="D124" s="783">
        <v>0</v>
      </c>
      <c r="E124" s="784" t="s">
        <v>746</v>
      </c>
      <c r="F124" s="785">
        <v>0</v>
      </c>
      <c r="G124" s="786">
        <v>43642</v>
      </c>
      <c r="H124" s="8"/>
      <c r="I124" s="8"/>
      <c r="J124" s="8"/>
      <c r="K124" s="8"/>
      <c r="L124" s="8"/>
      <c r="M124" s="8"/>
      <c r="N124" s="8"/>
      <c r="O124" s="8"/>
      <c r="P124" s="8"/>
      <c r="Q124" s="8"/>
      <c r="R124" s="8"/>
      <c r="S124" s="8"/>
      <c r="T124" s="8"/>
      <c r="U124" s="8"/>
      <c r="V124" s="8"/>
      <c r="W124" s="8"/>
      <c r="X124" s="8"/>
      <c r="Y124" s="8"/>
      <c r="Z124" s="8"/>
    </row>
    <row r="125" spans="1:26" ht="11.25" customHeight="1" x14ac:dyDescent="0.25">
      <c r="A125" s="1774" t="s">
        <v>744</v>
      </c>
      <c r="B125" s="1756"/>
      <c r="C125" s="783">
        <v>511</v>
      </c>
      <c r="D125" s="783">
        <v>0</v>
      </c>
      <c r="E125" s="784" t="s">
        <v>684</v>
      </c>
      <c r="F125" s="785">
        <v>0</v>
      </c>
      <c r="G125" s="786">
        <v>43642</v>
      </c>
      <c r="H125" s="8"/>
      <c r="I125" s="8"/>
      <c r="J125" s="8"/>
      <c r="K125" s="8"/>
      <c r="L125" s="8"/>
      <c r="M125" s="8"/>
      <c r="N125" s="8"/>
      <c r="O125" s="8"/>
      <c r="P125" s="8"/>
      <c r="Q125" s="8"/>
      <c r="R125" s="8"/>
      <c r="S125" s="8"/>
      <c r="T125" s="8"/>
      <c r="U125" s="8"/>
      <c r="V125" s="8"/>
      <c r="W125" s="8"/>
      <c r="X125" s="8"/>
      <c r="Y125" s="8"/>
      <c r="Z125" s="8"/>
    </row>
    <row r="126" spans="1:26" ht="11.25" customHeight="1" x14ac:dyDescent="0.25">
      <c r="A126" s="1774" t="s">
        <v>744</v>
      </c>
      <c r="B126" s="1756"/>
      <c r="C126" s="783">
        <v>551</v>
      </c>
      <c r="D126" s="783">
        <v>0</v>
      </c>
      <c r="E126" s="784" t="s">
        <v>689</v>
      </c>
      <c r="F126" s="785">
        <v>0</v>
      </c>
      <c r="G126" s="786">
        <v>43642</v>
      </c>
      <c r="H126" s="8"/>
      <c r="I126" s="8"/>
      <c r="J126" s="8"/>
      <c r="K126" s="8"/>
      <c r="L126" s="8"/>
      <c r="M126" s="8"/>
      <c r="N126" s="8"/>
      <c r="O126" s="8"/>
      <c r="P126" s="8"/>
      <c r="Q126" s="8"/>
      <c r="R126" s="8"/>
      <c r="S126" s="8"/>
      <c r="T126" s="8"/>
      <c r="U126" s="8"/>
      <c r="V126" s="8"/>
      <c r="W126" s="8"/>
      <c r="X126" s="8"/>
      <c r="Y126" s="8"/>
      <c r="Z126" s="8"/>
    </row>
    <row r="127" spans="1:26" ht="11.25" customHeight="1" x14ac:dyDescent="0.25">
      <c r="A127" s="1774" t="s">
        <v>744</v>
      </c>
      <c r="B127" s="1756"/>
      <c r="C127" s="783">
        <v>558</v>
      </c>
      <c r="D127" s="783">
        <v>0</v>
      </c>
      <c r="E127" s="784" t="s">
        <v>688</v>
      </c>
      <c r="F127" s="785">
        <v>0</v>
      </c>
      <c r="G127" s="786">
        <v>43642</v>
      </c>
      <c r="H127" s="8"/>
      <c r="I127" s="8"/>
      <c r="J127" s="8"/>
      <c r="K127" s="8"/>
      <c r="L127" s="8"/>
      <c r="M127" s="8"/>
      <c r="N127" s="8"/>
      <c r="O127" s="8"/>
      <c r="P127" s="8"/>
      <c r="Q127" s="8"/>
      <c r="R127" s="8"/>
      <c r="S127" s="8"/>
      <c r="T127" s="8"/>
      <c r="U127" s="8"/>
      <c r="V127" s="8"/>
      <c r="W127" s="8"/>
      <c r="X127" s="8"/>
      <c r="Y127" s="8"/>
      <c r="Z127" s="8"/>
    </row>
    <row r="128" spans="1:26" ht="11.25" customHeight="1" x14ac:dyDescent="0.25">
      <c r="A128" s="1774" t="s">
        <v>744</v>
      </c>
      <c r="B128" s="1756"/>
      <c r="C128" s="783">
        <v>602</v>
      </c>
      <c r="D128" s="783" t="s">
        <v>747</v>
      </c>
      <c r="E128" s="784">
        <v>0</v>
      </c>
      <c r="F128" s="785">
        <v>0</v>
      </c>
      <c r="G128" s="787">
        <v>43829</v>
      </c>
      <c r="H128" s="8"/>
      <c r="I128" s="8"/>
      <c r="J128" s="8"/>
      <c r="K128" s="8"/>
      <c r="L128" s="8"/>
      <c r="M128" s="8"/>
      <c r="N128" s="8"/>
      <c r="O128" s="8"/>
      <c r="P128" s="8"/>
      <c r="Q128" s="8"/>
      <c r="R128" s="8"/>
      <c r="S128" s="8"/>
      <c r="T128" s="8"/>
      <c r="U128" s="8"/>
      <c r="V128" s="8"/>
      <c r="W128" s="8"/>
      <c r="X128" s="8"/>
      <c r="Y128" s="8"/>
      <c r="Z128" s="8"/>
    </row>
    <row r="129" spans="1:26" ht="11.25" customHeight="1" x14ac:dyDescent="0.25">
      <c r="A129" s="1774" t="s">
        <v>744</v>
      </c>
      <c r="B129" s="1756"/>
      <c r="C129" s="783">
        <v>604</v>
      </c>
      <c r="D129" s="783" t="s">
        <v>748</v>
      </c>
      <c r="E129" s="784">
        <v>0</v>
      </c>
      <c r="F129" s="785">
        <v>0</v>
      </c>
      <c r="G129" s="787">
        <v>43829</v>
      </c>
      <c r="H129" s="8"/>
      <c r="I129" s="8"/>
      <c r="J129" s="8"/>
      <c r="K129" s="8"/>
      <c r="L129" s="8"/>
      <c r="M129" s="8"/>
      <c r="N129" s="8"/>
      <c r="O129" s="8"/>
      <c r="P129" s="8"/>
      <c r="Q129" s="8"/>
      <c r="R129" s="8"/>
      <c r="S129" s="8"/>
      <c r="T129" s="8"/>
      <c r="U129" s="8"/>
      <c r="V129" s="8"/>
      <c r="W129" s="8"/>
      <c r="X129" s="8"/>
      <c r="Y129" s="8"/>
      <c r="Z129" s="8"/>
    </row>
    <row r="130" spans="1:26" ht="11.25" customHeight="1" x14ac:dyDescent="0.25">
      <c r="A130" s="1774" t="s">
        <v>744</v>
      </c>
      <c r="B130" s="1756"/>
      <c r="C130" s="783">
        <v>501</v>
      </c>
      <c r="D130" s="783">
        <v>0</v>
      </c>
      <c r="E130" s="784" t="s">
        <v>749</v>
      </c>
      <c r="F130" s="785">
        <v>0</v>
      </c>
      <c r="G130" s="787">
        <v>43829</v>
      </c>
      <c r="H130" s="8"/>
      <c r="I130" s="8"/>
      <c r="J130" s="8"/>
      <c r="K130" s="8"/>
      <c r="L130" s="8"/>
      <c r="M130" s="8"/>
      <c r="N130" s="8"/>
      <c r="O130" s="8"/>
      <c r="P130" s="8"/>
      <c r="Q130" s="8"/>
      <c r="R130" s="8"/>
      <c r="S130" s="8"/>
      <c r="T130" s="8"/>
      <c r="U130" s="8"/>
      <c r="V130" s="8"/>
      <c r="W130" s="8"/>
      <c r="X130" s="8"/>
      <c r="Y130" s="8"/>
      <c r="Z130" s="8"/>
    </row>
    <row r="131" spans="1:26" ht="11.25" customHeight="1" x14ac:dyDescent="0.25">
      <c r="A131" s="1774" t="s">
        <v>744</v>
      </c>
      <c r="B131" s="1756"/>
      <c r="C131" s="783">
        <v>502</v>
      </c>
      <c r="D131" s="783">
        <v>0</v>
      </c>
      <c r="E131" s="784" t="s">
        <v>750</v>
      </c>
      <c r="F131" s="785">
        <v>0</v>
      </c>
      <c r="G131" s="787">
        <v>43829</v>
      </c>
      <c r="H131" s="8"/>
      <c r="I131" s="8"/>
      <c r="J131" s="8"/>
      <c r="K131" s="8"/>
      <c r="L131" s="8"/>
      <c r="M131" s="8"/>
      <c r="N131" s="8"/>
      <c r="O131" s="8"/>
      <c r="P131" s="8"/>
      <c r="Q131" s="8"/>
      <c r="R131" s="8"/>
      <c r="S131" s="8"/>
      <c r="T131" s="8"/>
      <c r="U131" s="8"/>
      <c r="V131" s="8"/>
      <c r="W131" s="8"/>
      <c r="X131" s="8"/>
      <c r="Y131" s="8"/>
      <c r="Z131" s="8"/>
    </row>
    <row r="132" spans="1:26" ht="11.25" customHeight="1" x14ac:dyDescent="0.25">
      <c r="A132" s="1774" t="s">
        <v>744</v>
      </c>
      <c r="B132" s="1756"/>
      <c r="C132" s="783">
        <v>521</v>
      </c>
      <c r="D132" s="783">
        <v>0</v>
      </c>
      <c r="E132" s="784" t="s">
        <v>751</v>
      </c>
      <c r="F132" s="785">
        <v>0</v>
      </c>
      <c r="G132" s="787">
        <v>43829</v>
      </c>
      <c r="H132" s="8"/>
      <c r="I132" s="8"/>
      <c r="J132" s="8"/>
      <c r="K132" s="8"/>
      <c r="L132" s="8"/>
      <c r="M132" s="8"/>
      <c r="N132" s="8"/>
      <c r="O132" s="8"/>
      <c r="P132" s="8"/>
      <c r="Q132" s="8"/>
      <c r="R132" s="8"/>
      <c r="S132" s="8"/>
      <c r="T132" s="8"/>
      <c r="U132" s="8"/>
      <c r="V132" s="8"/>
      <c r="W132" s="8"/>
      <c r="X132" s="8"/>
      <c r="Y132" s="8"/>
      <c r="Z132" s="8"/>
    </row>
    <row r="133" spans="1:26" ht="11.25" customHeight="1" x14ac:dyDescent="0.25">
      <c r="A133" s="1774" t="s">
        <v>744</v>
      </c>
      <c r="B133" s="1756"/>
      <c r="C133" s="783">
        <v>524</v>
      </c>
      <c r="D133" s="783">
        <v>0</v>
      </c>
      <c r="E133" s="784" t="s">
        <v>752</v>
      </c>
      <c r="F133" s="785">
        <v>0</v>
      </c>
      <c r="G133" s="787">
        <v>43829</v>
      </c>
      <c r="H133" s="8"/>
      <c r="I133" s="8"/>
      <c r="J133" s="8"/>
      <c r="K133" s="8"/>
      <c r="L133" s="8"/>
      <c r="M133" s="8"/>
      <c r="N133" s="8"/>
      <c r="O133" s="8"/>
      <c r="P133" s="8"/>
      <c r="Q133" s="8"/>
      <c r="R133" s="8"/>
      <c r="S133" s="8"/>
      <c r="T133" s="8"/>
      <c r="U133" s="8"/>
      <c r="V133" s="8"/>
      <c r="W133" s="8"/>
      <c r="X133" s="8"/>
      <c r="Y133" s="8"/>
      <c r="Z133" s="8"/>
    </row>
    <row r="134" spans="1:26" ht="11.25" customHeight="1" x14ac:dyDescent="0.25">
      <c r="A134" s="1774" t="s">
        <v>744</v>
      </c>
      <c r="B134" s="1756"/>
      <c r="C134" s="783">
        <v>527</v>
      </c>
      <c r="D134" s="783">
        <v>0</v>
      </c>
      <c r="E134" s="784">
        <v>771</v>
      </c>
      <c r="F134" s="785">
        <v>0</v>
      </c>
      <c r="G134" s="787">
        <v>43829</v>
      </c>
      <c r="H134" s="8"/>
      <c r="I134" s="8"/>
      <c r="J134" s="8"/>
      <c r="K134" s="8"/>
      <c r="L134" s="8"/>
      <c r="M134" s="8"/>
      <c r="N134" s="8"/>
      <c r="O134" s="8"/>
      <c r="P134" s="8"/>
      <c r="Q134" s="8"/>
      <c r="R134" s="8"/>
      <c r="S134" s="8"/>
      <c r="T134" s="8"/>
      <c r="U134" s="8"/>
      <c r="V134" s="8"/>
      <c r="W134" s="8"/>
      <c r="X134" s="8"/>
      <c r="Y134" s="8"/>
      <c r="Z134" s="8"/>
    </row>
    <row r="135" spans="1:26" ht="11.25" customHeight="1" x14ac:dyDescent="0.25">
      <c r="A135" s="1774" t="s">
        <v>744</v>
      </c>
      <c r="B135" s="1756"/>
      <c r="C135" s="783">
        <v>551</v>
      </c>
      <c r="D135" s="783">
        <v>0</v>
      </c>
      <c r="E135" s="784" t="s">
        <v>753</v>
      </c>
      <c r="F135" s="785">
        <v>0</v>
      </c>
      <c r="G135" s="787">
        <v>43829</v>
      </c>
      <c r="H135" s="8"/>
      <c r="I135" s="8"/>
      <c r="J135" s="8"/>
      <c r="K135" s="8"/>
      <c r="L135" s="8"/>
      <c r="M135" s="8"/>
      <c r="N135" s="8"/>
      <c r="O135" s="8"/>
      <c r="P135" s="8"/>
      <c r="Q135" s="8"/>
      <c r="R135" s="8"/>
      <c r="S135" s="8"/>
      <c r="T135" s="8"/>
      <c r="U135" s="8"/>
      <c r="V135" s="8"/>
      <c r="W135" s="8"/>
      <c r="X135" s="8"/>
      <c r="Y135" s="8"/>
      <c r="Z135" s="8"/>
    </row>
    <row r="136" spans="1:26" ht="11.25" customHeight="1" x14ac:dyDescent="0.25">
      <c r="A136" s="1774" t="s">
        <v>744</v>
      </c>
      <c r="B136" s="1756"/>
      <c r="C136" s="783">
        <v>549</v>
      </c>
      <c r="D136" s="783">
        <v>0</v>
      </c>
      <c r="E136" s="784" t="s">
        <v>754</v>
      </c>
      <c r="F136" s="785">
        <v>0</v>
      </c>
      <c r="G136" s="787">
        <v>43829</v>
      </c>
      <c r="H136" s="8"/>
      <c r="I136" s="8"/>
      <c r="J136" s="8"/>
      <c r="K136" s="8"/>
      <c r="L136" s="8"/>
      <c r="M136" s="8"/>
      <c r="N136" s="8"/>
      <c r="O136" s="8"/>
      <c r="P136" s="8"/>
      <c r="Q136" s="8"/>
      <c r="R136" s="8"/>
      <c r="S136" s="8"/>
      <c r="T136" s="8"/>
      <c r="U136" s="8"/>
      <c r="V136" s="8"/>
      <c r="W136" s="8"/>
      <c r="X136" s="8"/>
      <c r="Y136" s="8"/>
      <c r="Z136" s="8"/>
    </row>
    <row r="137" spans="1:26" ht="11.25" customHeight="1" x14ac:dyDescent="0.25">
      <c r="A137" s="1774" t="s">
        <v>744</v>
      </c>
      <c r="B137" s="1756"/>
      <c r="C137" s="783">
        <v>511</v>
      </c>
      <c r="D137" s="783">
        <v>0</v>
      </c>
      <c r="E137" s="784" t="s">
        <v>755</v>
      </c>
      <c r="F137" s="785">
        <v>0</v>
      </c>
      <c r="G137" s="787">
        <v>43829</v>
      </c>
      <c r="H137" s="8"/>
      <c r="I137" s="8"/>
      <c r="J137" s="8"/>
      <c r="K137" s="8"/>
      <c r="L137" s="8"/>
      <c r="M137" s="8"/>
      <c r="N137" s="8"/>
      <c r="O137" s="8"/>
      <c r="P137" s="8"/>
      <c r="Q137" s="8"/>
      <c r="R137" s="8"/>
      <c r="S137" s="8"/>
      <c r="T137" s="8"/>
      <c r="U137" s="8"/>
      <c r="V137" s="8"/>
      <c r="W137" s="8"/>
      <c r="X137" s="8"/>
      <c r="Y137" s="8"/>
      <c r="Z137" s="8"/>
    </row>
    <row r="138" spans="1:26" ht="11.25" customHeight="1" x14ac:dyDescent="0.25">
      <c r="A138" s="1781" t="s">
        <v>744</v>
      </c>
      <c r="B138" s="1779"/>
      <c r="C138" s="788">
        <v>518</v>
      </c>
      <c r="D138" s="788">
        <v>0</v>
      </c>
      <c r="E138" s="789" t="s">
        <v>756</v>
      </c>
      <c r="F138" s="790">
        <v>0</v>
      </c>
      <c r="G138" s="791">
        <v>43829</v>
      </c>
      <c r="H138" s="8"/>
      <c r="I138" s="8"/>
      <c r="J138" s="8"/>
      <c r="K138" s="8"/>
      <c r="L138" s="8"/>
      <c r="M138" s="8"/>
      <c r="N138" s="8"/>
      <c r="O138" s="8"/>
      <c r="P138" s="8"/>
      <c r="Q138" s="8"/>
      <c r="R138" s="8"/>
      <c r="S138" s="8"/>
      <c r="T138" s="8"/>
      <c r="U138" s="8"/>
      <c r="V138" s="8"/>
      <c r="W138" s="8"/>
      <c r="X138" s="8"/>
      <c r="Y138" s="8"/>
      <c r="Z138" s="8"/>
    </row>
    <row r="139" spans="1:26" ht="11.25" customHeight="1" x14ac:dyDescent="0.25">
      <c r="A139" s="1782" t="s">
        <v>570</v>
      </c>
      <c r="B139" s="1741"/>
      <c r="C139" s="792"/>
      <c r="D139" s="793" t="s">
        <v>757</v>
      </c>
      <c r="E139" s="794" t="s">
        <v>757</v>
      </c>
      <c r="F139" s="1783"/>
      <c r="G139" s="1741"/>
      <c r="H139" s="8"/>
      <c r="I139" s="8"/>
      <c r="J139" s="8"/>
      <c r="K139" s="8"/>
      <c r="L139" s="8"/>
      <c r="M139" s="8"/>
      <c r="N139" s="8"/>
      <c r="O139" s="8"/>
      <c r="P139" s="8"/>
      <c r="Q139" s="8"/>
      <c r="R139" s="8"/>
      <c r="S139" s="8"/>
      <c r="T139" s="8"/>
      <c r="U139" s="8"/>
      <c r="V139" s="8"/>
      <c r="W139" s="8"/>
      <c r="X139" s="8"/>
      <c r="Y139" s="8"/>
      <c r="Z139" s="8"/>
    </row>
    <row r="140" spans="1:26" ht="11.25" customHeight="1" x14ac:dyDescent="0.2">
      <c r="A140" s="774"/>
      <c r="B140" s="774"/>
      <c r="C140" s="775"/>
      <c r="D140" s="775"/>
      <c r="E140" s="776"/>
      <c r="F140" s="8"/>
      <c r="G140" s="8"/>
      <c r="H140" s="8"/>
      <c r="I140" s="8"/>
      <c r="J140" s="8"/>
      <c r="K140" s="8"/>
      <c r="L140" s="8"/>
      <c r="M140" s="8"/>
      <c r="N140" s="8"/>
      <c r="O140" s="8"/>
      <c r="P140" s="8"/>
      <c r="Q140" s="8"/>
      <c r="R140" s="8"/>
      <c r="S140" s="8"/>
      <c r="T140" s="8"/>
      <c r="U140" s="8"/>
      <c r="V140" s="8"/>
      <c r="W140" s="8"/>
      <c r="X140" s="8"/>
      <c r="Y140" s="8"/>
      <c r="Z140" s="8"/>
    </row>
    <row r="141" spans="1:26" ht="11.25" customHeight="1" x14ac:dyDescent="0.2">
      <c r="A141" s="795"/>
      <c r="B141" s="796"/>
      <c r="C141" s="797"/>
      <c r="D141" s="797"/>
      <c r="E141" s="798"/>
      <c r="F141" s="8"/>
      <c r="G141" s="8"/>
      <c r="H141" s="8"/>
      <c r="I141" s="8"/>
      <c r="J141" s="8"/>
      <c r="K141" s="8"/>
      <c r="L141" s="8"/>
      <c r="M141" s="8"/>
      <c r="N141" s="8"/>
      <c r="O141" s="8"/>
      <c r="P141" s="8"/>
      <c r="Q141" s="8"/>
      <c r="R141" s="8"/>
      <c r="S141" s="8"/>
      <c r="T141" s="8"/>
      <c r="U141" s="8"/>
      <c r="V141" s="8"/>
      <c r="W141" s="8"/>
      <c r="X141" s="8"/>
      <c r="Y141" s="8"/>
      <c r="Z141" s="8"/>
    </row>
    <row r="142" spans="1:26" ht="12.75" customHeight="1" x14ac:dyDescent="0.25">
      <c r="A142" s="1738" t="s">
        <v>154</v>
      </c>
      <c r="B142" s="1739"/>
      <c r="C142" s="1739"/>
      <c r="D142" s="1739"/>
      <c r="E142" s="1739"/>
      <c r="F142" s="1739"/>
      <c r="G142" s="1739"/>
      <c r="H142" s="1739"/>
      <c r="I142" s="1739"/>
      <c r="J142" s="8"/>
      <c r="K142" s="8"/>
      <c r="L142" s="8"/>
      <c r="M142" s="8"/>
      <c r="N142" s="8"/>
      <c r="O142" s="8"/>
      <c r="P142" s="8"/>
      <c r="Q142" s="8"/>
      <c r="R142" s="8"/>
      <c r="S142" s="8"/>
      <c r="T142" s="8"/>
      <c r="U142" s="8"/>
      <c r="V142" s="8"/>
      <c r="W142" s="8"/>
      <c r="X142" s="8"/>
      <c r="Y142" s="8"/>
      <c r="Z142" s="8"/>
    </row>
    <row r="143" spans="1:26" ht="12.75" customHeight="1" x14ac:dyDescent="0.2">
      <c r="A143" s="8" t="s">
        <v>95</v>
      </c>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2.75" customHeight="1" x14ac:dyDescent="0.25">
      <c r="A144" s="1784" t="s">
        <v>758</v>
      </c>
      <c r="B144" s="1759"/>
      <c r="C144" s="1759"/>
      <c r="D144" s="1759"/>
      <c r="E144" s="1759"/>
      <c r="F144" s="1759"/>
      <c r="G144" s="1759"/>
      <c r="H144" s="1759"/>
      <c r="I144" s="1756"/>
      <c r="J144" s="8"/>
      <c r="K144" s="8"/>
      <c r="L144" s="8"/>
      <c r="M144" s="8"/>
      <c r="N144" s="8"/>
      <c r="O144" s="8"/>
      <c r="P144" s="8"/>
      <c r="Q144" s="8"/>
      <c r="R144" s="8"/>
      <c r="S144" s="8"/>
      <c r="T144" s="8"/>
      <c r="U144" s="8"/>
      <c r="V144" s="8"/>
      <c r="W144" s="8"/>
      <c r="X144" s="8"/>
      <c r="Y144" s="8"/>
      <c r="Z144" s="8"/>
    </row>
    <row r="145" spans="1:26" ht="12.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0.75" customHeight="1" x14ac:dyDescent="0.25">
      <c r="A146" s="1785"/>
      <c r="B146" s="1759"/>
      <c r="C146" s="1759"/>
      <c r="D146" s="1759"/>
      <c r="E146" s="1759"/>
      <c r="F146" s="1759"/>
      <c r="G146" s="1759"/>
      <c r="H146" s="1759"/>
      <c r="I146" s="1756"/>
      <c r="J146" s="8"/>
      <c r="K146" s="8"/>
      <c r="L146" s="8"/>
      <c r="M146" s="8"/>
      <c r="N146" s="8"/>
      <c r="O146" s="8"/>
      <c r="P146" s="8"/>
      <c r="Q146" s="8"/>
      <c r="R146" s="8"/>
      <c r="S146" s="8"/>
      <c r="T146" s="8"/>
      <c r="U146" s="8"/>
      <c r="V146" s="8"/>
      <c r="W146" s="8"/>
      <c r="X146" s="8"/>
      <c r="Y146" s="8"/>
      <c r="Z146" s="8"/>
    </row>
    <row r="147" spans="1:26" ht="12.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2.75" customHeight="1" x14ac:dyDescent="0.25">
      <c r="A148" s="1738" t="s">
        <v>156</v>
      </c>
      <c r="B148" s="1739"/>
      <c r="C148" s="1739"/>
      <c r="D148" s="1739"/>
      <c r="E148" s="1739"/>
      <c r="F148" s="1739"/>
      <c r="G148" s="1739"/>
      <c r="H148" s="1739"/>
      <c r="I148" s="1739"/>
      <c r="J148" s="7"/>
      <c r="K148" s="7"/>
      <c r="L148" s="7"/>
      <c r="M148" s="7"/>
      <c r="N148" s="7"/>
      <c r="O148" s="7"/>
      <c r="P148" s="7"/>
      <c r="Q148" s="7"/>
      <c r="R148" s="7"/>
      <c r="S148" s="7"/>
      <c r="T148" s="7"/>
      <c r="U148" s="7"/>
      <c r="V148" s="7"/>
      <c r="W148" s="7"/>
      <c r="X148" s="7"/>
      <c r="Y148" s="7"/>
      <c r="Z148" s="7"/>
    </row>
    <row r="149" spans="1:26" ht="12.75" customHeight="1" x14ac:dyDescent="0.2">
      <c r="A149" s="8" t="s">
        <v>95</v>
      </c>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49.95" customHeight="1" x14ac:dyDescent="0.25">
      <c r="A150" s="1784" t="s">
        <v>759</v>
      </c>
      <c r="B150" s="1759"/>
      <c r="C150" s="1759"/>
      <c r="D150" s="1759"/>
      <c r="E150" s="1759"/>
      <c r="F150" s="1759"/>
      <c r="G150" s="1759"/>
      <c r="H150" s="1759"/>
      <c r="I150" s="1756"/>
      <c r="J150" s="8"/>
      <c r="K150" s="8"/>
      <c r="L150" s="8"/>
      <c r="M150" s="8"/>
      <c r="N150" s="8"/>
      <c r="O150" s="8"/>
      <c r="P150" s="8"/>
      <c r="Q150" s="8"/>
      <c r="R150" s="8"/>
      <c r="S150" s="8"/>
      <c r="T150" s="8"/>
      <c r="U150" s="8"/>
      <c r="V150" s="8"/>
      <c r="W150" s="8"/>
      <c r="X150" s="8"/>
      <c r="Y150" s="8"/>
      <c r="Z150" s="8"/>
    </row>
    <row r="151" spans="1:26" ht="12.75" customHeight="1" x14ac:dyDescent="0.25">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2.75" customHeight="1" x14ac:dyDescent="0.25">
      <c r="A152" s="799" t="s">
        <v>760</v>
      </c>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2.75" customHeight="1" x14ac:dyDescent="0.25">
      <c r="A153" s="26"/>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2.75" customHeight="1" x14ac:dyDescent="0.25">
      <c r="A154" s="799" t="s">
        <v>761</v>
      </c>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2.75" customHeight="1" x14ac:dyDescent="0.25">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2.75" customHeight="1" x14ac:dyDescent="0.25">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2.75" customHeight="1" x14ac:dyDescent="0.25">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2.75" customHeight="1" x14ac:dyDescent="0.25">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2.75" customHeight="1" x14ac:dyDescent="0.25">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2.75" customHeight="1" x14ac:dyDescent="0.25">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2.75" customHeight="1" x14ac:dyDescent="0.25">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2.75" customHeight="1" x14ac:dyDescent="0.25">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2.75" customHeight="1" x14ac:dyDescent="0.25">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2.75" customHeight="1" x14ac:dyDescent="0.25">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2.75" customHeight="1" x14ac:dyDescent="0.25">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2.75" customHeight="1" x14ac:dyDescent="0.25">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2.75" customHeight="1" x14ac:dyDescent="0.25">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2.75" customHeight="1" x14ac:dyDescent="0.25">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2.75" customHeight="1" x14ac:dyDescent="0.25">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2.75" customHeight="1" x14ac:dyDescent="0.25">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2.75" customHeight="1" x14ac:dyDescent="0.25">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2.75" customHeight="1" x14ac:dyDescent="0.25">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2.75" customHeight="1" x14ac:dyDescent="0.25">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2.75" customHeight="1" x14ac:dyDescent="0.25">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2.75" customHeight="1" x14ac:dyDescent="0.25">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2.75" customHeight="1" x14ac:dyDescent="0.25">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2.75" customHeight="1" x14ac:dyDescent="0.25">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2.75" customHeight="1" x14ac:dyDescent="0.25">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2.75" customHeight="1" x14ac:dyDescent="0.25">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2.75" customHeight="1" x14ac:dyDescent="0.25">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2.75" customHeight="1" x14ac:dyDescent="0.25">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2.75" customHeight="1" x14ac:dyDescent="0.25">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2.75" customHeight="1" x14ac:dyDescent="0.25">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2.75" customHeight="1" x14ac:dyDescent="0.25">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2.75" customHeight="1" x14ac:dyDescent="0.25">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2.75" customHeight="1" x14ac:dyDescent="0.25">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2.75" customHeight="1" x14ac:dyDescent="0.25">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2.75" customHeight="1" x14ac:dyDescent="0.25">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2.75" customHeight="1" x14ac:dyDescent="0.25">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2.75" customHeight="1" x14ac:dyDescent="0.25">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2.75" customHeight="1" x14ac:dyDescent="0.25">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2.75" customHeight="1" x14ac:dyDescent="0.25">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2.75" customHeight="1" x14ac:dyDescent="0.25">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2.75" customHeight="1" x14ac:dyDescent="0.25">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2.75" customHeight="1" x14ac:dyDescent="0.25">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2.75" customHeight="1" x14ac:dyDescent="0.25">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2.75" customHeight="1" x14ac:dyDescent="0.25">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2.75" customHeight="1" x14ac:dyDescent="0.25">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2.75" customHeight="1" x14ac:dyDescent="0.25">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2.75" customHeight="1" x14ac:dyDescent="0.25">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2.75" customHeight="1" x14ac:dyDescent="0.25">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2.75" customHeight="1" x14ac:dyDescent="0.25">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2.75" customHeight="1" x14ac:dyDescent="0.25">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2.75" customHeight="1" x14ac:dyDescent="0.25">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2.75" customHeight="1" x14ac:dyDescent="0.25">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2.75" customHeight="1" x14ac:dyDescent="0.25">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2.75" customHeight="1" x14ac:dyDescent="0.25">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2.75" customHeight="1" x14ac:dyDescent="0.25">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2.75" customHeight="1" x14ac:dyDescent="0.25">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2.75" customHeight="1" x14ac:dyDescent="0.25">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2.75" customHeight="1" x14ac:dyDescent="0.25">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2.75" customHeight="1" x14ac:dyDescent="0.25">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2.75" customHeight="1" x14ac:dyDescent="0.25">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2.75" customHeight="1" x14ac:dyDescent="0.25">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2.75" customHeight="1" x14ac:dyDescent="0.25">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2.75" customHeight="1" x14ac:dyDescent="0.25">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2.75" customHeight="1" x14ac:dyDescent="0.25">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2.75" customHeight="1" x14ac:dyDescent="0.25">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2.75" customHeight="1" x14ac:dyDescent="0.25">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2.75" customHeight="1" x14ac:dyDescent="0.25">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2.75" customHeight="1" x14ac:dyDescent="0.25">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2.75" customHeight="1" x14ac:dyDescent="0.25">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2.75" customHeight="1" x14ac:dyDescent="0.25">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2.75" customHeight="1" x14ac:dyDescent="0.25">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2.75" customHeight="1" x14ac:dyDescent="0.25">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2.75" customHeight="1" x14ac:dyDescent="0.25">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2.75" customHeight="1" x14ac:dyDescent="0.25">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2.75" customHeight="1" x14ac:dyDescent="0.25">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2.75" customHeight="1" x14ac:dyDescent="0.25">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2.75" customHeight="1" x14ac:dyDescent="0.25">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2.75" customHeight="1" x14ac:dyDescent="0.25">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2.75" customHeight="1" x14ac:dyDescent="0.25">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2.75" customHeight="1" x14ac:dyDescent="0.25">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2.75" customHeight="1" x14ac:dyDescent="0.25">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2.75" customHeight="1" x14ac:dyDescent="0.25">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2.75" customHeight="1" x14ac:dyDescent="0.25">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2.75" customHeight="1" x14ac:dyDescent="0.25">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2.75" customHeight="1" x14ac:dyDescent="0.25">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2.75" customHeight="1" x14ac:dyDescent="0.25">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2.75" customHeight="1" x14ac:dyDescent="0.25">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2.75" customHeight="1" x14ac:dyDescent="0.25">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2.75" customHeight="1" x14ac:dyDescent="0.25">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2.75" customHeight="1" x14ac:dyDescent="0.25">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2.75" customHeight="1" x14ac:dyDescent="0.25">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2.75" customHeight="1" x14ac:dyDescent="0.25">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2.75" customHeight="1" x14ac:dyDescent="0.25">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2.75" customHeight="1" x14ac:dyDescent="0.25">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2.75" customHeight="1" x14ac:dyDescent="0.25">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2.75" customHeight="1" x14ac:dyDescent="0.25">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2.75" customHeight="1" x14ac:dyDescent="0.25">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2.75" customHeight="1" x14ac:dyDescent="0.25">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2.75" customHeight="1" x14ac:dyDescent="0.25">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2.75" customHeight="1" x14ac:dyDescent="0.25">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2.75" customHeight="1" x14ac:dyDescent="0.25">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2.75" customHeight="1" x14ac:dyDescent="0.25">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2.75" customHeight="1" x14ac:dyDescent="0.25">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2.75" customHeight="1" x14ac:dyDescent="0.25">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2.75" customHeight="1" x14ac:dyDescent="0.25">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2.75" customHeight="1" x14ac:dyDescent="0.25">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2.75" customHeight="1" x14ac:dyDescent="0.25">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2.75" customHeight="1" x14ac:dyDescent="0.25">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2.75" customHeight="1" x14ac:dyDescent="0.2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2.75" customHeight="1" x14ac:dyDescent="0.25">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2.75" customHeight="1" x14ac:dyDescent="0.25">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2.75" customHeight="1" x14ac:dyDescent="0.25">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2.75" customHeight="1" x14ac:dyDescent="0.25">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2.75" customHeight="1" x14ac:dyDescent="0.25">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2.75" customHeight="1" x14ac:dyDescent="0.25">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2.75" customHeight="1" x14ac:dyDescent="0.25">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2.75" customHeight="1" x14ac:dyDescent="0.25">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2.75" customHeight="1" x14ac:dyDescent="0.25">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2.75" customHeight="1" x14ac:dyDescent="0.25">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2.75" customHeight="1" x14ac:dyDescent="0.25">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2.75" customHeight="1" x14ac:dyDescent="0.25">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2.75" customHeight="1" x14ac:dyDescent="0.25">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2.75" customHeight="1" x14ac:dyDescent="0.25">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2.75" customHeight="1" x14ac:dyDescent="0.25">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2.75" customHeight="1" x14ac:dyDescent="0.25">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2.75" customHeight="1" x14ac:dyDescent="0.25">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2.75" customHeight="1" x14ac:dyDescent="0.25">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2.75" customHeight="1" x14ac:dyDescent="0.25">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2.75" customHeight="1" x14ac:dyDescent="0.25">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2.75" customHeight="1" x14ac:dyDescent="0.25">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2.75" customHeight="1" x14ac:dyDescent="0.25">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2.75" customHeight="1" x14ac:dyDescent="0.25">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2.75" customHeight="1" x14ac:dyDescent="0.25">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2.75" customHeight="1" x14ac:dyDescent="0.25">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2.75" customHeight="1" x14ac:dyDescent="0.25">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2.75" customHeight="1" x14ac:dyDescent="0.25">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2.75" customHeight="1" x14ac:dyDescent="0.25">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2.75" customHeight="1" x14ac:dyDescent="0.25">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2.75" customHeight="1" x14ac:dyDescent="0.25">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2.75" customHeight="1" x14ac:dyDescent="0.25">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2.75" customHeight="1" x14ac:dyDescent="0.25">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2.75" customHeight="1" x14ac:dyDescent="0.25">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2.75" customHeight="1" x14ac:dyDescent="0.25">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2.75" customHeight="1" x14ac:dyDescent="0.25">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2.75" customHeight="1" x14ac:dyDescent="0.25">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2.75" customHeight="1" x14ac:dyDescent="0.25">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2.75" customHeight="1" x14ac:dyDescent="0.25">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2.75" customHeight="1" x14ac:dyDescent="0.25">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2.75" customHeight="1" x14ac:dyDescent="0.25">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2.75" customHeight="1" x14ac:dyDescent="0.25">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2.75" customHeight="1" x14ac:dyDescent="0.25">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2.75" customHeight="1" x14ac:dyDescent="0.25">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2.75" customHeight="1" x14ac:dyDescent="0.25">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2.75" customHeight="1" x14ac:dyDescent="0.25">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2.75" customHeight="1" x14ac:dyDescent="0.25">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2.75" customHeight="1" x14ac:dyDescent="0.25">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2.75" customHeight="1" x14ac:dyDescent="0.25">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2.75" customHeight="1" x14ac:dyDescent="0.25">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2.75" customHeight="1" x14ac:dyDescent="0.25">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2.75" customHeight="1" x14ac:dyDescent="0.25">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2.75" customHeight="1" x14ac:dyDescent="0.25">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2.75" customHeight="1" x14ac:dyDescent="0.25">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2.75" customHeight="1" x14ac:dyDescent="0.25">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2.75" customHeight="1" x14ac:dyDescent="0.25">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2.75" customHeight="1" x14ac:dyDescent="0.25">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2.75" customHeight="1" x14ac:dyDescent="0.25">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2.75" customHeight="1" x14ac:dyDescent="0.25">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2.75" customHeight="1" x14ac:dyDescent="0.25">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2.75" customHeight="1" x14ac:dyDescent="0.25">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2.75" customHeight="1" x14ac:dyDescent="0.25">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2.75" customHeight="1" x14ac:dyDescent="0.25">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2.75" customHeight="1" x14ac:dyDescent="0.25">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2.75" customHeight="1" x14ac:dyDescent="0.25">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2.75" customHeight="1" x14ac:dyDescent="0.25">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2.75" customHeight="1" x14ac:dyDescent="0.25">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2.75" customHeight="1" x14ac:dyDescent="0.25">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2.75" customHeight="1" x14ac:dyDescent="0.25">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2.75" customHeight="1" x14ac:dyDescent="0.25">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2.75" customHeight="1" x14ac:dyDescent="0.25">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2.75" customHeight="1" x14ac:dyDescent="0.25">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2.75" customHeight="1" x14ac:dyDescent="0.25">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2.75" customHeight="1" x14ac:dyDescent="0.25">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2.75" customHeight="1" x14ac:dyDescent="0.25">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2.75" customHeight="1" x14ac:dyDescent="0.2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2.75" customHeight="1" x14ac:dyDescent="0.25">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2.75" customHeight="1" x14ac:dyDescent="0.25">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2.75" customHeight="1" x14ac:dyDescent="0.25">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2.75" customHeight="1" x14ac:dyDescent="0.25">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2.75" customHeight="1" x14ac:dyDescent="0.25">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2.75" customHeight="1" x14ac:dyDescent="0.25">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2.75" customHeight="1" x14ac:dyDescent="0.25">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2.75" customHeight="1" x14ac:dyDescent="0.25">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2.75" customHeight="1" x14ac:dyDescent="0.25">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2.75" customHeight="1" x14ac:dyDescent="0.25">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2.75" customHeight="1" x14ac:dyDescent="0.25">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2.75" customHeight="1" x14ac:dyDescent="0.25">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2.75" customHeight="1" x14ac:dyDescent="0.25">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2.75" customHeight="1" x14ac:dyDescent="0.25">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2.75" customHeight="1" x14ac:dyDescent="0.25">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2.75" customHeight="1" x14ac:dyDescent="0.25">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2.75" customHeight="1" x14ac:dyDescent="0.25">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2.75" customHeight="1" x14ac:dyDescent="0.25">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2.75" customHeight="1" x14ac:dyDescent="0.25">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2.75" customHeight="1" x14ac:dyDescent="0.25">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2.75" customHeight="1" x14ac:dyDescent="0.25">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2.75" customHeight="1" x14ac:dyDescent="0.25">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2.75" customHeight="1" x14ac:dyDescent="0.25">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2.75" customHeight="1" x14ac:dyDescent="0.25">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2.75" customHeight="1" x14ac:dyDescent="0.25">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2.75" customHeight="1" x14ac:dyDescent="0.25">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2.75" customHeight="1" x14ac:dyDescent="0.25">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2.75" customHeight="1" x14ac:dyDescent="0.25">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2.75" customHeight="1" x14ac:dyDescent="0.25">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2.75" customHeight="1" x14ac:dyDescent="0.25">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2.75" customHeight="1" x14ac:dyDescent="0.25">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2.75" customHeight="1" x14ac:dyDescent="0.25">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2.75" customHeight="1" x14ac:dyDescent="0.25">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2.75" customHeight="1" x14ac:dyDescent="0.25">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2.75" customHeight="1" x14ac:dyDescent="0.25">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2.75" customHeight="1" x14ac:dyDescent="0.25">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2.75" customHeight="1" x14ac:dyDescent="0.25">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2.75" customHeight="1" x14ac:dyDescent="0.2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2.75" customHeight="1" x14ac:dyDescent="0.25">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2.75" customHeight="1" x14ac:dyDescent="0.25">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2.75" customHeight="1" x14ac:dyDescent="0.25">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2.75" customHeight="1" x14ac:dyDescent="0.25">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2.75" customHeight="1" x14ac:dyDescent="0.25">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2.75" customHeight="1" x14ac:dyDescent="0.25">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2.75" customHeight="1" x14ac:dyDescent="0.25">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2.75" customHeight="1" x14ac:dyDescent="0.25">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2.75" customHeight="1" x14ac:dyDescent="0.25">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2.75" customHeight="1" x14ac:dyDescent="0.25">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2.75" customHeight="1" x14ac:dyDescent="0.25">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2.75" customHeight="1" x14ac:dyDescent="0.25">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2.75" customHeight="1" x14ac:dyDescent="0.25">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2.75" customHeight="1" x14ac:dyDescent="0.25">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2.75" customHeight="1" x14ac:dyDescent="0.25">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2.75" customHeight="1" x14ac:dyDescent="0.25">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2.75" customHeight="1" x14ac:dyDescent="0.25">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2.75" customHeight="1" x14ac:dyDescent="0.25">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2.75" customHeight="1" x14ac:dyDescent="0.25">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2.75" customHeight="1" x14ac:dyDescent="0.25">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2.75" customHeight="1" x14ac:dyDescent="0.25">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2.75" customHeight="1" x14ac:dyDescent="0.25">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2.75" customHeight="1" x14ac:dyDescent="0.25">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2.75" customHeight="1" x14ac:dyDescent="0.25">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2.75" customHeight="1" x14ac:dyDescent="0.25">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2.75" customHeight="1" x14ac:dyDescent="0.25">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2.75" customHeight="1" x14ac:dyDescent="0.25">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2.75" customHeight="1" x14ac:dyDescent="0.25">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2.75" customHeight="1" x14ac:dyDescent="0.25">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2.75" customHeight="1" x14ac:dyDescent="0.25">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2.75" customHeight="1" x14ac:dyDescent="0.25">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2.75" customHeight="1" x14ac:dyDescent="0.25">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2.75" customHeight="1" x14ac:dyDescent="0.25">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2.75" customHeight="1" x14ac:dyDescent="0.25">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2.75" customHeight="1" x14ac:dyDescent="0.25">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2.75" customHeight="1" x14ac:dyDescent="0.25">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2.75" customHeight="1" x14ac:dyDescent="0.25">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2.75" customHeight="1" x14ac:dyDescent="0.25">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2.75" customHeight="1" x14ac:dyDescent="0.25">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2.75" customHeight="1" x14ac:dyDescent="0.25">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2.75" customHeight="1" x14ac:dyDescent="0.25">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2.75" customHeight="1" x14ac:dyDescent="0.25">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2.75" customHeight="1" x14ac:dyDescent="0.25">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2.75" customHeight="1" x14ac:dyDescent="0.25">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2.75" customHeight="1" x14ac:dyDescent="0.25">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2.75" customHeight="1" x14ac:dyDescent="0.25">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2.75" customHeight="1" x14ac:dyDescent="0.25">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2.75" customHeight="1" x14ac:dyDescent="0.25">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2.75" customHeight="1" x14ac:dyDescent="0.25">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2.75" customHeight="1" x14ac:dyDescent="0.25">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2.75" customHeight="1" x14ac:dyDescent="0.25">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2.75" customHeight="1" x14ac:dyDescent="0.25">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2.75" customHeight="1" x14ac:dyDescent="0.25">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2.75" customHeight="1" x14ac:dyDescent="0.25">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2.75" customHeight="1" x14ac:dyDescent="0.25">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2.75" customHeight="1" x14ac:dyDescent="0.25">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2.75" customHeight="1" x14ac:dyDescent="0.25">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2.75" customHeight="1" x14ac:dyDescent="0.25">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2.75" customHeight="1" x14ac:dyDescent="0.25">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2.75" customHeight="1" x14ac:dyDescent="0.25">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2.75" customHeight="1" x14ac:dyDescent="0.25">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2.75" customHeight="1" x14ac:dyDescent="0.25">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2.75" customHeight="1" x14ac:dyDescent="0.25">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2.75" customHeight="1" x14ac:dyDescent="0.25">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2.75" customHeight="1" x14ac:dyDescent="0.25">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2.75" customHeight="1" x14ac:dyDescent="0.25">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2.75" customHeight="1" x14ac:dyDescent="0.25">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2.75" customHeight="1" x14ac:dyDescent="0.25">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2.75" customHeight="1" x14ac:dyDescent="0.25">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2.75" customHeight="1" x14ac:dyDescent="0.25">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2.75" customHeight="1" x14ac:dyDescent="0.25">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2.75" customHeight="1" x14ac:dyDescent="0.25">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2.75" customHeight="1" x14ac:dyDescent="0.25">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2.75" customHeight="1" x14ac:dyDescent="0.25">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2.75" customHeight="1" x14ac:dyDescent="0.25">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2.75" customHeight="1" x14ac:dyDescent="0.25">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2.75" customHeight="1" x14ac:dyDescent="0.25">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2.75" customHeight="1" x14ac:dyDescent="0.25">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2.75" customHeight="1" x14ac:dyDescent="0.25">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2.75" customHeight="1" x14ac:dyDescent="0.25">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2.75" customHeight="1" x14ac:dyDescent="0.25">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2.75" customHeight="1" x14ac:dyDescent="0.25">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2.75" customHeight="1" x14ac:dyDescent="0.25">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2.75" customHeight="1" x14ac:dyDescent="0.25">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2.75" customHeight="1" x14ac:dyDescent="0.25">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2.75" customHeight="1" x14ac:dyDescent="0.25">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2.75" customHeight="1" x14ac:dyDescent="0.25">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2.75" customHeight="1" x14ac:dyDescent="0.25">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2.75" customHeight="1" x14ac:dyDescent="0.25">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2.75" customHeight="1" x14ac:dyDescent="0.25">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2.75" customHeight="1" x14ac:dyDescent="0.25">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2.75" customHeight="1" x14ac:dyDescent="0.25">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2.75" customHeight="1" x14ac:dyDescent="0.25">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2.75" customHeight="1" x14ac:dyDescent="0.25">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2.75" customHeight="1" x14ac:dyDescent="0.25">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2.75" customHeight="1" x14ac:dyDescent="0.25">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2.75" customHeight="1" x14ac:dyDescent="0.25">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2.75" customHeight="1" x14ac:dyDescent="0.25">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2.75" customHeight="1" x14ac:dyDescent="0.25">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2.75" customHeight="1" x14ac:dyDescent="0.25">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2.75" customHeight="1" x14ac:dyDescent="0.25">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2.75" customHeight="1" x14ac:dyDescent="0.25">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2.75" customHeight="1" x14ac:dyDescent="0.25">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2.75" customHeight="1" x14ac:dyDescent="0.25">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2.75" customHeight="1" x14ac:dyDescent="0.25">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2.75" customHeight="1" x14ac:dyDescent="0.25">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2.75" customHeight="1" x14ac:dyDescent="0.25">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2.75" customHeight="1" x14ac:dyDescent="0.25">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2.75" customHeight="1" x14ac:dyDescent="0.25">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2.75" customHeight="1" x14ac:dyDescent="0.25">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2.75" customHeight="1" x14ac:dyDescent="0.25">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2.75" customHeight="1" x14ac:dyDescent="0.25">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2.75" customHeight="1" x14ac:dyDescent="0.25">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2.75" customHeight="1" x14ac:dyDescent="0.25">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2.75" customHeight="1" x14ac:dyDescent="0.25">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2.75" customHeight="1" x14ac:dyDescent="0.25">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2.75" customHeight="1" x14ac:dyDescent="0.25">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2.75" customHeight="1" x14ac:dyDescent="0.25">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2.75" customHeight="1" x14ac:dyDescent="0.25">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2.75" customHeight="1" x14ac:dyDescent="0.25">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2.75" customHeight="1" x14ac:dyDescent="0.25">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2.75" customHeight="1" x14ac:dyDescent="0.25">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2.75" customHeight="1" x14ac:dyDescent="0.25">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2.75" customHeight="1" x14ac:dyDescent="0.25">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2.75" customHeight="1" x14ac:dyDescent="0.25">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2.75" customHeight="1" x14ac:dyDescent="0.25">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2.75" customHeight="1" x14ac:dyDescent="0.25">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2.75" customHeight="1" x14ac:dyDescent="0.25">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2.75" customHeight="1" x14ac:dyDescent="0.25">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2.75" customHeight="1" x14ac:dyDescent="0.25">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2.75" customHeight="1" x14ac:dyDescent="0.25">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2.75" customHeight="1" x14ac:dyDescent="0.25">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2.75" customHeight="1" x14ac:dyDescent="0.25">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2.75" customHeight="1" x14ac:dyDescent="0.25">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2.75" customHeight="1" x14ac:dyDescent="0.25">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2.75" customHeight="1" x14ac:dyDescent="0.25">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2.75" customHeight="1" x14ac:dyDescent="0.25">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2.75" customHeight="1" x14ac:dyDescent="0.25">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2.75" customHeight="1" x14ac:dyDescent="0.25">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2.75" customHeight="1" x14ac:dyDescent="0.25">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2.75" customHeight="1" x14ac:dyDescent="0.25">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2.75" customHeight="1" x14ac:dyDescent="0.25">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2.75" customHeight="1" x14ac:dyDescent="0.25">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2.75" customHeight="1" x14ac:dyDescent="0.25">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2.75" customHeight="1" x14ac:dyDescent="0.25">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2.75" customHeight="1" x14ac:dyDescent="0.25">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2.75" customHeight="1" x14ac:dyDescent="0.25">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2.75" customHeight="1" x14ac:dyDescent="0.25">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2.75" customHeight="1" x14ac:dyDescent="0.25">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2.75" customHeight="1" x14ac:dyDescent="0.25">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2.75" customHeight="1" x14ac:dyDescent="0.25">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2.75" customHeight="1" x14ac:dyDescent="0.25">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2.75" customHeight="1" x14ac:dyDescent="0.25">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2.75" customHeight="1" x14ac:dyDescent="0.25">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2.75" customHeight="1" x14ac:dyDescent="0.25">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2.75" customHeight="1" x14ac:dyDescent="0.25">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2.75" customHeight="1" x14ac:dyDescent="0.25">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2.75" customHeight="1" x14ac:dyDescent="0.25">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2.75" customHeight="1" x14ac:dyDescent="0.25">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2.75" customHeight="1" x14ac:dyDescent="0.25">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2.75" customHeight="1" x14ac:dyDescent="0.25">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2.75" customHeight="1" x14ac:dyDescent="0.25">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2.75" customHeight="1" x14ac:dyDescent="0.25">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2.75" customHeight="1" x14ac:dyDescent="0.25">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2.75" customHeight="1" x14ac:dyDescent="0.25">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2.75" customHeight="1" x14ac:dyDescent="0.25">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2.75" customHeight="1" x14ac:dyDescent="0.25">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2.75" customHeight="1" x14ac:dyDescent="0.25">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2.75" customHeight="1" x14ac:dyDescent="0.25">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2.75" customHeight="1" x14ac:dyDescent="0.25">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2.75" customHeight="1" x14ac:dyDescent="0.25">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2.75" customHeight="1" x14ac:dyDescent="0.25">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2.75" customHeight="1" x14ac:dyDescent="0.25">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2.75" customHeight="1" x14ac:dyDescent="0.25">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2.75" customHeight="1" x14ac:dyDescent="0.25">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2.75" customHeight="1" x14ac:dyDescent="0.25">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2.75" customHeight="1" x14ac:dyDescent="0.25">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2.75" customHeight="1" x14ac:dyDescent="0.25">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2.75" customHeight="1" x14ac:dyDescent="0.25">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2.75" customHeight="1" x14ac:dyDescent="0.25">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2.75" customHeight="1" x14ac:dyDescent="0.25">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2.75" customHeight="1" x14ac:dyDescent="0.25">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2.75" customHeight="1" x14ac:dyDescent="0.25">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2.75" customHeight="1" x14ac:dyDescent="0.25">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2.75" customHeight="1" x14ac:dyDescent="0.25">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2.75" customHeight="1" x14ac:dyDescent="0.25">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2.75" customHeight="1" x14ac:dyDescent="0.25">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2.75" customHeight="1" x14ac:dyDescent="0.25">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2.75" customHeight="1" x14ac:dyDescent="0.25">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2.75" customHeight="1" x14ac:dyDescent="0.25">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2.75" customHeight="1" x14ac:dyDescent="0.25">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2.75" customHeight="1" x14ac:dyDescent="0.25">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2.75" customHeight="1" x14ac:dyDescent="0.25">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2.75" customHeight="1" x14ac:dyDescent="0.25">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2.75" customHeight="1" x14ac:dyDescent="0.25">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2.75" customHeight="1" x14ac:dyDescent="0.25">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2.75" customHeight="1" x14ac:dyDescent="0.25">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2.75" customHeight="1" x14ac:dyDescent="0.25">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2.75" customHeight="1" x14ac:dyDescent="0.25">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2.75" customHeight="1" x14ac:dyDescent="0.25">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2.75" customHeight="1" x14ac:dyDescent="0.25">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2.75" customHeight="1" x14ac:dyDescent="0.25">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2.75" customHeight="1" x14ac:dyDescent="0.25">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2.75" customHeight="1" x14ac:dyDescent="0.25">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2.75" customHeight="1" x14ac:dyDescent="0.25">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2.75" customHeight="1" x14ac:dyDescent="0.25">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2.75" customHeight="1" x14ac:dyDescent="0.25">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2.75" customHeight="1" x14ac:dyDescent="0.25">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2.75" customHeight="1" x14ac:dyDescent="0.25">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2.75" customHeight="1" x14ac:dyDescent="0.25">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2.75" customHeight="1" x14ac:dyDescent="0.25">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2.75" customHeight="1" x14ac:dyDescent="0.25">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2.75" customHeight="1" x14ac:dyDescent="0.25">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2.75" customHeight="1" x14ac:dyDescent="0.25">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2.75" customHeight="1" x14ac:dyDescent="0.25">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2.75" customHeight="1" x14ac:dyDescent="0.25">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2.75" customHeight="1" x14ac:dyDescent="0.25">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2.75" customHeight="1" x14ac:dyDescent="0.25">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2.75" customHeight="1" x14ac:dyDescent="0.25">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2.75" customHeight="1" x14ac:dyDescent="0.25">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2.75" customHeight="1" x14ac:dyDescent="0.25">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2.75" customHeight="1" x14ac:dyDescent="0.25">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2.75" customHeight="1" x14ac:dyDescent="0.25">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2.75" customHeight="1" x14ac:dyDescent="0.25">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2.75" customHeight="1" x14ac:dyDescent="0.25">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2.75" customHeight="1" x14ac:dyDescent="0.25">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2.75" customHeight="1" x14ac:dyDescent="0.25">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2.75" customHeight="1" x14ac:dyDescent="0.25">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2.75" customHeight="1" x14ac:dyDescent="0.25">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2.75" customHeight="1" x14ac:dyDescent="0.25">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2.75" customHeight="1" x14ac:dyDescent="0.25">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2.75" customHeight="1" x14ac:dyDescent="0.25">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2.75" customHeight="1" x14ac:dyDescent="0.25">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2.75" customHeight="1" x14ac:dyDescent="0.25">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2.75" customHeight="1" x14ac:dyDescent="0.25">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2.75" customHeight="1" x14ac:dyDescent="0.25">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2.75" customHeight="1" x14ac:dyDescent="0.25">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2.75" customHeight="1" x14ac:dyDescent="0.25">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2.75" customHeight="1" x14ac:dyDescent="0.25">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2.75" customHeight="1" x14ac:dyDescent="0.25">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2.75" customHeight="1" x14ac:dyDescent="0.25">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2.75" customHeight="1" x14ac:dyDescent="0.25">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2.75" customHeight="1" x14ac:dyDescent="0.25">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2.75" customHeight="1" x14ac:dyDescent="0.25">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2.75" customHeight="1" x14ac:dyDescent="0.25">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2.75" customHeight="1" x14ac:dyDescent="0.25">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2.75" customHeight="1" x14ac:dyDescent="0.25">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2.75" customHeight="1" x14ac:dyDescent="0.25">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2.75" customHeight="1" x14ac:dyDescent="0.25">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2.75" customHeight="1" x14ac:dyDescent="0.25">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2.75" customHeight="1" x14ac:dyDescent="0.25">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2.75" customHeight="1" x14ac:dyDescent="0.25">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2.75" customHeight="1" x14ac:dyDescent="0.25">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2.75" customHeight="1" x14ac:dyDescent="0.25">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2.75" customHeight="1" x14ac:dyDescent="0.25">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2.75" customHeight="1" x14ac:dyDescent="0.25">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2.75" customHeight="1" x14ac:dyDescent="0.25">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2.75" customHeight="1" x14ac:dyDescent="0.25">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2.75" customHeight="1" x14ac:dyDescent="0.25">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2.75" customHeight="1" x14ac:dyDescent="0.25">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2.75" customHeight="1" x14ac:dyDescent="0.25">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2.75" customHeight="1" x14ac:dyDescent="0.25">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2.75" customHeight="1" x14ac:dyDescent="0.25">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2.75" customHeight="1" x14ac:dyDescent="0.25">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2.75" customHeight="1" x14ac:dyDescent="0.25">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2.75" customHeight="1" x14ac:dyDescent="0.25">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2.75" customHeight="1" x14ac:dyDescent="0.25">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2.75" customHeight="1" x14ac:dyDescent="0.25">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2.75" customHeight="1" x14ac:dyDescent="0.25">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2.75" customHeight="1" x14ac:dyDescent="0.25">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2.75" customHeight="1" x14ac:dyDescent="0.25">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2.75" customHeight="1" x14ac:dyDescent="0.25">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2.75" customHeight="1" x14ac:dyDescent="0.25">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2.75" customHeight="1" x14ac:dyDescent="0.25">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2.75" customHeight="1" x14ac:dyDescent="0.25">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2.75" customHeight="1" x14ac:dyDescent="0.25">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2.75" customHeight="1" x14ac:dyDescent="0.25">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2.75" customHeight="1" x14ac:dyDescent="0.25">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2.75" customHeight="1" x14ac:dyDescent="0.25">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2.75" customHeight="1" x14ac:dyDescent="0.25">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2.75" customHeight="1" x14ac:dyDescent="0.25">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2.75" customHeight="1" x14ac:dyDescent="0.25">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2.75" customHeight="1" x14ac:dyDescent="0.25">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2.75" customHeight="1" x14ac:dyDescent="0.25">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2.75" customHeight="1" x14ac:dyDescent="0.25">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2.75" customHeight="1" x14ac:dyDescent="0.25">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2.75" customHeight="1" x14ac:dyDescent="0.25">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2.75" customHeight="1" x14ac:dyDescent="0.25">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2.75" customHeight="1" x14ac:dyDescent="0.25">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2.75" customHeight="1" x14ac:dyDescent="0.25">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2.75" customHeight="1" x14ac:dyDescent="0.25">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2.75" customHeight="1" x14ac:dyDescent="0.25">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2.75" customHeight="1" x14ac:dyDescent="0.25">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2.75" customHeight="1" x14ac:dyDescent="0.25">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2.75" customHeight="1" x14ac:dyDescent="0.25">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2.75" customHeight="1" x14ac:dyDescent="0.25">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2.75" customHeight="1" x14ac:dyDescent="0.25">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2.75" customHeight="1" x14ac:dyDescent="0.25">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2.75" customHeight="1" x14ac:dyDescent="0.25">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2.75" customHeight="1" x14ac:dyDescent="0.25">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2.75" customHeight="1" x14ac:dyDescent="0.25">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2.75" customHeight="1" x14ac:dyDescent="0.25">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2.75" customHeight="1" x14ac:dyDescent="0.25">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2.75" customHeight="1" x14ac:dyDescent="0.25">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2.75" customHeight="1" x14ac:dyDescent="0.25">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2.75" customHeight="1" x14ac:dyDescent="0.25">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2.75" customHeight="1" x14ac:dyDescent="0.25">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2.75" customHeight="1" x14ac:dyDescent="0.25">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2.75" customHeight="1" x14ac:dyDescent="0.25">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2.75" customHeight="1" x14ac:dyDescent="0.25">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2.75" customHeight="1" x14ac:dyDescent="0.25">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2.75" customHeight="1" x14ac:dyDescent="0.25">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2.75" customHeight="1" x14ac:dyDescent="0.25">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2.75" customHeight="1" x14ac:dyDescent="0.25">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2.75" customHeight="1" x14ac:dyDescent="0.25">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2.75" customHeight="1" x14ac:dyDescent="0.25">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2.75" customHeight="1" x14ac:dyDescent="0.25">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2.75" customHeight="1" x14ac:dyDescent="0.25">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2.75" customHeight="1" x14ac:dyDescent="0.25">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2.75" customHeight="1" x14ac:dyDescent="0.25">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2.75" customHeight="1" x14ac:dyDescent="0.25">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2.75" customHeight="1" x14ac:dyDescent="0.25">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2.75" customHeight="1" x14ac:dyDescent="0.25">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2.75" customHeight="1" x14ac:dyDescent="0.25">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2.75" customHeight="1" x14ac:dyDescent="0.25">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2.75" customHeight="1" x14ac:dyDescent="0.25">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2.75" customHeight="1" x14ac:dyDescent="0.25">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2.75" customHeight="1" x14ac:dyDescent="0.25">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2.75" customHeight="1" x14ac:dyDescent="0.25">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2.75" customHeight="1" x14ac:dyDescent="0.25">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2.75" customHeight="1" x14ac:dyDescent="0.25">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2.75" customHeight="1" x14ac:dyDescent="0.25">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2.75" customHeight="1" x14ac:dyDescent="0.25">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2.75" customHeight="1" x14ac:dyDescent="0.25">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2.75" customHeight="1" x14ac:dyDescent="0.25">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2.75" customHeight="1" x14ac:dyDescent="0.25">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2.75" customHeight="1" x14ac:dyDescent="0.25">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2.75" customHeight="1" x14ac:dyDescent="0.25">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2.75" customHeight="1" x14ac:dyDescent="0.25">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2.75" customHeight="1" x14ac:dyDescent="0.25">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2.75" customHeight="1" x14ac:dyDescent="0.25">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2.75" customHeight="1" x14ac:dyDescent="0.25">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2.75" customHeight="1" x14ac:dyDescent="0.25">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2.75" customHeight="1" x14ac:dyDescent="0.25">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2.75" customHeight="1" x14ac:dyDescent="0.25">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2.75" customHeight="1" x14ac:dyDescent="0.25">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2.75" customHeight="1" x14ac:dyDescent="0.25">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2.75" customHeight="1" x14ac:dyDescent="0.25">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2.75" customHeight="1" x14ac:dyDescent="0.25">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2.75" customHeight="1" x14ac:dyDescent="0.25">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2.75" customHeight="1" x14ac:dyDescent="0.25">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2.75" customHeight="1" x14ac:dyDescent="0.25">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2.75" customHeight="1" x14ac:dyDescent="0.25">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2.75" customHeight="1" x14ac:dyDescent="0.25">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2.75" customHeight="1" x14ac:dyDescent="0.25">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2.75" customHeight="1" x14ac:dyDescent="0.25">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2.75" customHeight="1" x14ac:dyDescent="0.25">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2.75" customHeight="1" x14ac:dyDescent="0.25">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2.75" customHeight="1" x14ac:dyDescent="0.25">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2.75" customHeight="1" x14ac:dyDescent="0.25">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2.75" customHeight="1" x14ac:dyDescent="0.25">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2.75" customHeight="1" x14ac:dyDescent="0.25">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2.75" customHeight="1" x14ac:dyDescent="0.25">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2.75" customHeight="1" x14ac:dyDescent="0.25">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2.75" customHeight="1" x14ac:dyDescent="0.25">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2.75" customHeight="1" x14ac:dyDescent="0.25">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2.75" customHeight="1" x14ac:dyDescent="0.25">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2.75" customHeight="1" x14ac:dyDescent="0.25">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2.75" customHeight="1" x14ac:dyDescent="0.25">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2.75" customHeight="1" x14ac:dyDescent="0.25">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2.75" customHeight="1" x14ac:dyDescent="0.25">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2.75" customHeight="1" x14ac:dyDescent="0.25">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2.75" customHeight="1" x14ac:dyDescent="0.25">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2.75" customHeight="1" x14ac:dyDescent="0.25">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2.75" customHeight="1" x14ac:dyDescent="0.25">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2.75" customHeight="1" x14ac:dyDescent="0.25">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2.75" customHeight="1" x14ac:dyDescent="0.25">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2.75" customHeight="1" x14ac:dyDescent="0.25">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2.75" customHeight="1" x14ac:dyDescent="0.25">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2.75" customHeight="1" x14ac:dyDescent="0.25">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2.75" customHeight="1" x14ac:dyDescent="0.25">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2.75" customHeight="1" x14ac:dyDescent="0.25">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2.75" customHeight="1" x14ac:dyDescent="0.25">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2.75" customHeight="1" x14ac:dyDescent="0.25">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2.75" customHeight="1" x14ac:dyDescent="0.25">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2.75" customHeight="1" x14ac:dyDescent="0.25">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2.75" customHeight="1" x14ac:dyDescent="0.25">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2.75" customHeight="1" x14ac:dyDescent="0.25">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2.75" customHeight="1" x14ac:dyDescent="0.25">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2.75" customHeight="1" x14ac:dyDescent="0.25">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2.75" customHeight="1" x14ac:dyDescent="0.25">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2.75" customHeight="1" x14ac:dyDescent="0.25">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2.75" customHeight="1" x14ac:dyDescent="0.25">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2.75" customHeight="1" x14ac:dyDescent="0.25">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2.75" customHeight="1" x14ac:dyDescent="0.25">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2.75" customHeight="1" x14ac:dyDescent="0.25">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2.75" customHeight="1" x14ac:dyDescent="0.25">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2.75" customHeight="1" x14ac:dyDescent="0.25">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2.75" customHeight="1" x14ac:dyDescent="0.25">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2.75" customHeight="1" x14ac:dyDescent="0.25">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2.75" customHeight="1" x14ac:dyDescent="0.25">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2.75" customHeight="1" x14ac:dyDescent="0.25">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2.75" customHeight="1" x14ac:dyDescent="0.25">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2.75" customHeight="1" x14ac:dyDescent="0.25">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2.75" customHeight="1" x14ac:dyDescent="0.25">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2.75" customHeight="1" x14ac:dyDescent="0.25">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2.75" customHeight="1" x14ac:dyDescent="0.25">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2.75" customHeight="1" x14ac:dyDescent="0.25">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2.75" customHeight="1" x14ac:dyDescent="0.25">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2.75" customHeight="1" x14ac:dyDescent="0.25">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2.75" customHeight="1" x14ac:dyDescent="0.25">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2.75" customHeight="1" x14ac:dyDescent="0.25">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2.75" customHeight="1" x14ac:dyDescent="0.25">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2.75" customHeight="1" x14ac:dyDescent="0.25">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2.75" customHeight="1" x14ac:dyDescent="0.25">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2.75" customHeight="1" x14ac:dyDescent="0.25">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2.75" customHeight="1" x14ac:dyDescent="0.25">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2.75" customHeight="1" x14ac:dyDescent="0.25">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2.75" customHeight="1" x14ac:dyDescent="0.25">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2.75" customHeight="1" x14ac:dyDescent="0.25">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2.75" customHeight="1" x14ac:dyDescent="0.25">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2.75" customHeight="1" x14ac:dyDescent="0.25">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2.75" customHeight="1" x14ac:dyDescent="0.25">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2.75" customHeight="1" x14ac:dyDescent="0.25">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2.75" customHeight="1" x14ac:dyDescent="0.25">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2.75" customHeight="1" x14ac:dyDescent="0.25">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2.75" customHeight="1" x14ac:dyDescent="0.25">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2.75" customHeight="1" x14ac:dyDescent="0.25">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2.75" customHeight="1" x14ac:dyDescent="0.25">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2.75" customHeight="1" x14ac:dyDescent="0.25">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2.75" customHeight="1" x14ac:dyDescent="0.25">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2.75" customHeight="1" x14ac:dyDescent="0.25">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2.75" customHeight="1" x14ac:dyDescent="0.25">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2.75" customHeight="1" x14ac:dyDescent="0.25">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2.75" customHeight="1" x14ac:dyDescent="0.25">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2.75" customHeight="1" x14ac:dyDescent="0.25">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2.75" customHeight="1" x14ac:dyDescent="0.25">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2.75" customHeight="1" x14ac:dyDescent="0.25">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2.75" customHeight="1" x14ac:dyDescent="0.25">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2.75" customHeight="1" x14ac:dyDescent="0.25">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2.75" customHeight="1" x14ac:dyDescent="0.25">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2.75" customHeight="1" x14ac:dyDescent="0.25">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2.75" customHeight="1" x14ac:dyDescent="0.25">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2.75" customHeight="1" x14ac:dyDescent="0.25">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2.75" customHeight="1" x14ac:dyDescent="0.25">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2.75" customHeight="1" x14ac:dyDescent="0.25">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2.75" customHeight="1" x14ac:dyDescent="0.25">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2.75" customHeight="1" x14ac:dyDescent="0.25">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2.75" customHeight="1" x14ac:dyDescent="0.25">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2.75" customHeight="1" x14ac:dyDescent="0.25">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2.75" customHeight="1" x14ac:dyDescent="0.25">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2.75" customHeight="1" x14ac:dyDescent="0.25">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2.75" customHeight="1" x14ac:dyDescent="0.25">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2.75" customHeight="1" x14ac:dyDescent="0.25">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2.75" customHeight="1" x14ac:dyDescent="0.25">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2.75" customHeight="1" x14ac:dyDescent="0.25">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2.75" customHeight="1" x14ac:dyDescent="0.25">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2.75" customHeight="1" x14ac:dyDescent="0.25">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2.75" customHeight="1" x14ac:dyDescent="0.25">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2.75" customHeight="1" x14ac:dyDescent="0.25">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2.75" customHeight="1" x14ac:dyDescent="0.25">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2.75" customHeight="1" x14ac:dyDescent="0.25">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2.75" customHeight="1" x14ac:dyDescent="0.25">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2.75" customHeight="1" x14ac:dyDescent="0.25">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2.75" customHeight="1" x14ac:dyDescent="0.25">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2.75" customHeight="1" x14ac:dyDescent="0.25">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2.75" customHeight="1" x14ac:dyDescent="0.25">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2.75" customHeight="1" x14ac:dyDescent="0.25">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2.75" customHeight="1" x14ac:dyDescent="0.25">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2.75" customHeight="1" x14ac:dyDescent="0.25">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2.75" customHeight="1" x14ac:dyDescent="0.25">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2.75" customHeight="1" x14ac:dyDescent="0.25">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2.75" customHeight="1" x14ac:dyDescent="0.25">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2.75" customHeight="1" x14ac:dyDescent="0.25">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2.75" customHeight="1" x14ac:dyDescent="0.25">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2.75" customHeight="1" x14ac:dyDescent="0.25">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2.75" customHeight="1" x14ac:dyDescent="0.25">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2.75" customHeight="1" x14ac:dyDescent="0.25">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2.75" customHeight="1" x14ac:dyDescent="0.25">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2.75" customHeight="1" x14ac:dyDescent="0.25">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2.75" customHeight="1" x14ac:dyDescent="0.25">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2.75" customHeight="1" x14ac:dyDescent="0.25">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2.75" customHeight="1" x14ac:dyDescent="0.25">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2.75" customHeight="1" x14ac:dyDescent="0.25">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2.75" customHeight="1" x14ac:dyDescent="0.25">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2.75" customHeight="1" x14ac:dyDescent="0.25">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2.75" customHeight="1" x14ac:dyDescent="0.25">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2.75" customHeight="1" x14ac:dyDescent="0.25">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2.75" customHeight="1" x14ac:dyDescent="0.25">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2.75" customHeight="1" x14ac:dyDescent="0.25">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2.75" customHeight="1" x14ac:dyDescent="0.25">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2.75" customHeight="1" x14ac:dyDescent="0.25">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2.75" customHeight="1" x14ac:dyDescent="0.25">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2.75" customHeight="1" x14ac:dyDescent="0.25">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2.75" customHeight="1" x14ac:dyDescent="0.25">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2.75" customHeight="1" x14ac:dyDescent="0.25">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2.75" customHeight="1" x14ac:dyDescent="0.25">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2.75" customHeight="1" x14ac:dyDescent="0.25">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2.75" customHeight="1" x14ac:dyDescent="0.25">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2.75" customHeight="1" x14ac:dyDescent="0.25">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2.75" customHeight="1" x14ac:dyDescent="0.25">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2.75" customHeight="1" x14ac:dyDescent="0.25">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2.75" customHeight="1" x14ac:dyDescent="0.25">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2.75" customHeight="1" x14ac:dyDescent="0.25">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2.75" customHeight="1" x14ac:dyDescent="0.25">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2.75" customHeight="1" x14ac:dyDescent="0.25">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2.75" customHeight="1" x14ac:dyDescent="0.25">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2.75" customHeight="1" x14ac:dyDescent="0.25">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2.75" customHeight="1" x14ac:dyDescent="0.25">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2.75" customHeight="1" x14ac:dyDescent="0.25">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2.75" customHeight="1" x14ac:dyDescent="0.25">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2.75" customHeight="1" x14ac:dyDescent="0.25">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2.75" customHeight="1" x14ac:dyDescent="0.25">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2.75" customHeight="1" x14ac:dyDescent="0.25">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2.75" customHeight="1" x14ac:dyDescent="0.25">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2.75" customHeight="1" x14ac:dyDescent="0.25">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2.75" customHeight="1" x14ac:dyDescent="0.25">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2.75" customHeight="1" x14ac:dyDescent="0.25">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2.75" customHeight="1" x14ac:dyDescent="0.25">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2.75" customHeight="1" x14ac:dyDescent="0.25">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2.75" customHeight="1" x14ac:dyDescent="0.25">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2.75" customHeight="1" x14ac:dyDescent="0.25">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2.75" customHeight="1" x14ac:dyDescent="0.25">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2.75" customHeight="1" x14ac:dyDescent="0.25">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2.75" customHeight="1" x14ac:dyDescent="0.25">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2.75" customHeight="1" x14ac:dyDescent="0.25">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2.75" customHeight="1" x14ac:dyDescent="0.25">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2.75" customHeight="1" x14ac:dyDescent="0.25">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2.75" customHeight="1" x14ac:dyDescent="0.25">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2.75" customHeight="1" x14ac:dyDescent="0.25">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2.75" customHeight="1" x14ac:dyDescent="0.25">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2.75" customHeight="1" x14ac:dyDescent="0.25">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2.75" customHeight="1" x14ac:dyDescent="0.25">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2.75" customHeight="1" x14ac:dyDescent="0.25">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2.75" customHeight="1" x14ac:dyDescent="0.25">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2.75" customHeight="1" x14ac:dyDescent="0.25">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2.75" customHeight="1" x14ac:dyDescent="0.25">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2.75" customHeight="1" x14ac:dyDescent="0.25">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2.75" customHeight="1" x14ac:dyDescent="0.25">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2.75" customHeight="1" x14ac:dyDescent="0.25">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2.75" customHeight="1" x14ac:dyDescent="0.25">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2.75" customHeight="1" x14ac:dyDescent="0.25">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2.75" customHeight="1" x14ac:dyDescent="0.25">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2.75" customHeight="1" x14ac:dyDescent="0.25">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2.75" customHeight="1" x14ac:dyDescent="0.25">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2.75" customHeight="1" x14ac:dyDescent="0.25">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2.75" customHeight="1" x14ac:dyDescent="0.25">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2.75" customHeight="1" x14ac:dyDescent="0.25">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2.75" customHeight="1" x14ac:dyDescent="0.25">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2.75" customHeight="1" x14ac:dyDescent="0.25">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2.75" customHeight="1" x14ac:dyDescent="0.25">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2.75" customHeight="1" x14ac:dyDescent="0.25">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2.75" customHeight="1" x14ac:dyDescent="0.25">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2.75" customHeight="1" x14ac:dyDescent="0.25">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2.75" customHeight="1" x14ac:dyDescent="0.25">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2.75" customHeight="1" x14ac:dyDescent="0.25">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2.75" customHeight="1" x14ac:dyDescent="0.25">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2.75" customHeight="1" x14ac:dyDescent="0.25">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2.75" customHeight="1" x14ac:dyDescent="0.25">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2.75" customHeight="1" x14ac:dyDescent="0.25">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2.75" customHeight="1" x14ac:dyDescent="0.25">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2.75" customHeight="1" x14ac:dyDescent="0.25">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2.75" customHeight="1" x14ac:dyDescent="0.25">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2.75" customHeight="1" x14ac:dyDescent="0.25">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2.75" customHeight="1" x14ac:dyDescent="0.25">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2.75" customHeight="1" x14ac:dyDescent="0.25">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2.75" customHeight="1" x14ac:dyDescent="0.25">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2.75" customHeight="1" x14ac:dyDescent="0.25">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2.75" customHeight="1" x14ac:dyDescent="0.25">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2.75" customHeight="1" x14ac:dyDescent="0.25">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2.75" customHeight="1" x14ac:dyDescent="0.25">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2.75" customHeight="1" x14ac:dyDescent="0.25">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2.75" customHeight="1" x14ac:dyDescent="0.25">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2.75" customHeight="1" x14ac:dyDescent="0.25">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2.75" customHeight="1" x14ac:dyDescent="0.25">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2.75" customHeight="1" x14ac:dyDescent="0.25">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2.75" customHeight="1" x14ac:dyDescent="0.25">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2.75" customHeight="1" x14ac:dyDescent="0.25">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2.75" customHeight="1" x14ac:dyDescent="0.25">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2.75" customHeight="1" x14ac:dyDescent="0.25">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2.75" customHeight="1" x14ac:dyDescent="0.25">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2.75" customHeight="1" x14ac:dyDescent="0.25">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2.75" customHeight="1" x14ac:dyDescent="0.25">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2.75" customHeight="1" x14ac:dyDescent="0.25">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2.75" customHeight="1" x14ac:dyDescent="0.25">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2.75" customHeight="1" x14ac:dyDescent="0.25">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2.75" customHeight="1" x14ac:dyDescent="0.25">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2.75" customHeight="1" x14ac:dyDescent="0.25">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2.75" customHeight="1" x14ac:dyDescent="0.25">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2.75" customHeight="1" x14ac:dyDescent="0.25">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2.75" customHeight="1" x14ac:dyDescent="0.25">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2.75" customHeight="1" x14ac:dyDescent="0.25">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2.75" customHeight="1" x14ac:dyDescent="0.25">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2.75" customHeight="1" x14ac:dyDescent="0.25">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2.75" customHeight="1" x14ac:dyDescent="0.25">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2.75" customHeight="1" x14ac:dyDescent="0.25">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2.75" customHeight="1" x14ac:dyDescent="0.25">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2.75" customHeight="1" x14ac:dyDescent="0.25">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2.75" customHeight="1" x14ac:dyDescent="0.25">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2.75" customHeight="1" x14ac:dyDescent="0.25">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2.75" customHeight="1" x14ac:dyDescent="0.25">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2.75" customHeight="1" x14ac:dyDescent="0.25">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2.75" customHeight="1" x14ac:dyDescent="0.25">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2.75" customHeight="1" x14ac:dyDescent="0.25">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2.75" customHeight="1" x14ac:dyDescent="0.25">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2.75" customHeight="1" x14ac:dyDescent="0.25">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2.75" customHeight="1" x14ac:dyDescent="0.25">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2.75" customHeight="1" x14ac:dyDescent="0.25">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2.75" customHeight="1" x14ac:dyDescent="0.25">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2.75" customHeight="1" x14ac:dyDescent="0.25">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2.75" customHeight="1" x14ac:dyDescent="0.25">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2.75" customHeight="1" x14ac:dyDescent="0.25">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2.75" customHeight="1" x14ac:dyDescent="0.25">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2.75" customHeight="1" x14ac:dyDescent="0.25">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2.75" customHeight="1" x14ac:dyDescent="0.25">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2.75" customHeight="1" x14ac:dyDescent="0.25">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2.75" customHeight="1" x14ac:dyDescent="0.25">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2.75" customHeight="1" x14ac:dyDescent="0.25">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2.75" customHeight="1" x14ac:dyDescent="0.25">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2.75" customHeight="1" x14ac:dyDescent="0.25">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2.75" customHeight="1" x14ac:dyDescent="0.25">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2.75" customHeight="1" x14ac:dyDescent="0.25">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2.75" customHeight="1" x14ac:dyDescent="0.25">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2.75" customHeight="1" x14ac:dyDescent="0.25">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row r="1000" spans="1:26" ht="12.75" customHeight="1" x14ac:dyDescent="0.25">
      <c r="A1000" s="44"/>
      <c r="B1000" s="44"/>
      <c r="C1000" s="44"/>
      <c r="D1000" s="44"/>
      <c r="E1000" s="44"/>
      <c r="F1000" s="44"/>
      <c r="G1000" s="44"/>
      <c r="H1000" s="44"/>
      <c r="I1000" s="44"/>
      <c r="J1000" s="44"/>
      <c r="K1000" s="44"/>
      <c r="L1000" s="44"/>
      <c r="M1000" s="44"/>
      <c r="N1000" s="44"/>
      <c r="O1000" s="44"/>
      <c r="P1000" s="44"/>
      <c r="Q1000" s="44"/>
      <c r="R1000" s="44"/>
      <c r="S1000" s="44"/>
      <c r="T1000" s="44"/>
      <c r="U1000" s="44"/>
      <c r="V1000" s="44"/>
      <c r="W1000" s="44"/>
      <c r="X1000" s="44"/>
      <c r="Y1000" s="44"/>
      <c r="Z1000" s="44"/>
    </row>
    <row r="1001" spans="1:26" ht="12.75" customHeight="1" x14ac:dyDescent="0.25">
      <c r="A1001" s="44"/>
      <c r="B1001" s="44"/>
      <c r="C1001" s="44"/>
      <c r="D1001" s="44"/>
      <c r="E1001" s="44"/>
      <c r="F1001" s="44"/>
      <c r="G1001" s="44"/>
      <c r="H1001" s="44"/>
      <c r="I1001" s="44"/>
      <c r="J1001" s="44"/>
      <c r="K1001" s="44"/>
      <c r="L1001" s="44"/>
      <c r="M1001" s="44"/>
      <c r="N1001" s="44"/>
      <c r="O1001" s="44"/>
      <c r="P1001" s="44"/>
      <c r="Q1001" s="44"/>
      <c r="R1001" s="44"/>
      <c r="S1001" s="44"/>
      <c r="T1001" s="44"/>
      <c r="U1001" s="44"/>
      <c r="V1001" s="44"/>
      <c r="W1001" s="44"/>
      <c r="X1001" s="44"/>
      <c r="Y1001" s="44"/>
      <c r="Z1001" s="44"/>
    </row>
    <row r="1002" spans="1:26" ht="12.75" customHeight="1" x14ac:dyDescent="0.25">
      <c r="A1002" s="44"/>
      <c r="B1002" s="44"/>
      <c r="C1002" s="44"/>
      <c r="D1002" s="44"/>
      <c r="E1002" s="44"/>
      <c r="F1002" s="44"/>
      <c r="G1002" s="44"/>
      <c r="H1002" s="44"/>
      <c r="I1002" s="44"/>
      <c r="J1002" s="44"/>
      <c r="K1002" s="44"/>
      <c r="L1002" s="44"/>
      <c r="M1002" s="44"/>
      <c r="N1002" s="44"/>
      <c r="O1002" s="44"/>
      <c r="P1002" s="44"/>
      <c r="Q1002" s="44"/>
      <c r="R1002" s="44"/>
      <c r="S1002" s="44"/>
      <c r="T1002" s="44"/>
      <c r="U1002" s="44"/>
      <c r="V1002" s="44"/>
      <c r="W1002" s="44"/>
      <c r="X1002" s="44"/>
      <c r="Y1002" s="44"/>
      <c r="Z1002" s="44"/>
    </row>
    <row r="1003" spans="1:26" ht="12.75" customHeight="1" x14ac:dyDescent="0.25">
      <c r="A1003" s="44"/>
      <c r="B1003" s="44"/>
      <c r="C1003" s="44"/>
      <c r="D1003" s="44"/>
      <c r="E1003" s="44"/>
      <c r="F1003" s="44"/>
      <c r="G1003" s="44"/>
      <c r="H1003" s="44"/>
      <c r="I1003" s="44"/>
      <c r="J1003" s="44"/>
      <c r="K1003" s="44"/>
      <c r="L1003" s="44"/>
      <c r="M1003" s="44"/>
      <c r="N1003" s="44"/>
      <c r="O1003" s="44"/>
      <c r="P1003" s="44"/>
      <c r="Q1003" s="44"/>
      <c r="R1003" s="44"/>
      <c r="S1003" s="44"/>
      <c r="T1003" s="44"/>
      <c r="U1003" s="44"/>
      <c r="V1003" s="44"/>
      <c r="W1003" s="44"/>
      <c r="X1003" s="44"/>
      <c r="Y1003" s="44"/>
      <c r="Z1003" s="44"/>
    </row>
    <row r="1004" spans="1:26" ht="12.75" customHeight="1" x14ac:dyDescent="0.25">
      <c r="A1004" s="44"/>
      <c r="B1004" s="44"/>
      <c r="C1004" s="44"/>
      <c r="D1004" s="44"/>
      <c r="E1004" s="44"/>
      <c r="F1004" s="44"/>
      <c r="G1004" s="44"/>
      <c r="H1004" s="44"/>
      <c r="I1004" s="44"/>
      <c r="J1004" s="44"/>
      <c r="K1004" s="44"/>
      <c r="L1004" s="44"/>
      <c r="M1004" s="44"/>
      <c r="N1004" s="44"/>
      <c r="O1004" s="44"/>
      <c r="P1004" s="44"/>
      <c r="Q1004" s="44"/>
      <c r="R1004" s="44"/>
      <c r="S1004" s="44"/>
      <c r="T1004" s="44"/>
      <c r="U1004" s="44"/>
      <c r="V1004" s="44"/>
      <c r="W1004" s="44"/>
      <c r="X1004" s="44"/>
      <c r="Y1004" s="44"/>
      <c r="Z1004" s="44"/>
    </row>
    <row r="1005" spans="1:26" ht="12.75" customHeight="1" x14ac:dyDescent="0.25">
      <c r="A1005" s="44"/>
      <c r="B1005" s="44"/>
      <c r="C1005" s="44"/>
      <c r="D1005" s="44"/>
      <c r="E1005" s="44"/>
      <c r="F1005" s="44"/>
      <c r="G1005" s="44"/>
      <c r="H1005" s="44"/>
      <c r="I1005" s="44"/>
      <c r="J1005" s="44"/>
      <c r="K1005" s="44"/>
      <c r="L1005" s="44"/>
      <c r="M1005" s="44"/>
      <c r="N1005" s="44"/>
      <c r="O1005" s="44"/>
      <c r="P1005" s="44"/>
      <c r="Q1005" s="44"/>
      <c r="R1005" s="44"/>
      <c r="S1005" s="44"/>
      <c r="T1005" s="44"/>
      <c r="U1005" s="44"/>
      <c r="V1005" s="44"/>
      <c r="W1005" s="44"/>
      <c r="X1005" s="44"/>
      <c r="Y1005" s="44"/>
      <c r="Z1005" s="44"/>
    </row>
    <row r="1006" spans="1:26" ht="12.75" customHeight="1" x14ac:dyDescent="0.25">
      <c r="A1006" s="44"/>
      <c r="B1006" s="44"/>
      <c r="C1006" s="44"/>
      <c r="D1006" s="44"/>
      <c r="E1006" s="44"/>
      <c r="F1006" s="44"/>
      <c r="G1006" s="44"/>
      <c r="H1006" s="44"/>
      <c r="I1006" s="44"/>
      <c r="J1006" s="44"/>
      <c r="K1006" s="44"/>
      <c r="L1006" s="44"/>
      <c r="M1006" s="44"/>
      <c r="N1006" s="44"/>
      <c r="O1006" s="44"/>
      <c r="P1006" s="44"/>
      <c r="Q1006" s="44"/>
      <c r="R1006" s="44"/>
      <c r="S1006" s="44"/>
      <c r="T1006" s="44"/>
      <c r="U1006" s="44"/>
      <c r="V1006" s="44"/>
      <c r="W1006" s="44"/>
      <c r="X1006" s="44"/>
      <c r="Y1006" s="44"/>
      <c r="Z1006" s="44"/>
    </row>
    <row r="1007" spans="1:26" ht="12.75" customHeight="1" x14ac:dyDescent="0.25">
      <c r="A1007" s="44"/>
      <c r="B1007" s="44"/>
      <c r="C1007" s="44"/>
      <c r="D1007" s="44"/>
      <c r="E1007" s="44"/>
      <c r="F1007" s="44"/>
      <c r="G1007" s="44"/>
      <c r="H1007" s="44"/>
      <c r="I1007" s="44"/>
      <c r="J1007" s="44"/>
      <c r="K1007" s="44"/>
      <c r="L1007" s="44"/>
      <c r="M1007" s="44"/>
      <c r="N1007" s="44"/>
      <c r="O1007" s="44"/>
      <c r="P1007" s="44"/>
      <c r="Q1007" s="44"/>
      <c r="R1007" s="44"/>
      <c r="S1007" s="44"/>
      <c r="T1007" s="44"/>
      <c r="U1007" s="44"/>
      <c r="V1007" s="44"/>
      <c r="W1007" s="44"/>
      <c r="X1007" s="44"/>
      <c r="Y1007" s="44"/>
      <c r="Z1007" s="44"/>
    </row>
    <row r="1008" spans="1:26" ht="12.75" customHeight="1" x14ac:dyDescent="0.25">
      <c r="A1008" s="44"/>
      <c r="B1008" s="44"/>
      <c r="C1008" s="44"/>
      <c r="D1008" s="44"/>
      <c r="E1008" s="44"/>
      <c r="F1008" s="44"/>
      <c r="G1008" s="44"/>
      <c r="H1008" s="44"/>
      <c r="I1008" s="44"/>
      <c r="J1008" s="44"/>
      <c r="K1008" s="44"/>
      <c r="L1008" s="44"/>
      <c r="M1008" s="44"/>
      <c r="N1008" s="44"/>
      <c r="O1008" s="44"/>
      <c r="P1008" s="44"/>
      <c r="Q1008" s="44"/>
      <c r="R1008" s="44"/>
      <c r="S1008" s="44"/>
      <c r="T1008" s="44"/>
      <c r="U1008" s="44"/>
      <c r="V1008" s="44"/>
      <c r="W1008" s="44"/>
      <c r="X1008" s="44"/>
      <c r="Y1008" s="44"/>
      <c r="Z1008" s="44"/>
    </row>
    <row r="1009" spans="1:26" ht="12.75" customHeight="1" x14ac:dyDescent="0.25">
      <c r="A1009" s="44"/>
      <c r="B1009" s="44"/>
      <c r="C1009" s="44"/>
      <c r="D1009" s="44"/>
      <c r="E1009" s="44"/>
      <c r="F1009" s="44"/>
      <c r="G1009" s="44"/>
      <c r="H1009" s="44"/>
      <c r="I1009" s="44"/>
      <c r="J1009" s="44"/>
      <c r="K1009" s="44"/>
      <c r="L1009" s="44"/>
      <c r="M1009" s="44"/>
      <c r="N1009" s="44"/>
      <c r="O1009" s="44"/>
      <c r="P1009" s="44"/>
      <c r="Q1009" s="44"/>
      <c r="R1009" s="44"/>
      <c r="S1009" s="44"/>
      <c r="T1009" s="44"/>
      <c r="U1009" s="44"/>
      <c r="V1009" s="44"/>
      <c r="W1009" s="44"/>
      <c r="X1009" s="44"/>
      <c r="Y1009" s="44"/>
      <c r="Z1009" s="44"/>
    </row>
    <row r="1010" spans="1:26" ht="12.75" customHeight="1" x14ac:dyDescent="0.25">
      <c r="A1010" s="44"/>
      <c r="B1010" s="44"/>
      <c r="C1010" s="44"/>
      <c r="D1010" s="44"/>
      <c r="E1010" s="44"/>
      <c r="F1010" s="44"/>
      <c r="G1010" s="44"/>
      <c r="H1010" s="44"/>
      <c r="I1010" s="44"/>
      <c r="J1010" s="44"/>
      <c r="K1010" s="44"/>
      <c r="L1010" s="44"/>
      <c r="M1010" s="44"/>
      <c r="N1010" s="44"/>
      <c r="O1010" s="44"/>
      <c r="P1010" s="44"/>
      <c r="Q1010" s="44"/>
      <c r="R1010" s="44"/>
      <c r="S1010" s="44"/>
      <c r="T1010" s="44"/>
      <c r="U1010" s="44"/>
      <c r="V1010" s="44"/>
      <c r="W1010" s="44"/>
      <c r="X1010" s="44"/>
      <c r="Y1010" s="44"/>
      <c r="Z1010" s="44"/>
    </row>
    <row r="1011" spans="1:26" ht="12.75" customHeight="1" x14ac:dyDescent="0.25">
      <c r="A1011" s="44"/>
      <c r="B1011" s="44"/>
      <c r="C1011" s="44"/>
      <c r="D1011" s="44"/>
      <c r="E1011" s="44"/>
      <c r="F1011" s="44"/>
      <c r="G1011" s="44"/>
      <c r="H1011" s="44"/>
      <c r="I1011" s="44"/>
      <c r="J1011" s="44"/>
      <c r="K1011" s="44"/>
      <c r="L1011" s="44"/>
      <c r="M1011" s="44"/>
      <c r="N1011" s="44"/>
      <c r="O1011" s="44"/>
      <c r="P1011" s="44"/>
      <c r="Q1011" s="44"/>
      <c r="R1011" s="44"/>
      <c r="S1011" s="44"/>
      <c r="T1011" s="44"/>
      <c r="U1011" s="44"/>
      <c r="V1011" s="44"/>
      <c r="W1011" s="44"/>
      <c r="X1011" s="44"/>
      <c r="Y1011" s="44"/>
      <c r="Z1011" s="44"/>
    </row>
    <row r="1012" spans="1:26" ht="12.75" customHeight="1" x14ac:dyDescent="0.25">
      <c r="A1012" s="44"/>
      <c r="B1012" s="44"/>
      <c r="C1012" s="44"/>
      <c r="D1012" s="44"/>
      <c r="E1012" s="44"/>
      <c r="F1012" s="44"/>
      <c r="G1012" s="44"/>
      <c r="H1012" s="44"/>
      <c r="I1012" s="44"/>
      <c r="J1012" s="44"/>
      <c r="K1012" s="44"/>
      <c r="L1012" s="44"/>
      <c r="M1012" s="44"/>
      <c r="N1012" s="44"/>
      <c r="O1012" s="44"/>
      <c r="P1012" s="44"/>
      <c r="Q1012" s="44"/>
      <c r="R1012" s="44"/>
      <c r="S1012" s="44"/>
      <c r="T1012" s="44"/>
      <c r="U1012" s="44"/>
      <c r="V1012" s="44"/>
      <c r="W1012" s="44"/>
      <c r="X1012" s="44"/>
      <c r="Y1012" s="44"/>
      <c r="Z1012" s="44"/>
    </row>
    <row r="1013" spans="1:26" ht="12.75" customHeight="1" x14ac:dyDescent="0.25">
      <c r="A1013" s="44"/>
      <c r="B1013" s="44"/>
      <c r="C1013" s="44"/>
      <c r="D1013" s="44"/>
      <c r="E1013" s="44"/>
      <c r="F1013" s="44"/>
      <c r="G1013" s="44"/>
      <c r="H1013" s="44"/>
      <c r="I1013" s="44"/>
      <c r="J1013" s="44"/>
      <c r="K1013" s="44"/>
      <c r="L1013" s="44"/>
      <c r="M1013" s="44"/>
      <c r="N1013" s="44"/>
      <c r="O1013" s="44"/>
      <c r="P1013" s="44"/>
      <c r="Q1013" s="44"/>
      <c r="R1013" s="44"/>
      <c r="S1013" s="44"/>
      <c r="T1013" s="44"/>
      <c r="U1013" s="44"/>
      <c r="V1013" s="44"/>
      <c r="W1013" s="44"/>
      <c r="X1013" s="44"/>
      <c r="Y1013" s="44"/>
      <c r="Z1013" s="44"/>
    </row>
    <row r="1014" spans="1:26" ht="12.75" customHeight="1" x14ac:dyDescent="0.25">
      <c r="A1014" s="44"/>
      <c r="B1014" s="44"/>
      <c r="C1014" s="44"/>
      <c r="D1014" s="44"/>
      <c r="E1014" s="44"/>
      <c r="F1014" s="44"/>
      <c r="G1014" s="44"/>
      <c r="H1014" s="44"/>
      <c r="I1014" s="44"/>
      <c r="J1014" s="44"/>
      <c r="K1014" s="44"/>
      <c r="L1014" s="44"/>
      <c r="M1014" s="44"/>
      <c r="N1014" s="44"/>
      <c r="O1014" s="44"/>
      <c r="P1014" s="44"/>
      <c r="Q1014" s="44"/>
      <c r="R1014" s="44"/>
      <c r="S1014" s="44"/>
      <c r="T1014" s="44"/>
      <c r="U1014" s="44"/>
      <c r="V1014" s="44"/>
      <c r="W1014" s="44"/>
      <c r="X1014" s="44"/>
      <c r="Y1014" s="44"/>
      <c r="Z1014" s="44"/>
    </row>
    <row r="1015" spans="1:26" ht="12.75" customHeight="1" x14ac:dyDescent="0.25">
      <c r="A1015" s="44"/>
      <c r="B1015" s="44"/>
      <c r="C1015" s="44"/>
      <c r="D1015" s="44"/>
      <c r="E1015" s="44"/>
      <c r="F1015" s="44"/>
      <c r="G1015" s="44"/>
      <c r="H1015" s="44"/>
      <c r="I1015" s="44"/>
      <c r="J1015" s="44"/>
      <c r="K1015" s="44"/>
      <c r="L1015" s="44"/>
      <c r="M1015" s="44"/>
      <c r="N1015" s="44"/>
      <c r="O1015" s="44"/>
      <c r="P1015" s="44"/>
      <c r="Q1015" s="44"/>
      <c r="R1015" s="44"/>
      <c r="S1015" s="44"/>
      <c r="T1015" s="44"/>
      <c r="U1015" s="44"/>
      <c r="V1015" s="44"/>
      <c r="W1015" s="44"/>
      <c r="X1015" s="44"/>
      <c r="Y1015" s="44"/>
      <c r="Z1015" s="44"/>
    </row>
    <row r="1016" spans="1:26" ht="12.75" customHeight="1" x14ac:dyDescent="0.25">
      <c r="A1016" s="44"/>
      <c r="B1016" s="44"/>
      <c r="C1016" s="44"/>
      <c r="D1016" s="44"/>
      <c r="E1016" s="44"/>
      <c r="F1016" s="44"/>
      <c r="G1016" s="44"/>
      <c r="H1016" s="44"/>
      <c r="I1016" s="44"/>
      <c r="J1016" s="44"/>
      <c r="K1016" s="44"/>
      <c r="L1016" s="44"/>
      <c r="M1016" s="44"/>
      <c r="N1016" s="44"/>
      <c r="O1016" s="44"/>
      <c r="P1016" s="44"/>
      <c r="Q1016" s="44"/>
      <c r="R1016" s="44"/>
      <c r="S1016" s="44"/>
      <c r="T1016" s="44"/>
      <c r="U1016" s="44"/>
      <c r="V1016" s="44"/>
      <c r="W1016" s="44"/>
      <c r="X1016" s="44"/>
      <c r="Y1016" s="44"/>
      <c r="Z1016" s="44"/>
    </row>
    <row r="1017" spans="1:26" ht="12.75" customHeight="1" x14ac:dyDescent="0.25">
      <c r="A1017" s="44"/>
      <c r="B1017" s="44"/>
      <c r="C1017" s="44"/>
      <c r="D1017" s="44"/>
      <c r="E1017" s="44"/>
      <c r="F1017" s="44"/>
      <c r="G1017" s="44"/>
      <c r="H1017" s="44"/>
      <c r="I1017" s="44"/>
      <c r="J1017" s="44"/>
      <c r="K1017" s="44"/>
      <c r="L1017" s="44"/>
      <c r="M1017" s="44"/>
      <c r="N1017" s="44"/>
      <c r="O1017" s="44"/>
      <c r="P1017" s="44"/>
      <c r="Q1017" s="44"/>
      <c r="R1017" s="44"/>
      <c r="S1017" s="44"/>
      <c r="T1017" s="44"/>
      <c r="U1017" s="44"/>
      <c r="V1017" s="44"/>
      <c r="W1017" s="44"/>
      <c r="X1017" s="44"/>
      <c r="Y1017" s="44"/>
      <c r="Z1017" s="44"/>
    </row>
    <row r="1018" spans="1:26" ht="12.75" customHeight="1" x14ac:dyDescent="0.25">
      <c r="A1018" s="44"/>
      <c r="B1018" s="44"/>
      <c r="C1018" s="44"/>
      <c r="D1018" s="44"/>
      <c r="E1018" s="44"/>
      <c r="F1018" s="44"/>
      <c r="G1018" s="44"/>
      <c r="H1018" s="44"/>
      <c r="I1018" s="44"/>
      <c r="J1018" s="44"/>
      <c r="K1018" s="44"/>
      <c r="L1018" s="44"/>
      <c r="M1018" s="44"/>
      <c r="N1018" s="44"/>
      <c r="O1018" s="44"/>
      <c r="P1018" s="44"/>
      <c r="Q1018" s="44"/>
      <c r="R1018" s="44"/>
      <c r="S1018" s="44"/>
      <c r="T1018" s="44"/>
      <c r="U1018" s="44"/>
      <c r="V1018" s="44"/>
      <c r="W1018" s="44"/>
      <c r="X1018" s="44"/>
      <c r="Y1018" s="44"/>
      <c r="Z1018" s="44"/>
    </row>
    <row r="1019" spans="1:26" ht="12.75" customHeight="1" x14ac:dyDescent="0.25">
      <c r="A1019" s="44"/>
      <c r="B1019" s="44"/>
      <c r="C1019" s="44"/>
      <c r="D1019" s="44"/>
      <c r="E1019" s="44"/>
      <c r="F1019" s="44"/>
      <c r="G1019" s="44"/>
      <c r="H1019" s="44"/>
      <c r="I1019" s="44"/>
      <c r="J1019" s="44"/>
      <c r="K1019" s="44"/>
      <c r="L1019" s="44"/>
      <c r="M1019" s="44"/>
      <c r="N1019" s="44"/>
      <c r="O1019" s="44"/>
      <c r="P1019" s="44"/>
      <c r="Q1019" s="44"/>
      <c r="R1019" s="44"/>
      <c r="S1019" s="44"/>
      <c r="T1019" s="44"/>
      <c r="U1019" s="44"/>
      <c r="V1019" s="44"/>
      <c r="W1019" s="44"/>
      <c r="X1019" s="44"/>
      <c r="Y1019" s="44"/>
      <c r="Z1019" s="44"/>
    </row>
    <row r="1020" spans="1:26" ht="12.75" customHeight="1" x14ac:dyDescent="0.25">
      <c r="A1020" s="44"/>
      <c r="B1020" s="44"/>
      <c r="C1020" s="44"/>
      <c r="D1020" s="44"/>
      <c r="E1020" s="44"/>
      <c r="F1020" s="44"/>
      <c r="G1020" s="44"/>
      <c r="H1020" s="44"/>
      <c r="I1020" s="44"/>
      <c r="J1020" s="44"/>
      <c r="K1020" s="44"/>
      <c r="L1020" s="44"/>
      <c r="M1020" s="44"/>
      <c r="N1020" s="44"/>
      <c r="O1020" s="44"/>
      <c r="P1020" s="44"/>
      <c r="Q1020" s="44"/>
      <c r="R1020" s="44"/>
      <c r="S1020" s="44"/>
      <c r="T1020" s="44"/>
      <c r="U1020" s="44"/>
      <c r="V1020" s="44"/>
      <c r="W1020" s="44"/>
      <c r="X1020" s="44"/>
      <c r="Y1020" s="44"/>
      <c r="Z1020" s="44"/>
    </row>
    <row r="1021" spans="1:26" ht="12.75" customHeight="1" x14ac:dyDescent="0.25">
      <c r="A1021" s="44"/>
      <c r="B1021" s="44"/>
      <c r="C1021" s="44"/>
      <c r="D1021" s="44"/>
      <c r="E1021" s="44"/>
      <c r="F1021" s="44"/>
      <c r="G1021" s="44"/>
      <c r="H1021" s="44"/>
      <c r="I1021" s="44"/>
      <c r="J1021" s="44"/>
      <c r="K1021" s="44"/>
      <c r="L1021" s="44"/>
      <c r="M1021" s="44"/>
      <c r="N1021" s="44"/>
      <c r="O1021" s="44"/>
      <c r="P1021" s="44"/>
      <c r="Q1021" s="44"/>
      <c r="R1021" s="44"/>
      <c r="S1021" s="44"/>
      <c r="T1021" s="44"/>
      <c r="U1021" s="44"/>
      <c r="V1021" s="44"/>
      <c r="W1021" s="44"/>
      <c r="X1021" s="44"/>
      <c r="Y1021" s="44"/>
      <c r="Z1021" s="44"/>
    </row>
    <row r="1022" spans="1:26" ht="12.75" customHeight="1" x14ac:dyDescent="0.25">
      <c r="A1022" s="44"/>
      <c r="B1022" s="44"/>
      <c r="C1022" s="44"/>
      <c r="D1022" s="44"/>
      <c r="E1022" s="44"/>
      <c r="F1022" s="44"/>
      <c r="G1022" s="44"/>
      <c r="H1022" s="44"/>
      <c r="I1022" s="44"/>
      <c r="J1022" s="44"/>
      <c r="K1022" s="44"/>
      <c r="L1022" s="44"/>
      <c r="M1022" s="44"/>
      <c r="N1022" s="44"/>
      <c r="O1022" s="44"/>
      <c r="P1022" s="44"/>
      <c r="Q1022" s="44"/>
      <c r="R1022" s="44"/>
      <c r="S1022" s="44"/>
      <c r="T1022" s="44"/>
      <c r="U1022" s="44"/>
      <c r="V1022" s="44"/>
      <c r="W1022" s="44"/>
      <c r="X1022" s="44"/>
      <c r="Y1022" s="44"/>
      <c r="Z1022" s="44"/>
    </row>
    <row r="1023" spans="1:26" ht="12.75" customHeight="1" x14ac:dyDescent="0.25">
      <c r="A1023" s="44"/>
      <c r="B1023" s="44"/>
      <c r="C1023" s="44"/>
      <c r="D1023" s="44"/>
      <c r="E1023" s="44"/>
      <c r="F1023" s="44"/>
      <c r="G1023" s="44"/>
      <c r="H1023" s="44"/>
      <c r="I1023" s="44"/>
      <c r="J1023" s="44"/>
      <c r="K1023" s="44"/>
      <c r="L1023" s="44"/>
      <c r="M1023" s="44"/>
      <c r="N1023" s="44"/>
      <c r="O1023" s="44"/>
      <c r="P1023" s="44"/>
      <c r="Q1023" s="44"/>
      <c r="R1023" s="44"/>
      <c r="S1023" s="44"/>
      <c r="T1023" s="44"/>
      <c r="U1023" s="44"/>
      <c r="V1023" s="44"/>
      <c r="W1023" s="44"/>
      <c r="X1023" s="44"/>
      <c r="Y1023" s="44"/>
      <c r="Z1023" s="44"/>
    </row>
    <row r="1024" spans="1:26" ht="12.75" customHeight="1" x14ac:dyDescent="0.25">
      <c r="A1024" s="44"/>
      <c r="B1024" s="44"/>
      <c r="C1024" s="44"/>
      <c r="D1024" s="44"/>
      <c r="E1024" s="44"/>
      <c r="F1024" s="44"/>
      <c r="G1024" s="44"/>
      <c r="H1024" s="44"/>
      <c r="I1024" s="44"/>
      <c r="J1024" s="44"/>
      <c r="K1024" s="44"/>
      <c r="L1024" s="44"/>
      <c r="M1024" s="44"/>
      <c r="N1024" s="44"/>
      <c r="O1024" s="44"/>
      <c r="P1024" s="44"/>
      <c r="Q1024" s="44"/>
      <c r="R1024" s="44"/>
      <c r="S1024" s="44"/>
      <c r="T1024" s="44"/>
      <c r="U1024" s="44"/>
      <c r="V1024" s="44"/>
      <c r="W1024" s="44"/>
      <c r="X1024" s="44"/>
      <c r="Y1024" s="44"/>
      <c r="Z1024" s="44"/>
    </row>
    <row r="1025" spans="1:26" ht="12.75" customHeight="1" x14ac:dyDescent="0.25">
      <c r="A1025" s="44"/>
      <c r="B1025" s="44"/>
      <c r="C1025" s="44"/>
      <c r="D1025" s="44"/>
      <c r="E1025" s="44"/>
      <c r="F1025" s="44"/>
      <c r="G1025" s="44"/>
      <c r="H1025" s="44"/>
      <c r="I1025" s="44"/>
      <c r="J1025" s="44"/>
      <c r="K1025" s="44"/>
      <c r="L1025" s="44"/>
      <c r="M1025" s="44"/>
      <c r="N1025" s="44"/>
      <c r="O1025" s="44"/>
      <c r="P1025" s="44"/>
      <c r="Q1025" s="44"/>
      <c r="R1025" s="44"/>
      <c r="S1025" s="44"/>
      <c r="T1025" s="44"/>
      <c r="U1025" s="44"/>
      <c r="V1025" s="44"/>
      <c r="W1025" s="44"/>
      <c r="X1025" s="44"/>
      <c r="Y1025" s="44"/>
      <c r="Z1025" s="44"/>
    </row>
    <row r="1026" spans="1:26" ht="12.75" customHeight="1" x14ac:dyDescent="0.25">
      <c r="A1026" s="44"/>
      <c r="B1026" s="44"/>
      <c r="C1026" s="44"/>
      <c r="D1026" s="44"/>
      <c r="E1026" s="44"/>
      <c r="F1026" s="44"/>
      <c r="G1026" s="44"/>
      <c r="H1026" s="44"/>
      <c r="I1026" s="44"/>
      <c r="J1026" s="44"/>
      <c r="K1026" s="44"/>
      <c r="L1026" s="44"/>
      <c r="M1026" s="44"/>
      <c r="N1026" s="44"/>
      <c r="O1026" s="44"/>
      <c r="P1026" s="44"/>
      <c r="Q1026" s="44"/>
      <c r="R1026" s="44"/>
      <c r="S1026" s="44"/>
      <c r="T1026" s="44"/>
      <c r="U1026" s="44"/>
      <c r="V1026" s="44"/>
      <c r="W1026" s="44"/>
      <c r="X1026" s="44"/>
      <c r="Y1026" s="44"/>
      <c r="Z1026" s="44"/>
    </row>
    <row r="1027" spans="1:26" ht="12.75" customHeight="1" x14ac:dyDescent="0.25">
      <c r="A1027" s="44"/>
      <c r="B1027" s="44"/>
      <c r="C1027" s="44"/>
      <c r="D1027" s="44"/>
      <c r="E1027" s="44"/>
      <c r="F1027" s="44"/>
      <c r="G1027" s="44"/>
      <c r="H1027" s="44"/>
      <c r="I1027" s="44"/>
      <c r="J1027" s="44"/>
      <c r="K1027" s="44"/>
      <c r="L1027" s="44"/>
      <c r="M1027" s="44"/>
      <c r="N1027" s="44"/>
      <c r="O1027" s="44"/>
      <c r="P1027" s="44"/>
      <c r="Q1027" s="44"/>
      <c r="R1027" s="44"/>
      <c r="S1027" s="44"/>
      <c r="T1027" s="44"/>
      <c r="U1027" s="44"/>
      <c r="V1027" s="44"/>
      <c r="W1027" s="44"/>
      <c r="X1027" s="44"/>
      <c r="Y1027" s="44"/>
      <c r="Z1027" s="44"/>
    </row>
    <row r="1028" spans="1:26" ht="12.75" customHeight="1" x14ac:dyDescent="0.25">
      <c r="A1028" s="44"/>
      <c r="B1028" s="44"/>
      <c r="C1028" s="44"/>
      <c r="D1028" s="44"/>
      <c r="E1028" s="44"/>
      <c r="F1028" s="44"/>
      <c r="G1028" s="44"/>
      <c r="H1028" s="44"/>
      <c r="I1028" s="44"/>
      <c r="J1028" s="44"/>
      <c r="K1028" s="44"/>
      <c r="L1028" s="44"/>
      <c r="M1028" s="44"/>
      <c r="N1028" s="44"/>
      <c r="O1028" s="44"/>
      <c r="P1028" s="44"/>
      <c r="Q1028" s="44"/>
      <c r="R1028" s="44"/>
      <c r="S1028" s="44"/>
      <c r="T1028" s="44"/>
      <c r="U1028" s="44"/>
      <c r="V1028" s="44"/>
      <c r="W1028" s="44"/>
      <c r="X1028" s="44"/>
      <c r="Y1028" s="44"/>
      <c r="Z1028" s="44"/>
    </row>
    <row r="1029" spans="1:26" ht="12.75" customHeight="1" x14ac:dyDescent="0.25">
      <c r="A1029" s="44"/>
      <c r="B1029" s="44"/>
      <c r="C1029" s="44"/>
      <c r="D1029" s="44"/>
      <c r="E1029" s="44"/>
      <c r="F1029" s="44"/>
      <c r="G1029" s="44"/>
      <c r="H1029" s="44"/>
      <c r="I1029" s="44"/>
      <c r="J1029" s="44"/>
      <c r="K1029" s="44"/>
      <c r="L1029" s="44"/>
      <c r="M1029" s="44"/>
      <c r="N1029" s="44"/>
      <c r="O1029" s="44"/>
      <c r="P1029" s="44"/>
      <c r="Q1029" s="44"/>
      <c r="R1029" s="44"/>
      <c r="S1029" s="44"/>
      <c r="T1029" s="44"/>
      <c r="U1029" s="44"/>
      <c r="V1029" s="44"/>
      <c r="W1029" s="44"/>
      <c r="X1029" s="44"/>
      <c r="Y1029" s="44"/>
      <c r="Z1029" s="44"/>
    </row>
    <row r="1030" spans="1:26" ht="12.75" customHeight="1" x14ac:dyDescent="0.25">
      <c r="A1030" s="44"/>
      <c r="B1030" s="44"/>
      <c r="C1030" s="44"/>
      <c r="D1030" s="44"/>
      <c r="E1030" s="44"/>
      <c r="F1030" s="44"/>
      <c r="G1030" s="44"/>
      <c r="H1030" s="44"/>
      <c r="I1030" s="44"/>
      <c r="J1030" s="44"/>
      <c r="K1030" s="44"/>
      <c r="L1030" s="44"/>
      <c r="M1030" s="44"/>
      <c r="N1030" s="44"/>
      <c r="O1030" s="44"/>
      <c r="P1030" s="44"/>
      <c r="Q1030" s="44"/>
      <c r="R1030" s="44"/>
      <c r="S1030" s="44"/>
      <c r="T1030" s="44"/>
      <c r="U1030" s="44"/>
      <c r="V1030" s="44"/>
      <c r="W1030" s="44"/>
      <c r="X1030" s="44"/>
      <c r="Y1030" s="44"/>
      <c r="Z1030" s="44"/>
    </row>
    <row r="1031" spans="1:26" ht="12.75" customHeight="1" x14ac:dyDescent="0.25">
      <c r="A1031" s="44"/>
      <c r="B1031" s="44"/>
      <c r="C1031" s="44"/>
      <c r="D1031" s="44"/>
      <c r="E1031" s="44"/>
      <c r="F1031" s="44"/>
      <c r="G1031" s="44"/>
      <c r="H1031" s="44"/>
      <c r="I1031" s="44"/>
      <c r="J1031" s="44"/>
      <c r="K1031" s="44"/>
      <c r="L1031" s="44"/>
      <c r="M1031" s="44"/>
      <c r="N1031" s="44"/>
      <c r="O1031" s="44"/>
      <c r="P1031" s="44"/>
      <c r="Q1031" s="44"/>
      <c r="R1031" s="44"/>
      <c r="S1031" s="44"/>
      <c r="T1031" s="44"/>
      <c r="U1031" s="44"/>
      <c r="V1031" s="44"/>
      <c r="W1031" s="44"/>
      <c r="X1031" s="44"/>
      <c r="Y1031" s="44"/>
      <c r="Z1031" s="44"/>
    </row>
    <row r="1032" spans="1:26" ht="12.75" customHeight="1" x14ac:dyDescent="0.25">
      <c r="A1032" s="44"/>
      <c r="B1032" s="44"/>
      <c r="C1032" s="44"/>
      <c r="D1032" s="44"/>
      <c r="E1032" s="44"/>
      <c r="F1032" s="44"/>
      <c r="G1032" s="44"/>
      <c r="H1032" s="44"/>
      <c r="I1032" s="44"/>
      <c r="J1032" s="44"/>
      <c r="K1032" s="44"/>
      <c r="L1032" s="44"/>
      <c r="M1032" s="44"/>
      <c r="N1032" s="44"/>
      <c r="O1032" s="44"/>
      <c r="P1032" s="44"/>
      <c r="Q1032" s="44"/>
      <c r="R1032" s="44"/>
      <c r="S1032" s="44"/>
      <c r="T1032" s="44"/>
      <c r="U1032" s="44"/>
      <c r="V1032" s="44"/>
      <c r="W1032" s="44"/>
      <c r="X1032" s="44"/>
      <c r="Y1032" s="44"/>
      <c r="Z1032" s="44"/>
    </row>
    <row r="1033" spans="1:26" ht="12.75" customHeight="1" x14ac:dyDescent="0.25">
      <c r="A1033" s="44"/>
      <c r="B1033" s="44"/>
      <c r="C1033" s="44"/>
      <c r="D1033" s="44"/>
      <c r="E1033" s="44"/>
      <c r="F1033" s="44"/>
      <c r="G1033" s="44"/>
      <c r="H1033" s="44"/>
      <c r="I1033" s="44"/>
      <c r="J1033" s="44"/>
      <c r="K1033" s="44"/>
      <c r="L1033" s="44"/>
      <c r="M1033" s="44"/>
      <c r="N1033" s="44"/>
      <c r="O1033" s="44"/>
      <c r="P1033" s="44"/>
      <c r="Q1033" s="44"/>
      <c r="R1033" s="44"/>
      <c r="S1033" s="44"/>
      <c r="T1033" s="44"/>
      <c r="U1033" s="44"/>
      <c r="V1033" s="44"/>
      <c r="W1033" s="44"/>
      <c r="X1033" s="44"/>
      <c r="Y1033" s="44"/>
      <c r="Z1033" s="44"/>
    </row>
    <row r="1034" spans="1:26" ht="12.75" customHeight="1" x14ac:dyDescent="0.25">
      <c r="A1034" s="44"/>
      <c r="B1034" s="44"/>
      <c r="C1034" s="44"/>
      <c r="D1034" s="44"/>
      <c r="E1034" s="44"/>
      <c r="F1034" s="44"/>
      <c r="G1034" s="44"/>
      <c r="H1034" s="44"/>
      <c r="I1034" s="44"/>
      <c r="J1034" s="44"/>
      <c r="K1034" s="44"/>
      <c r="L1034" s="44"/>
      <c r="M1034" s="44"/>
      <c r="N1034" s="44"/>
      <c r="O1034" s="44"/>
      <c r="P1034" s="44"/>
      <c r="Q1034" s="44"/>
      <c r="R1034" s="44"/>
      <c r="S1034" s="44"/>
      <c r="T1034" s="44"/>
      <c r="U1034" s="44"/>
      <c r="V1034" s="44"/>
      <c r="W1034" s="44"/>
      <c r="X1034" s="44"/>
      <c r="Y1034" s="44"/>
      <c r="Z1034" s="44"/>
    </row>
    <row r="1035" spans="1:26" ht="12.75" customHeight="1" x14ac:dyDescent="0.25">
      <c r="A1035" s="44"/>
      <c r="B1035" s="44"/>
      <c r="C1035" s="44"/>
      <c r="D1035" s="44"/>
      <c r="E1035" s="44"/>
      <c r="F1035" s="44"/>
      <c r="G1035" s="44"/>
      <c r="H1035" s="44"/>
      <c r="I1035" s="44"/>
      <c r="J1035" s="44"/>
      <c r="K1035" s="44"/>
      <c r="L1035" s="44"/>
      <c r="M1035" s="44"/>
      <c r="N1035" s="44"/>
      <c r="O1035" s="44"/>
      <c r="P1035" s="44"/>
      <c r="Q1035" s="44"/>
      <c r="R1035" s="44"/>
      <c r="S1035" s="44"/>
      <c r="T1035" s="44"/>
      <c r="U1035" s="44"/>
      <c r="V1035" s="44"/>
      <c r="W1035" s="44"/>
      <c r="X1035" s="44"/>
      <c r="Y1035" s="44"/>
      <c r="Z1035" s="44"/>
    </row>
    <row r="1036" spans="1:26" ht="12.75" customHeight="1" x14ac:dyDescent="0.25">
      <c r="A1036" s="44"/>
      <c r="B1036" s="44"/>
      <c r="C1036" s="44"/>
      <c r="D1036" s="44"/>
      <c r="E1036" s="44"/>
      <c r="F1036" s="44"/>
      <c r="G1036" s="44"/>
      <c r="H1036" s="44"/>
      <c r="I1036" s="44"/>
      <c r="J1036" s="44"/>
      <c r="K1036" s="44"/>
      <c r="L1036" s="44"/>
      <c r="M1036" s="44"/>
      <c r="N1036" s="44"/>
      <c r="O1036" s="44"/>
      <c r="P1036" s="44"/>
      <c r="Q1036" s="44"/>
      <c r="R1036" s="44"/>
      <c r="S1036" s="44"/>
      <c r="T1036" s="44"/>
      <c r="U1036" s="44"/>
      <c r="V1036" s="44"/>
      <c r="W1036" s="44"/>
      <c r="X1036" s="44"/>
      <c r="Y1036" s="44"/>
      <c r="Z1036" s="44"/>
    </row>
    <row r="1037" spans="1:26" ht="12.75" customHeight="1" x14ac:dyDescent="0.25">
      <c r="A1037" s="44"/>
      <c r="B1037" s="44"/>
      <c r="C1037" s="44"/>
      <c r="D1037" s="44"/>
      <c r="E1037" s="44"/>
      <c r="F1037" s="44"/>
      <c r="G1037" s="44"/>
      <c r="H1037" s="44"/>
      <c r="I1037" s="44"/>
      <c r="J1037" s="44"/>
      <c r="K1037" s="44"/>
      <c r="L1037" s="44"/>
      <c r="M1037" s="44"/>
      <c r="N1037" s="44"/>
      <c r="O1037" s="44"/>
      <c r="P1037" s="44"/>
      <c r="Q1037" s="44"/>
      <c r="R1037" s="44"/>
      <c r="S1037" s="44"/>
      <c r="T1037" s="44"/>
      <c r="U1037" s="44"/>
      <c r="V1037" s="44"/>
      <c r="W1037" s="44"/>
      <c r="X1037" s="44"/>
      <c r="Y1037" s="44"/>
      <c r="Z1037" s="44"/>
    </row>
    <row r="1038" spans="1:26" ht="12.75" customHeight="1" x14ac:dyDescent="0.25">
      <c r="A1038" s="44"/>
      <c r="B1038" s="44"/>
      <c r="C1038" s="44"/>
      <c r="D1038" s="44"/>
      <c r="E1038" s="44"/>
      <c r="F1038" s="44"/>
      <c r="G1038" s="44"/>
      <c r="H1038" s="44"/>
      <c r="I1038" s="44"/>
      <c r="J1038" s="44"/>
      <c r="K1038" s="44"/>
      <c r="L1038" s="44"/>
      <c r="M1038" s="44"/>
      <c r="N1038" s="44"/>
      <c r="O1038" s="44"/>
      <c r="P1038" s="44"/>
      <c r="Q1038" s="44"/>
      <c r="R1038" s="44"/>
      <c r="S1038" s="44"/>
      <c r="T1038" s="44"/>
      <c r="U1038" s="44"/>
      <c r="V1038" s="44"/>
      <c r="W1038" s="44"/>
      <c r="X1038" s="44"/>
      <c r="Y1038" s="44"/>
      <c r="Z1038" s="44"/>
    </row>
    <row r="1039" spans="1:26" ht="12.75" customHeight="1" x14ac:dyDescent="0.25">
      <c r="A1039" s="44"/>
      <c r="B1039" s="44"/>
      <c r="C1039" s="44"/>
      <c r="D1039" s="44"/>
      <c r="E1039" s="44"/>
      <c r="F1039" s="44"/>
      <c r="G1039" s="44"/>
      <c r="H1039" s="44"/>
      <c r="I1039" s="44"/>
      <c r="J1039" s="44"/>
      <c r="K1039" s="44"/>
      <c r="L1039" s="44"/>
      <c r="M1039" s="44"/>
      <c r="N1039" s="44"/>
      <c r="O1039" s="44"/>
      <c r="P1039" s="44"/>
      <c r="Q1039" s="44"/>
      <c r="R1039" s="44"/>
      <c r="S1039" s="44"/>
      <c r="T1039" s="44"/>
      <c r="U1039" s="44"/>
      <c r="V1039" s="44"/>
      <c r="W1039" s="44"/>
      <c r="X1039" s="44"/>
      <c r="Y1039" s="44"/>
      <c r="Z1039" s="44"/>
    </row>
    <row r="1040" spans="1:26" ht="12.75" customHeight="1" x14ac:dyDescent="0.25">
      <c r="A1040" s="44"/>
      <c r="B1040" s="44"/>
      <c r="C1040" s="44"/>
      <c r="D1040" s="44"/>
      <c r="E1040" s="44"/>
      <c r="F1040" s="44"/>
      <c r="G1040" s="44"/>
      <c r="H1040" s="44"/>
      <c r="I1040" s="44"/>
      <c r="J1040" s="44"/>
      <c r="K1040" s="44"/>
      <c r="L1040" s="44"/>
      <c r="M1040" s="44"/>
      <c r="N1040" s="44"/>
      <c r="O1040" s="44"/>
      <c r="P1040" s="44"/>
      <c r="Q1040" s="44"/>
      <c r="R1040" s="44"/>
      <c r="S1040" s="44"/>
      <c r="T1040" s="44"/>
      <c r="U1040" s="44"/>
      <c r="V1040" s="44"/>
      <c r="W1040" s="44"/>
      <c r="X1040" s="44"/>
      <c r="Y1040" s="44"/>
      <c r="Z1040" s="44"/>
    </row>
    <row r="1041" spans="1:26" ht="12.75" customHeight="1" x14ac:dyDescent="0.25">
      <c r="A1041" s="44"/>
      <c r="B1041" s="44"/>
      <c r="C1041" s="44"/>
      <c r="D1041" s="44"/>
      <c r="E1041" s="44"/>
      <c r="F1041" s="44"/>
      <c r="G1041" s="44"/>
      <c r="H1041" s="44"/>
      <c r="I1041" s="44"/>
      <c r="J1041" s="44"/>
      <c r="K1041" s="44"/>
      <c r="L1041" s="44"/>
      <c r="M1041" s="44"/>
      <c r="N1041" s="44"/>
      <c r="O1041" s="44"/>
      <c r="P1041" s="44"/>
      <c r="Q1041" s="44"/>
      <c r="R1041" s="44"/>
      <c r="S1041" s="44"/>
      <c r="T1041" s="44"/>
      <c r="U1041" s="44"/>
      <c r="V1041" s="44"/>
      <c r="W1041" s="44"/>
      <c r="X1041" s="44"/>
      <c r="Y1041" s="44"/>
      <c r="Z1041" s="44"/>
    </row>
    <row r="1042" spans="1:26" ht="12.75" customHeight="1" x14ac:dyDescent="0.25">
      <c r="A1042" s="44"/>
      <c r="B1042" s="44"/>
      <c r="C1042" s="44"/>
      <c r="D1042" s="44"/>
      <c r="E1042" s="44"/>
      <c r="F1042" s="44"/>
      <c r="G1042" s="44"/>
      <c r="H1042" s="44"/>
      <c r="I1042" s="44"/>
      <c r="J1042" s="44"/>
      <c r="K1042" s="44"/>
      <c r="L1042" s="44"/>
      <c r="M1042" s="44"/>
      <c r="N1042" s="44"/>
      <c r="O1042" s="44"/>
      <c r="P1042" s="44"/>
      <c r="Q1042" s="44"/>
      <c r="R1042" s="44"/>
      <c r="S1042" s="44"/>
      <c r="T1042" s="44"/>
      <c r="U1042" s="44"/>
      <c r="V1042" s="44"/>
      <c r="W1042" s="44"/>
      <c r="X1042" s="44"/>
      <c r="Y1042" s="44"/>
      <c r="Z1042" s="44"/>
    </row>
    <row r="1043" spans="1:26" ht="12.75" customHeight="1" x14ac:dyDescent="0.25">
      <c r="A1043" s="44"/>
      <c r="B1043" s="44"/>
      <c r="C1043" s="44"/>
      <c r="D1043" s="44"/>
      <c r="E1043" s="44"/>
      <c r="F1043" s="44"/>
      <c r="G1043" s="44"/>
      <c r="H1043" s="44"/>
      <c r="I1043" s="44"/>
      <c r="J1043" s="44"/>
      <c r="K1043" s="44"/>
      <c r="L1043" s="44"/>
      <c r="M1043" s="44"/>
      <c r="N1043" s="44"/>
      <c r="O1043" s="44"/>
      <c r="P1043" s="44"/>
      <c r="Q1043" s="44"/>
      <c r="R1043" s="44"/>
      <c r="S1043" s="44"/>
      <c r="T1043" s="44"/>
      <c r="U1043" s="44"/>
      <c r="V1043" s="44"/>
      <c r="W1043" s="44"/>
      <c r="X1043" s="44"/>
      <c r="Y1043" s="44"/>
      <c r="Z1043" s="44"/>
    </row>
    <row r="1044" spans="1:26" ht="12.75" customHeight="1" x14ac:dyDescent="0.25">
      <c r="A1044" s="44"/>
      <c r="B1044" s="44"/>
      <c r="C1044" s="44"/>
      <c r="D1044" s="44"/>
      <c r="E1044" s="44"/>
      <c r="F1044" s="44"/>
      <c r="G1044" s="44"/>
      <c r="H1044" s="44"/>
      <c r="I1044" s="44"/>
      <c r="J1044" s="44"/>
      <c r="K1044" s="44"/>
      <c r="L1044" s="44"/>
      <c r="M1044" s="44"/>
      <c r="N1044" s="44"/>
      <c r="O1044" s="44"/>
      <c r="P1044" s="44"/>
      <c r="Q1044" s="44"/>
      <c r="R1044" s="44"/>
      <c r="S1044" s="44"/>
      <c r="T1044" s="44"/>
      <c r="U1044" s="44"/>
      <c r="V1044" s="44"/>
      <c r="W1044" s="44"/>
      <c r="X1044" s="44"/>
      <c r="Y1044" s="44"/>
      <c r="Z1044" s="44"/>
    </row>
    <row r="1045" spans="1:26" ht="12.75" customHeight="1" x14ac:dyDescent="0.25">
      <c r="A1045" s="44"/>
      <c r="B1045" s="44"/>
      <c r="C1045" s="44"/>
      <c r="D1045" s="44"/>
      <c r="E1045" s="44"/>
      <c r="F1045" s="44"/>
      <c r="G1045" s="44"/>
      <c r="H1045" s="44"/>
      <c r="I1045" s="44"/>
      <c r="J1045" s="44"/>
      <c r="K1045" s="44"/>
      <c r="L1045" s="44"/>
      <c r="M1045" s="44"/>
      <c r="N1045" s="44"/>
      <c r="O1045" s="44"/>
      <c r="P1045" s="44"/>
      <c r="Q1045" s="44"/>
      <c r="R1045" s="44"/>
      <c r="S1045" s="44"/>
      <c r="T1045" s="44"/>
      <c r="U1045" s="44"/>
      <c r="V1045" s="44"/>
      <c r="W1045" s="44"/>
      <c r="X1045" s="44"/>
      <c r="Y1045" s="44"/>
      <c r="Z1045" s="44"/>
    </row>
    <row r="1046" spans="1:26" ht="12.75" customHeight="1" x14ac:dyDescent="0.25">
      <c r="A1046" s="44"/>
      <c r="B1046" s="44"/>
      <c r="C1046" s="44"/>
      <c r="D1046" s="44"/>
      <c r="E1046" s="44"/>
      <c r="F1046" s="44"/>
      <c r="G1046" s="44"/>
      <c r="H1046" s="44"/>
      <c r="I1046" s="44"/>
      <c r="J1046" s="44"/>
      <c r="K1046" s="44"/>
      <c r="L1046" s="44"/>
      <c r="M1046" s="44"/>
      <c r="N1046" s="44"/>
      <c r="O1046" s="44"/>
      <c r="P1046" s="44"/>
      <c r="Q1046" s="44"/>
      <c r="R1046" s="44"/>
      <c r="S1046" s="44"/>
      <c r="T1046" s="44"/>
      <c r="U1046" s="44"/>
      <c r="V1046" s="44"/>
      <c r="W1046" s="44"/>
      <c r="X1046" s="44"/>
      <c r="Y1046" s="44"/>
      <c r="Z1046" s="44"/>
    </row>
    <row r="1047" spans="1:26" ht="12.75" customHeight="1" x14ac:dyDescent="0.25">
      <c r="A1047" s="44"/>
      <c r="B1047" s="44"/>
      <c r="C1047" s="44"/>
      <c r="D1047" s="44"/>
      <c r="E1047" s="44"/>
      <c r="F1047" s="44"/>
      <c r="G1047" s="44"/>
      <c r="H1047" s="44"/>
      <c r="I1047" s="44"/>
      <c r="J1047" s="44"/>
      <c r="K1047" s="44"/>
      <c r="L1047" s="44"/>
      <c r="M1047" s="44"/>
      <c r="N1047" s="44"/>
      <c r="O1047" s="44"/>
      <c r="P1047" s="44"/>
      <c r="Q1047" s="44"/>
      <c r="R1047" s="44"/>
      <c r="S1047" s="44"/>
      <c r="T1047" s="44"/>
      <c r="U1047" s="44"/>
      <c r="V1047" s="44"/>
      <c r="W1047" s="44"/>
      <c r="X1047" s="44"/>
      <c r="Y1047" s="44"/>
      <c r="Z1047" s="44"/>
    </row>
    <row r="1048" spans="1:26" ht="12.75" customHeight="1" x14ac:dyDescent="0.25">
      <c r="A1048" s="44"/>
      <c r="B1048" s="44"/>
      <c r="C1048" s="44"/>
      <c r="D1048" s="44"/>
      <c r="E1048" s="44"/>
      <c r="F1048" s="44"/>
      <c r="G1048" s="44"/>
      <c r="H1048" s="44"/>
      <c r="I1048" s="44"/>
      <c r="J1048" s="44"/>
      <c r="K1048" s="44"/>
      <c r="L1048" s="44"/>
      <c r="M1048" s="44"/>
      <c r="N1048" s="44"/>
      <c r="O1048" s="44"/>
      <c r="P1048" s="44"/>
      <c r="Q1048" s="44"/>
      <c r="R1048" s="44"/>
      <c r="S1048" s="44"/>
      <c r="T1048" s="44"/>
      <c r="U1048" s="44"/>
      <c r="V1048" s="44"/>
      <c r="W1048" s="44"/>
      <c r="X1048" s="44"/>
      <c r="Y1048" s="44"/>
      <c r="Z1048" s="44"/>
    </row>
    <row r="1049" spans="1:26" ht="12.75" customHeight="1" x14ac:dyDescent="0.25">
      <c r="A1049" s="44"/>
      <c r="B1049" s="44"/>
      <c r="C1049" s="44"/>
      <c r="D1049" s="44"/>
      <c r="E1049" s="44"/>
      <c r="F1049" s="44"/>
      <c r="G1049" s="44"/>
      <c r="H1049" s="44"/>
      <c r="I1049" s="44"/>
      <c r="J1049" s="44"/>
      <c r="K1049" s="44"/>
      <c r="L1049" s="44"/>
      <c r="M1049" s="44"/>
      <c r="N1049" s="44"/>
      <c r="O1049" s="44"/>
      <c r="P1049" s="44"/>
      <c r="Q1049" s="44"/>
      <c r="R1049" s="44"/>
      <c r="S1049" s="44"/>
      <c r="T1049" s="44"/>
      <c r="U1049" s="44"/>
      <c r="V1049" s="44"/>
      <c r="W1049" s="44"/>
      <c r="X1049" s="44"/>
      <c r="Y1049" s="44"/>
      <c r="Z1049" s="44"/>
    </row>
    <row r="1050" spans="1:26" ht="12.75" customHeight="1" x14ac:dyDescent="0.25">
      <c r="A1050" s="44"/>
      <c r="B1050" s="44"/>
      <c r="C1050" s="44"/>
      <c r="D1050" s="44"/>
      <c r="E1050" s="44"/>
      <c r="F1050" s="44"/>
      <c r="G1050" s="44"/>
      <c r="H1050" s="44"/>
      <c r="I1050" s="44"/>
      <c r="J1050" s="44"/>
      <c r="K1050" s="44"/>
      <c r="L1050" s="44"/>
      <c r="M1050" s="44"/>
      <c r="N1050" s="44"/>
      <c r="O1050" s="44"/>
      <c r="P1050" s="44"/>
      <c r="Q1050" s="44"/>
      <c r="R1050" s="44"/>
      <c r="S1050" s="44"/>
      <c r="T1050" s="44"/>
      <c r="U1050" s="44"/>
      <c r="V1050" s="44"/>
      <c r="W1050" s="44"/>
      <c r="X1050" s="44"/>
      <c r="Y1050" s="44"/>
      <c r="Z1050" s="44"/>
    </row>
    <row r="1051" spans="1:26" ht="12.75" customHeight="1" x14ac:dyDescent="0.25">
      <c r="A1051" s="44"/>
      <c r="B1051" s="44"/>
      <c r="C1051" s="44"/>
      <c r="D1051" s="44"/>
      <c r="E1051" s="44"/>
      <c r="F1051" s="44"/>
      <c r="G1051" s="44"/>
      <c r="H1051" s="44"/>
      <c r="I1051" s="44"/>
      <c r="J1051" s="44"/>
      <c r="K1051" s="44"/>
      <c r="L1051" s="44"/>
      <c r="M1051" s="44"/>
      <c r="N1051" s="44"/>
      <c r="O1051" s="44"/>
      <c r="P1051" s="44"/>
      <c r="Q1051" s="44"/>
      <c r="R1051" s="44"/>
      <c r="S1051" s="44"/>
      <c r="T1051" s="44"/>
      <c r="U1051" s="44"/>
      <c r="V1051" s="44"/>
      <c r="W1051" s="44"/>
      <c r="X1051" s="44"/>
      <c r="Y1051" s="44"/>
      <c r="Z1051" s="44"/>
    </row>
    <row r="1052" spans="1:26" ht="12.75" customHeight="1" x14ac:dyDescent="0.25">
      <c r="A1052" s="44"/>
      <c r="B1052" s="44"/>
      <c r="C1052" s="44"/>
      <c r="D1052" s="44"/>
      <c r="E1052" s="44"/>
      <c r="F1052" s="44"/>
      <c r="G1052" s="44"/>
      <c r="H1052" s="44"/>
      <c r="I1052" s="44"/>
      <c r="J1052" s="44"/>
      <c r="K1052" s="44"/>
      <c r="L1052" s="44"/>
      <c r="M1052" s="44"/>
      <c r="N1052" s="44"/>
      <c r="O1052" s="44"/>
      <c r="P1052" s="44"/>
      <c r="Q1052" s="44"/>
      <c r="R1052" s="44"/>
      <c r="S1052" s="44"/>
      <c r="T1052" s="44"/>
      <c r="U1052" s="44"/>
      <c r="V1052" s="44"/>
      <c r="W1052" s="44"/>
      <c r="X1052" s="44"/>
      <c r="Y1052" s="44"/>
      <c r="Z1052" s="44"/>
    </row>
    <row r="1053" spans="1:26" ht="12.75" customHeight="1" x14ac:dyDescent="0.25">
      <c r="A1053" s="44"/>
      <c r="B1053" s="44"/>
      <c r="C1053" s="44"/>
      <c r="D1053" s="44"/>
      <c r="E1053" s="44"/>
      <c r="F1053" s="44"/>
      <c r="G1053" s="44"/>
      <c r="H1053" s="44"/>
      <c r="I1053" s="44"/>
      <c r="J1053" s="44"/>
      <c r="K1053" s="44"/>
      <c r="L1053" s="44"/>
      <c r="M1053" s="44"/>
      <c r="N1053" s="44"/>
      <c r="O1053" s="44"/>
      <c r="P1053" s="44"/>
      <c r="Q1053" s="44"/>
      <c r="R1053" s="44"/>
      <c r="S1053" s="44"/>
      <c r="T1053" s="44"/>
      <c r="U1053" s="44"/>
      <c r="V1053" s="44"/>
      <c r="W1053" s="44"/>
      <c r="X1053" s="44"/>
      <c r="Y1053" s="44"/>
      <c r="Z1053" s="44"/>
    </row>
    <row r="1054" spans="1:26" ht="12.75" customHeight="1" x14ac:dyDescent="0.25">
      <c r="A1054" s="44"/>
      <c r="B1054" s="44"/>
      <c r="C1054" s="44"/>
      <c r="D1054" s="44"/>
      <c r="E1054" s="44"/>
      <c r="F1054" s="44"/>
      <c r="G1054" s="44"/>
      <c r="H1054" s="44"/>
      <c r="I1054" s="44"/>
      <c r="J1054" s="44"/>
      <c r="K1054" s="44"/>
      <c r="L1054" s="44"/>
      <c r="M1054" s="44"/>
      <c r="N1054" s="44"/>
      <c r="O1054" s="44"/>
      <c r="P1054" s="44"/>
      <c r="Q1054" s="44"/>
      <c r="R1054" s="44"/>
      <c r="S1054" s="44"/>
      <c r="T1054" s="44"/>
      <c r="U1054" s="44"/>
      <c r="V1054" s="44"/>
      <c r="W1054" s="44"/>
      <c r="X1054" s="44"/>
      <c r="Y1054" s="44"/>
      <c r="Z1054" s="44"/>
    </row>
    <row r="1055" spans="1:26" ht="12.75" customHeight="1" x14ac:dyDescent="0.25">
      <c r="A1055" s="44"/>
      <c r="B1055" s="44"/>
      <c r="C1055" s="44"/>
      <c r="D1055" s="44"/>
      <c r="E1055" s="44"/>
      <c r="F1055" s="44"/>
      <c r="G1055" s="44"/>
      <c r="H1055" s="44"/>
      <c r="I1055" s="44"/>
      <c r="J1055" s="44"/>
      <c r="K1055" s="44"/>
      <c r="L1055" s="44"/>
      <c r="M1055" s="44"/>
      <c r="N1055" s="44"/>
      <c r="O1055" s="44"/>
      <c r="P1055" s="44"/>
      <c r="Q1055" s="44"/>
      <c r="R1055" s="44"/>
      <c r="S1055" s="44"/>
      <c r="T1055" s="44"/>
      <c r="U1055" s="44"/>
      <c r="V1055" s="44"/>
      <c r="W1055" s="44"/>
      <c r="X1055" s="44"/>
      <c r="Y1055" s="44"/>
      <c r="Z1055" s="44"/>
    </row>
    <row r="1056" spans="1:26" ht="12.75" customHeight="1" x14ac:dyDescent="0.25">
      <c r="A1056" s="44"/>
      <c r="B1056" s="44"/>
      <c r="C1056" s="44"/>
      <c r="D1056" s="44"/>
      <c r="E1056" s="44"/>
      <c r="F1056" s="44"/>
      <c r="G1056" s="44"/>
      <c r="H1056" s="44"/>
      <c r="I1056" s="44"/>
      <c r="J1056" s="44"/>
      <c r="K1056" s="44"/>
      <c r="L1056" s="44"/>
      <c r="M1056" s="44"/>
      <c r="N1056" s="44"/>
      <c r="O1056" s="44"/>
      <c r="P1056" s="44"/>
      <c r="Q1056" s="44"/>
      <c r="R1056" s="44"/>
      <c r="S1056" s="44"/>
      <c r="T1056" s="44"/>
      <c r="U1056" s="44"/>
      <c r="V1056" s="44"/>
      <c r="W1056" s="44"/>
      <c r="X1056" s="44"/>
      <c r="Y1056" s="44"/>
      <c r="Z1056" s="44"/>
    </row>
    <row r="1057" spans="1:26" ht="12.75" customHeight="1" x14ac:dyDescent="0.25">
      <c r="A1057" s="44"/>
      <c r="B1057" s="44"/>
      <c r="C1057" s="44"/>
      <c r="D1057" s="44"/>
      <c r="E1057" s="44"/>
      <c r="F1057" s="44"/>
      <c r="G1057" s="44"/>
      <c r="H1057" s="44"/>
      <c r="I1057" s="44"/>
      <c r="J1057" s="44"/>
      <c r="K1057" s="44"/>
      <c r="L1057" s="44"/>
      <c r="M1057" s="44"/>
      <c r="N1057" s="44"/>
      <c r="O1057" s="44"/>
      <c r="P1057" s="44"/>
      <c r="Q1057" s="44"/>
      <c r="R1057" s="44"/>
      <c r="S1057" s="44"/>
      <c r="T1057" s="44"/>
      <c r="U1057" s="44"/>
      <c r="V1057" s="44"/>
      <c r="W1057" s="44"/>
      <c r="X1057" s="44"/>
      <c r="Y1057" s="44"/>
      <c r="Z1057" s="44"/>
    </row>
    <row r="1058" spans="1:26" ht="12.75" customHeight="1" x14ac:dyDescent="0.25">
      <c r="A1058" s="44"/>
      <c r="B1058" s="44"/>
      <c r="C1058" s="44"/>
      <c r="D1058" s="44"/>
      <c r="E1058" s="44"/>
      <c r="F1058" s="44"/>
      <c r="G1058" s="44"/>
      <c r="H1058" s="44"/>
      <c r="I1058" s="44"/>
      <c r="J1058" s="44"/>
      <c r="K1058" s="44"/>
      <c r="L1058" s="44"/>
      <c r="M1058" s="44"/>
      <c r="N1058" s="44"/>
      <c r="O1058" s="44"/>
      <c r="P1058" s="44"/>
      <c r="Q1058" s="44"/>
      <c r="R1058" s="44"/>
      <c r="S1058" s="44"/>
      <c r="T1058" s="44"/>
      <c r="U1058" s="44"/>
      <c r="V1058" s="44"/>
      <c r="W1058" s="44"/>
      <c r="X1058" s="44"/>
      <c r="Y1058" s="44"/>
      <c r="Z1058" s="44"/>
    </row>
    <row r="1059" spans="1:26" ht="12.75" customHeight="1" x14ac:dyDescent="0.25">
      <c r="A1059" s="44"/>
      <c r="B1059" s="44"/>
      <c r="C1059" s="44"/>
      <c r="D1059" s="44"/>
      <c r="E1059" s="44"/>
      <c r="F1059" s="44"/>
      <c r="G1059" s="44"/>
      <c r="H1059" s="44"/>
      <c r="I1059" s="44"/>
      <c r="J1059" s="44"/>
      <c r="K1059" s="44"/>
      <c r="L1059" s="44"/>
      <c r="M1059" s="44"/>
      <c r="N1059" s="44"/>
      <c r="O1059" s="44"/>
      <c r="P1059" s="44"/>
      <c r="Q1059" s="44"/>
      <c r="R1059" s="44"/>
      <c r="S1059" s="44"/>
      <c r="T1059" s="44"/>
      <c r="U1059" s="44"/>
      <c r="V1059" s="44"/>
      <c r="W1059" s="44"/>
      <c r="X1059" s="44"/>
      <c r="Y1059" s="44"/>
      <c r="Z1059" s="44"/>
    </row>
    <row r="1060" spans="1:26" ht="12.75" customHeight="1" x14ac:dyDescent="0.25">
      <c r="A1060" s="44"/>
      <c r="B1060" s="44"/>
      <c r="C1060" s="44"/>
      <c r="D1060" s="44"/>
      <c r="E1060" s="44"/>
      <c r="F1060" s="44"/>
      <c r="G1060" s="44"/>
      <c r="H1060" s="44"/>
      <c r="I1060" s="44"/>
      <c r="J1060" s="44"/>
      <c r="K1060" s="44"/>
      <c r="L1060" s="44"/>
      <c r="M1060" s="44"/>
      <c r="N1060" s="44"/>
      <c r="O1060" s="44"/>
      <c r="P1060" s="44"/>
      <c r="Q1060" s="44"/>
      <c r="R1060" s="44"/>
      <c r="S1060" s="44"/>
      <c r="T1060" s="44"/>
      <c r="U1060" s="44"/>
      <c r="V1060" s="44"/>
      <c r="W1060" s="44"/>
      <c r="X1060" s="44"/>
      <c r="Y1060" s="44"/>
      <c r="Z1060" s="44"/>
    </row>
    <row r="1061" spans="1:26" ht="12.75" customHeight="1" x14ac:dyDescent="0.25">
      <c r="A1061" s="44"/>
      <c r="B1061" s="44"/>
      <c r="C1061" s="44"/>
      <c r="D1061" s="44"/>
      <c r="E1061" s="44"/>
      <c r="F1061" s="44"/>
      <c r="G1061" s="44"/>
      <c r="H1061" s="44"/>
      <c r="I1061" s="44"/>
      <c r="J1061" s="44"/>
      <c r="K1061" s="44"/>
      <c r="L1061" s="44"/>
      <c r="M1061" s="44"/>
      <c r="N1061" s="44"/>
      <c r="O1061" s="44"/>
      <c r="P1061" s="44"/>
      <c r="Q1061" s="44"/>
      <c r="R1061" s="44"/>
      <c r="S1061" s="44"/>
      <c r="T1061" s="44"/>
      <c r="U1061" s="44"/>
      <c r="V1061" s="44"/>
      <c r="W1061" s="44"/>
      <c r="X1061" s="44"/>
      <c r="Y1061" s="44"/>
      <c r="Z1061" s="44"/>
    </row>
    <row r="1062" spans="1:26" ht="12.75" customHeight="1" x14ac:dyDescent="0.25">
      <c r="A1062" s="44"/>
      <c r="B1062" s="44"/>
      <c r="C1062" s="44"/>
      <c r="D1062" s="44"/>
      <c r="E1062" s="44"/>
      <c r="F1062" s="44"/>
      <c r="G1062" s="44"/>
      <c r="H1062" s="44"/>
      <c r="I1062" s="44"/>
      <c r="J1062" s="44"/>
      <c r="K1062" s="44"/>
      <c r="L1062" s="44"/>
      <c r="M1062" s="44"/>
      <c r="N1062" s="44"/>
      <c r="O1062" s="44"/>
      <c r="P1062" s="44"/>
      <c r="Q1062" s="44"/>
      <c r="R1062" s="44"/>
      <c r="S1062" s="44"/>
      <c r="T1062" s="44"/>
      <c r="U1062" s="44"/>
      <c r="V1062" s="44"/>
      <c r="W1062" s="44"/>
      <c r="X1062" s="44"/>
      <c r="Y1062" s="44"/>
      <c r="Z1062" s="44"/>
    </row>
    <row r="1063" spans="1:26" ht="12.75" customHeight="1" x14ac:dyDescent="0.25">
      <c r="A1063" s="44"/>
      <c r="B1063" s="44"/>
      <c r="C1063" s="44"/>
      <c r="D1063" s="44"/>
      <c r="E1063" s="44"/>
      <c r="F1063" s="44"/>
      <c r="G1063" s="44"/>
      <c r="H1063" s="44"/>
      <c r="I1063" s="44"/>
      <c r="J1063" s="44"/>
      <c r="K1063" s="44"/>
      <c r="L1063" s="44"/>
      <c r="M1063" s="44"/>
      <c r="N1063" s="44"/>
      <c r="O1063" s="44"/>
      <c r="P1063" s="44"/>
      <c r="Q1063" s="44"/>
      <c r="R1063" s="44"/>
      <c r="S1063" s="44"/>
      <c r="T1063" s="44"/>
      <c r="U1063" s="44"/>
      <c r="V1063" s="44"/>
      <c r="W1063" s="44"/>
      <c r="X1063" s="44"/>
      <c r="Y1063" s="44"/>
      <c r="Z1063" s="44"/>
    </row>
    <row r="1064" spans="1:26" ht="12.75" customHeight="1" x14ac:dyDescent="0.25">
      <c r="A1064" s="44"/>
      <c r="B1064" s="44"/>
      <c r="C1064" s="44"/>
      <c r="D1064" s="44"/>
      <c r="E1064" s="44"/>
      <c r="F1064" s="44"/>
      <c r="G1064" s="44"/>
      <c r="H1064" s="44"/>
      <c r="I1064" s="44"/>
      <c r="J1064" s="44"/>
      <c r="K1064" s="44"/>
      <c r="L1064" s="44"/>
      <c r="M1064" s="44"/>
      <c r="N1064" s="44"/>
      <c r="O1064" s="44"/>
      <c r="P1064" s="44"/>
      <c r="Q1064" s="44"/>
      <c r="R1064" s="44"/>
      <c r="S1064" s="44"/>
      <c r="T1064" s="44"/>
      <c r="U1064" s="44"/>
      <c r="V1064" s="44"/>
      <c r="W1064" s="44"/>
      <c r="X1064" s="44"/>
      <c r="Y1064" s="44"/>
      <c r="Z1064" s="44"/>
    </row>
    <row r="1065" spans="1:26" ht="12.75" customHeight="1" x14ac:dyDescent="0.25">
      <c r="A1065" s="44"/>
      <c r="B1065" s="44"/>
      <c r="C1065" s="44"/>
      <c r="D1065" s="44"/>
      <c r="E1065" s="44"/>
      <c r="F1065" s="44"/>
      <c r="G1065" s="44"/>
      <c r="H1065" s="44"/>
      <c r="I1065" s="44"/>
      <c r="J1065" s="44"/>
      <c r="K1065" s="44"/>
      <c r="L1065" s="44"/>
      <c r="M1065" s="44"/>
      <c r="N1065" s="44"/>
      <c r="O1065" s="44"/>
      <c r="P1065" s="44"/>
      <c r="Q1065" s="44"/>
      <c r="R1065" s="44"/>
      <c r="S1065" s="44"/>
      <c r="T1065" s="44"/>
      <c r="U1065" s="44"/>
      <c r="V1065" s="44"/>
      <c r="W1065" s="44"/>
      <c r="X1065" s="44"/>
      <c r="Y1065" s="44"/>
      <c r="Z1065" s="44"/>
    </row>
    <row r="1066" spans="1:26" ht="12.75" customHeight="1" x14ac:dyDescent="0.25">
      <c r="A1066" s="44"/>
      <c r="B1066" s="44"/>
      <c r="C1066" s="44"/>
      <c r="D1066" s="44"/>
      <c r="E1066" s="44"/>
      <c r="F1066" s="44"/>
      <c r="G1066" s="44"/>
      <c r="H1066" s="44"/>
      <c r="I1066" s="44"/>
      <c r="J1066" s="44"/>
      <c r="K1066" s="44"/>
      <c r="L1066" s="44"/>
      <c r="M1066" s="44"/>
      <c r="N1066" s="44"/>
      <c r="O1066" s="44"/>
      <c r="P1066" s="44"/>
      <c r="Q1066" s="44"/>
      <c r="R1066" s="44"/>
      <c r="S1066" s="44"/>
      <c r="T1066" s="44"/>
      <c r="U1066" s="44"/>
      <c r="V1066" s="44"/>
      <c r="W1066" s="44"/>
      <c r="X1066" s="44"/>
      <c r="Y1066" s="44"/>
      <c r="Z1066" s="44"/>
    </row>
    <row r="1067" spans="1:26" ht="12.75" customHeight="1" x14ac:dyDescent="0.25">
      <c r="A1067" s="44"/>
      <c r="B1067" s="44"/>
      <c r="C1067" s="44"/>
      <c r="D1067" s="44"/>
      <c r="E1067" s="44"/>
      <c r="F1067" s="44"/>
      <c r="G1067" s="44"/>
      <c r="H1067" s="44"/>
      <c r="I1067" s="44"/>
      <c r="J1067" s="44"/>
      <c r="K1067" s="44"/>
      <c r="L1067" s="44"/>
      <c r="M1067" s="44"/>
      <c r="N1067" s="44"/>
      <c r="O1067" s="44"/>
      <c r="P1067" s="44"/>
      <c r="Q1067" s="44"/>
      <c r="R1067" s="44"/>
      <c r="S1067" s="44"/>
      <c r="T1067" s="44"/>
      <c r="U1067" s="44"/>
      <c r="V1067" s="44"/>
      <c r="W1067" s="44"/>
      <c r="X1067" s="44"/>
      <c r="Y1067" s="44"/>
      <c r="Z1067" s="44"/>
    </row>
    <row r="1068" spans="1:26" ht="12.75" customHeight="1" x14ac:dyDescent="0.25">
      <c r="A1068" s="44"/>
      <c r="B1068" s="44"/>
      <c r="C1068" s="44"/>
      <c r="D1068" s="44"/>
      <c r="E1068" s="44"/>
      <c r="F1068" s="44"/>
      <c r="G1068" s="44"/>
      <c r="H1068" s="44"/>
      <c r="I1068" s="44"/>
      <c r="J1068" s="44"/>
      <c r="K1068" s="44"/>
      <c r="L1068" s="44"/>
      <c r="M1068" s="44"/>
      <c r="N1068" s="44"/>
      <c r="O1068" s="44"/>
      <c r="P1068" s="44"/>
      <c r="Q1068" s="44"/>
      <c r="R1068" s="44"/>
      <c r="S1068" s="44"/>
      <c r="T1068" s="44"/>
      <c r="U1068" s="44"/>
      <c r="V1068" s="44"/>
      <c r="W1068" s="44"/>
      <c r="X1068" s="44"/>
      <c r="Y1068" s="44"/>
      <c r="Z1068" s="44"/>
    </row>
    <row r="1069" spans="1:26" ht="12.75" customHeight="1" x14ac:dyDescent="0.25">
      <c r="A1069" s="44"/>
      <c r="B1069" s="44"/>
      <c r="C1069" s="44"/>
      <c r="D1069" s="44"/>
      <c r="E1069" s="44"/>
      <c r="F1069" s="44"/>
      <c r="G1069" s="44"/>
      <c r="H1069" s="44"/>
      <c r="I1069" s="44"/>
      <c r="J1069" s="44"/>
      <c r="K1069" s="44"/>
      <c r="L1069" s="44"/>
      <c r="M1069" s="44"/>
      <c r="N1069" s="44"/>
      <c r="O1069" s="44"/>
      <c r="P1069" s="44"/>
      <c r="Q1069" s="44"/>
      <c r="R1069" s="44"/>
      <c r="S1069" s="44"/>
      <c r="T1069" s="44"/>
      <c r="U1069" s="44"/>
      <c r="V1069" s="44"/>
      <c r="W1069" s="44"/>
      <c r="X1069" s="44"/>
      <c r="Y1069" s="44"/>
      <c r="Z1069" s="44"/>
    </row>
    <row r="1070" spans="1:26" ht="12.75" customHeight="1" x14ac:dyDescent="0.25">
      <c r="A1070" s="44"/>
      <c r="B1070" s="44"/>
      <c r="C1070" s="44"/>
      <c r="D1070" s="44"/>
      <c r="E1070" s="44"/>
      <c r="F1070" s="44"/>
      <c r="G1070" s="44"/>
      <c r="H1070" s="44"/>
      <c r="I1070" s="44"/>
      <c r="J1070" s="44"/>
      <c r="K1070" s="44"/>
      <c r="L1070" s="44"/>
      <c r="M1070" s="44"/>
      <c r="N1070" s="44"/>
      <c r="O1070" s="44"/>
      <c r="P1070" s="44"/>
      <c r="Q1070" s="44"/>
      <c r="R1070" s="44"/>
      <c r="S1070" s="44"/>
      <c r="T1070" s="44"/>
      <c r="U1070" s="44"/>
      <c r="V1070" s="44"/>
      <c r="W1070" s="44"/>
      <c r="X1070" s="44"/>
      <c r="Y1070" s="44"/>
      <c r="Z1070" s="44"/>
    </row>
    <row r="1071" spans="1:26" ht="12.75" customHeight="1" x14ac:dyDescent="0.25">
      <c r="A1071" s="44"/>
      <c r="B1071" s="44"/>
      <c r="C1071" s="44"/>
      <c r="D1071" s="44"/>
      <c r="E1071" s="44"/>
      <c r="F1071" s="44"/>
      <c r="G1071" s="44"/>
      <c r="H1071" s="44"/>
      <c r="I1071" s="44"/>
      <c r="J1071" s="44"/>
      <c r="K1071" s="44"/>
      <c r="L1071" s="44"/>
      <c r="M1071" s="44"/>
      <c r="N1071" s="44"/>
      <c r="O1071" s="44"/>
      <c r="P1071" s="44"/>
      <c r="Q1071" s="44"/>
      <c r="R1071" s="44"/>
      <c r="S1071" s="44"/>
      <c r="T1071" s="44"/>
      <c r="U1071" s="44"/>
      <c r="V1071" s="44"/>
      <c r="W1071" s="44"/>
      <c r="X1071" s="44"/>
      <c r="Y1071" s="44"/>
      <c r="Z1071" s="44"/>
    </row>
  </sheetData>
  <mergeCells count="126">
    <mergeCell ref="A142:I142"/>
    <mergeCell ref="A144:I144"/>
    <mergeCell ref="A146:I146"/>
    <mergeCell ref="A148:I148"/>
    <mergeCell ref="A150:I150"/>
    <mergeCell ref="A135:B135"/>
    <mergeCell ref="A136:B136"/>
    <mergeCell ref="A137:B137"/>
    <mergeCell ref="A138:B138"/>
    <mergeCell ref="A139:B139"/>
    <mergeCell ref="F139:G139"/>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6:B116"/>
    <mergeCell ref="A117:B117"/>
    <mergeCell ref="A118:B118"/>
    <mergeCell ref="A119:B119"/>
    <mergeCell ref="F119:G119"/>
    <mergeCell ref="A122:B122"/>
    <mergeCell ref="A110:B110"/>
    <mergeCell ref="A111:B111"/>
    <mergeCell ref="A112:B112"/>
    <mergeCell ref="A113:B113"/>
    <mergeCell ref="A114:B114"/>
    <mergeCell ref="A115:B115"/>
    <mergeCell ref="A104:B104"/>
    <mergeCell ref="A105:B105"/>
    <mergeCell ref="A106:B106"/>
    <mergeCell ref="A107:B107"/>
    <mergeCell ref="A108:B108"/>
    <mergeCell ref="A109:B109"/>
    <mergeCell ref="A98:B98"/>
    <mergeCell ref="A99:B99"/>
    <mergeCell ref="A100:B100"/>
    <mergeCell ref="A101:B101"/>
    <mergeCell ref="A102:B102"/>
    <mergeCell ref="A103:B103"/>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4:B74"/>
    <mergeCell ref="A75:B75"/>
    <mergeCell ref="A76:B76"/>
    <mergeCell ref="A77:B77"/>
    <mergeCell ref="A78:B78"/>
    <mergeCell ref="A79:B79"/>
    <mergeCell ref="A68:B68"/>
    <mergeCell ref="A69:B69"/>
    <mergeCell ref="A70:B70"/>
    <mergeCell ref="A71:B71"/>
    <mergeCell ref="A72:B72"/>
    <mergeCell ref="A73:B73"/>
    <mergeCell ref="A62:B62"/>
    <mergeCell ref="A63:B63"/>
    <mergeCell ref="A64:B64"/>
    <mergeCell ref="A65:B65"/>
    <mergeCell ref="A66:B66"/>
    <mergeCell ref="A67:B67"/>
    <mergeCell ref="A56:B56"/>
    <mergeCell ref="A57:B57"/>
    <mergeCell ref="A58:B58"/>
    <mergeCell ref="A59:B59"/>
    <mergeCell ref="A60:B60"/>
    <mergeCell ref="A61:B61"/>
    <mergeCell ref="C47:I47"/>
    <mergeCell ref="C48:I48"/>
    <mergeCell ref="C49:I49"/>
    <mergeCell ref="C50:I50"/>
    <mergeCell ref="C51:I51"/>
    <mergeCell ref="A53:I53"/>
    <mergeCell ref="D39:I39"/>
    <mergeCell ref="D40:I40"/>
    <mergeCell ref="D41:I41"/>
    <mergeCell ref="D42:I42"/>
    <mergeCell ref="C43:I43"/>
    <mergeCell ref="A45:I45"/>
    <mergeCell ref="F27:I27"/>
    <mergeCell ref="A29:I29"/>
    <mergeCell ref="D31:I31"/>
    <mergeCell ref="D32:I34"/>
    <mergeCell ref="C35:I35"/>
    <mergeCell ref="A37:I37"/>
    <mergeCell ref="F23:I23"/>
    <mergeCell ref="F24:I24"/>
    <mergeCell ref="F25:I25"/>
    <mergeCell ref="F26:I26"/>
    <mergeCell ref="A8:B8"/>
    <mergeCell ref="D8:I8"/>
    <mergeCell ref="A9:B9"/>
    <mergeCell ref="D9:I9"/>
    <mergeCell ref="A11:I11"/>
    <mergeCell ref="A15:A17"/>
    <mergeCell ref="A3:I3"/>
    <mergeCell ref="A5:B5"/>
    <mergeCell ref="D5:I5"/>
    <mergeCell ref="A6:B6"/>
    <mergeCell ref="D6:I6"/>
    <mergeCell ref="A7:B7"/>
    <mergeCell ref="D7:I7"/>
    <mergeCell ref="A20:I20"/>
    <mergeCell ref="F22:I22"/>
  </mergeCells>
  <pageMargins left="0.70866141732283472" right="0.70866141732283472" top="0.78740157480314965" bottom="0.78740157480314965" header="0.31496062992125984" footer="0.31496062992125984"/>
  <pageSetup paperSize="9" firstPageNumber="210" orientation="landscape" useFirstPageNumber="1"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1"/>
  <sheetViews>
    <sheetView zoomScaleNormal="100" workbookViewId="0">
      <selection activeCell="K14" sqref="K14"/>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427" customFormat="1" ht="17.399999999999999" x14ac:dyDescent="0.3">
      <c r="A1" s="427" t="s">
        <v>75</v>
      </c>
      <c r="B1" s="427" t="s">
        <v>762</v>
      </c>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331" t="s">
        <v>76</v>
      </c>
      <c r="B5" s="1332"/>
      <c r="C5" s="421" t="s">
        <v>25</v>
      </c>
      <c r="D5" s="1256" t="s">
        <v>103</v>
      </c>
      <c r="E5" s="1256"/>
      <c r="F5" s="1256"/>
      <c r="G5" s="1256"/>
      <c r="H5" s="1256"/>
      <c r="I5" s="1256"/>
    </row>
    <row r="6" spans="1:9" s="8" customFormat="1" ht="15" customHeight="1" x14ac:dyDescent="0.2">
      <c r="A6" s="1267" t="s">
        <v>104</v>
      </c>
      <c r="B6" s="1267"/>
      <c r="C6" s="113">
        <v>195145</v>
      </c>
      <c r="D6" s="1262"/>
      <c r="E6" s="1263"/>
      <c r="F6" s="1263"/>
      <c r="G6" s="1263"/>
      <c r="H6" s="1263"/>
      <c r="I6" s="1263"/>
    </row>
    <row r="7" spans="1:9" s="8" customFormat="1" ht="33.75" customHeight="1" x14ac:dyDescent="0.2">
      <c r="A7" s="1257" t="s">
        <v>77</v>
      </c>
      <c r="B7" s="1258"/>
      <c r="C7" s="114">
        <v>195145</v>
      </c>
      <c r="D7" s="1261" t="s">
        <v>763</v>
      </c>
      <c r="E7" s="1261"/>
      <c r="F7" s="1261"/>
      <c r="G7" s="1261"/>
      <c r="H7" s="1261"/>
      <c r="I7" s="1261"/>
    </row>
    <row r="8" spans="1:9" s="7" customFormat="1" ht="27" customHeight="1" x14ac:dyDescent="0.2">
      <c r="A8" s="1259" t="s">
        <v>78</v>
      </c>
      <c r="B8" s="1260"/>
      <c r="C8" s="115">
        <v>0</v>
      </c>
      <c r="D8" s="1326" t="s">
        <v>764</v>
      </c>
      <c r="E8" s="1326"/>
      <c r="F8" s="1326"/>
      <c r="G8" s="1326"/>
      <c r="H8" s="1326"/>
      <c r="I8" s="1326"/>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421" t="s">
        <v>76</v>
      </c>
      <c r="B13" s="421" t="s">
        <v>80</v>
      </c>
      <c r="C13" s="421"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4" t="s">
        <v>765</v>
      </c>
      <c r="C15" s="125">
        <v>0</v>
      </c>
      <c r="D15" s="126"/>
      <c r="E15" s="127"/>
      <c r="F15" s="127"/>
      <c r="G15" s="127"/>
      <c r="H15" s="127"/>
      <c r="I15" s="127"/>
    </row>
    <row r="16" spans="1:9" s="8" customFormat="1" ht="15" customHeight="1" x14ac:dyDescent="0.2">
      <c r="A16" s="1250"/>
      <c r="B16" s="15" t="s">
        <v>83</v>
      </c>
      <c r="C16" s="125">
        <v>195145</v>
      </c>
      <c r="D16" s="126"/>
      <c r="E16" s="127"/>
      <c r="F16" s="127"/>
      <c r="G16" s="127"/>
      <c r="H16" s="127"/>
      <c r="I16" s="127"/>
    </row>
    <row r="17" spans="1:9" s="8" customFormat="1" ht="15" customHeight="1" x14ac:dyDescent="0.2">
      <c r="A17" s="1250"/>
      <c r="B17" s="15" t="s">
        <v>84</v>
      </c>
      <c r="C17" s="128">
        <v>0</v>
      </c>
      <c r="D17" s="129"/>
      <c r="E17" s="130"/>
      <c r="F17" s="130"/>
      <c r="G17" s="130"/>
      <c r="H17" s="130"/>
      <c r="I17" s="130"/>
    </row>
    <row r="18" spans="1:9" s="8" customFormat="1" ht="15" customHeight="1" x14ac:dyDescent="0.2">
      <c r="A18" s="422" t="s">
        <v>104</v>
      </c>
      <c r="B18" s="16"/>
      <c r="C18" s="131">
        <f>SUM(C14:C17)</f>
        <v>195145</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327" t="s">
        <v>108</v>
      </c>
      <c r="B20" s="1327"/>
      <c r="C20" s="1327"/>
      <c r="D20" s="1327"/>
      <c r="E20" s="1327"/>
      <c r="F20" s="1327"/>
      <c r="G20" s="1327"/>
      <c r="H20" s="1327"/>
      <c r="I20" s="1328"/>
    </row>
    <row r="21" spans="1:9" s="8" customFormat="1" ht="10.199999999999999" x14ac:dyDescent="0.2">
      <c r="C21" s="116"/>
      <c r="I21" s="810"/>
    </row>
    <row r="22" spans="1:9" s="138" customFormat="1" ht="7.8" x14ac:dyDescent="0.15">
      <c r="A22" s="421" t="s">
        <v>80</v>
      </c>
      <c r="B22" s="421" t="s">
        <v>109</v>
      </c>
      <c r="C22" s="426" t="s">
        <v>110</v>
      </c>
      <c r="D22" s="421" t="s">
        <v>111</v>
      </c>
      <c r="E22" s="421" t="s">
        <v>112</v>
      </c>
      <c r="F22" s="1256" t="s">
        <v>113</v>
      </c>
      <c r="G22" s="1256"/>
      <c r="H22" s="1256"/>
      <c r="I22" s="1256"/>
    </row>
    <row r="23" spans="1:9" s="8" customFormat="1" ht="54.75" customHeight="1" x14ac:dyDescent="0.2">
      <c r="A23" s="17" t="s">
        <v>85</v>
      </c>
      <c r="B23" s="139">
        <v>153325.63</v>
      </c>
      <c r="C23" s="139">
        <v>761310.33</v>
      </c>
      <c r="D23" s="139">
        <v>382621.33</v>
      </c>
      <c r="E23" s="139">
        <f>B23+C23-D23</f>
        <v>532014.62999999989</v>
      </c>
      <c r="F23" s="1253" t="s">
        <v>766</v>
      </c>
      <c r="G23" s="1254"/>
      <c r="H23" s="1254"/>
      <c r="I23" s="1329"/>
    </row>
    <row r="24" spans="1:9" s="8" customFormat="1" ht="57" customHeight="1" x14ac:dyDescent="0.2">
      <c r="A24" s="14" t="s">
        <v>86</v>
      </c>
      <c r="B24" s="140">
        <v>171000.54</v>
      </c>
      <c r="C24" s="140">
        <v>867269.23</v>
      </c>
      <c r="D24" s="140">
        <v>832289.33</v>
      </c>
      <c r="E24" s="140">
        <f t="shared" ref="E24:E26" si="0">B24+C24-D24</f>
        <v>205980.44000000006</v>
      </c>
      <c r="F24" s="1242" t="s">
        <v>767</v>
      </c>
      <c r="G24" s="1243"/>
      <c r="H24" s="1243"/>
      <c r="I24" s="1330"/>
    </row>
    <row r="25" spans="1:9" s="8" customFormat="1" ht="31.5" customHeight="1" x14ac:dyDescent="0.2">
      <c r="A25" s="14" t="s">
        <v>84</v>
      </c>
      <c r="B25" s="140">
        <v>42245.49</v>
      </c>
      <c r="C25" s="140">
        <v>0</v>
      </c>
      <c r="D25" s="140">
        <v>0</v>
      </c>
      <c r="E25" s="140">
        <f t="shared" si="0"/>
        <v>42245.49</v>
      </c>
      <c r="F25" s="1242" t="s">
        <v>768</v>
      </c>
      <c r="G25" s="1243"/>
      <c r="H25" s="1243"/>
      <c r="I25" s="1330"/>
    </row>
    <row r="26" spans="1:9" s="8" customFormat="1" ht="78.75" customHeight="1" x14ac:dyDescent="0.2">
      <c r="A26" s="15" t="s">
        <v>87</v>
      </c>
      <c r="B26" s="141">
        <v>179992.37</v>
      </c>
      <c r="C26" s="141">
        <v>202949.96</v>
      </c>
      <c r="D26" s="141">
        <v>123363</v>
      </c>
      <c r="E26" s="140">
        <f t="shared" si="0"/>
        <v>259579.32999999996</v>
      </c>
      <c r="F26" s="1245" t="s">
        <v>769</v>
      </c>
      <c r="G26" s="1246"/>
      <c r="H26" s="1246"/>
      <c r="I26" s="1325"/>
    </row>
    <row r="27" spans="1:9" s="7" customFormat="1" ht="10.199999999999999" x14ac:dyDescent="0.2">
      <c r="A27" s="10" t="s">
        <v>34</v>
      </c>
      <c r="B27" s="113">
        <f>SUM(B23:B26)</f>
        <v>546564.03</v>
      </c>
      <c r="C27" s="113">
        <f t="shared" ref="C27:E27" si="1">SUM(C23:C26)</f>
        <v>1831529.52</v>
      </c>
      <c r="D27" s="113">
        <f t="shared" si="1"/>
        <v>1338273.6599999999</v>
      </c>
      <c r="E27" s="113">
        <f t="shared" si="1"/>
        <v>1039819.8899999999</v>
      </c>
      <c r="F27" s="1268"/>
      <c r="G27" s="1268"/>
      <c r="H27" s="1268"/>
      <c r="I27" s="1268"/>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C30" s="116"/>
      <c r="I30" s="810"/>
    </row>
    <row r="31" spans="1:9" s="8" customFormat="1" ht="10.199999999999999" x14ac:dyDescent="0.2">
      <c r="A31" s="421" t="s">
        <v>88</v>
      </c>
      <c r="B31" s="421" t="s">
        <v>25</v>
      </c>
      <c r="C31" s="426" t="s">
        <v>89</v>
      </c>
      <c r="D31" s="1256" t="s">
        <v>90</v>
      </c>
      <c r="E31" s="1256"/>
      <c r="F31" s="1256"/>
      <c r="G31" s="1256"/>
      <c r="H31" s="1256"/>
      <c r="I31" s="1256"/>
    </row>
    <row r="32" spans="1:9" s="8" customFormat="1" ht="15" customHeight="1" x14ac:dyDescent="0.2">
      <c r="A32" s="19" t="s">
        <v>770</v>
      </c>
      <c r="B32" s="139"/>
      <c r="C32" s="20"/>
      <c r="D32" s="1270"/>
      <c r="E32" s="1271"/>
      <c r="F32" s="1271"/>
      <c r="G32" s="1271"/>
      <c r="H32" s="1271"/>
      <c r="I32" s="1316"/>
    </row>
    <row r="33" spans="1:9" s="8" customFormat="1" ht="15" customHeight="1" x14ac:dyDescent="0.2">
      <c r="A33" s="18"/>
      <c r="B33" s="141"/>
      <c r="C33" s="32"/>
      <c r="D33" s="1273"/>
      <c r="E33" s="1274"/>
      <c r="F33" s="1274"/>
      <c r="G33" s="1274"/>
      <c r="H33" s="1274"/>
      <c r="I33" s="1317"/>
    </row>
    <row r="34" spans="1:9" s="8" customFormat="1" ht="15" customHeight="1" x14ac:dyDescent="0.2">
      <c r="A34" s="18"/>
      <c r="B34" s="141"/>
      <c r="C34" s="33"/>
      <c r="D34" s="1318"/>
      <c r="E34" s="1319"/>
      <c r="F34" s="1319"/>
      <c r="G34" s="1319"/>
      <c r="H34" s="1319"/>
      <c r="I34" s="1320"/>
    </row>
    <row r="35" spans="1:9" s="7" customFormat="1" ht="10.199999999999999" x14ac:dyDescent="0.2">
      <c r="A35" s="10" t="s">
        <v>34</v>
      </c>
      <c r="B35" s="113">
        <f>SUM(B32:B34)</f>
        <v>0</v>
      </c>
      <c r="C35" s="1276"/>
      <c r="D35" s="1277"/>
      <c r="E35" s="1277"/>
      <c r="F35" s="1277"/>
      <c r="G35" s="1277"/>
      <c r="H35" s="1277"/>
      <c r="I35" s="1277"/>
    </row>
    <row r="36" spans="1:9" s="8" customFormat="1" ht="10.199999999999999" x14ac:dyDescent="0.2">
      <c r="C36" s="116"/>
      <c r="I36" s="810"/>
    </row>
    <row r="37" spans="1:9" s="8" customFormat="1" ht="10.199999999999999" x14ac:dyDescent="0.2">
      <c r="A37" s="1248" t="s">
        <v>119</v>
      </c>
      <c r="B37" s="1248"/>
      <c r="C37" s="1248"/>
      <c r="D37" s="1248"/>
      <c r="E37" s="1248"/>
      <c r="F37" s="1248"/>
      <c r="G37" s="1248"/>
      <c r="H37" s="1248"/>
      <c r="I37" s="1248"/>
    </row>
    <row r="38" spans="1:9" s="8" customFormat="1" ht="10.199999999999999" x14ac:dyDescent="0.2">
      <c r="C38" s="116"/>
      <c r="I38" s="810"/>
    </row>
    <row r="39" spans="1:9" s="8" customFormat="1" ht="10.199999999999999" x14ac:dyDescent="0.2">
      <c r="A39" s="421" t="s">
        <v>88</v>
      </c>
      <c r="B39" s="421" t="s">
        <v>25</v>
      </c>
      <c r="C39" s="426" t="s">
        <v>89</v>
      </c>
      <c r="D39" s="1279" t="s">
        <v>90</v>
      </c>
      <c r="E39" s="1279"/>
      <c r="F39" s="1279"/>
      <c r="G39" s="1279"/>
      <c r="H39" s="1279"/>
      <c r="I39" s="1279"/>
    </row>
    <row r="40" spans="1:9" s="8" customFormat="1" ht="15" customHeight="1" x14ac:dyDescent="0.2">
      <c r="A40" s="19" t="s">
        <v>771</v>
      </c>
      <c r="B40" s="139"/>
      <c r="C40" s="20"/>
      <c r="D40" s="1242"/>
      <c r="E40" s="1281"/>
      <c r="F40" s="1281"/>
      <c r="G40" s="1281"/>
      <c r="H40" s="1281"/>
      <c r="I40" s="1321"/>
    </row>
    <row r="41" spans="1:9" s="8" customFormat="1" ht="15" customHeight="1" x14ac:dyDescent="0.2">
      <c r="A41" s="21"/>
      <c r="B41" s="140"/>
      <c r="C41" s="22"/>
      <c r="D41" s="1242"/>
      <c r="E41" s="1281"/>
      <c r="F41" s="1281"/>
      <c r="G41" s="1281"/>
      <c r="H41" s="1281"/>
      <c r="I41" s="1321"/>
    </row>
    <row r="42" spans="1:9" s="8" customFormat="1" ht="15" customHeight="1" x14ac:dyDescent="0.2">
      <c r="A42" s="18"/>
      <c r="B42" s="141"/>
      <c r="C42" s="32"/>
      <c r="D42" s="1322"/>
      <c r="E42" s="1323"/>
      <c r="F42" s="1323"/>
      <c r="G42" s="1323"/>
      <c r="H42" s="1323"/>
      <c r="I42" s="1324"/>
    </row>
    <row r="43" spans="1:9" s="7" customFormat="1" ht="10.199999999999999" x14ac:dyDescent="0.2">
      <c r="A43" s="10" t="s">
        <v>34</v>
      </c>
      <c r="B43" s="113">
        <f>SUM(B40:B42)</f>
        <v>0</v>
      </c>
      <c r="C43" s="1283"/>
      <c r="D43" s="1284"/>
      <c r="E43" s="1284"/>
      <c r="F43" s="1284"/>
      <c r="G43" s="1284"/>
      <c r="H43" s="1284"/>
      <c r="I43" s="1284"/>
    </row>
    <row r="44" spans="1:9" s="8" customFormat="1" ht="10.199999999999999" x14ac:dyDescent="0.2">
      <c r="C44" s="116"/>
      <c r="I44" s="810"/>
    </row>
    <row r="45" spans="1:9" s="8" customFormat="1" ht="10.199999999999999" x14ac:dyDescent="0.2">
      <c r="A45" s="1248" t="s">
        <v>120</v>
      </c>
      <c r="B45" s="1248"/>
      <c r="C45" s="1248"/>
      <c r="D45" s="1248"/>
      <c r="E45" s="1248"/>
      <c r="F45" s="1248"/>
      <c r="G45" s="1248"/>
      <c r="H45" s="1248"/>
      <c r="I45" s="1248"/>
    </row>
    <row r="46" spans="1:9" s="8" customFormat="1" ht="10.199999999999999" x14ac:dyDescent="0.2">
      <c r="C46" s="116"/>
      <c r="I46" s="810"/>
    </row>
    <row r="47" spans="1:9" s="8" customFormat="1" ht="10.199999999999999" x14ac:dyDescent="0.2">
      <c r="A47" s="421" t="s">
        <v>25</v>
      </c>
      <c r="B47" s="426" t="s">
        <v>122</v>
      </c>
      <c r="C47" s="1308" t="s">
        <v>91</v>
      </c>
      <c r="D47" s="1308"/>
      <c r="E47" s="1308"/>
      <c r="F47" s="1308"/>
      <c r="G47" s="1308"/>
      <c r="H47" s="1308"/>
      <c r="I47" s="1308"/>
    </row>
    <row r="48" spans="1:9" s="8" customFormat="1" ht="10.199999999999999" x14ac:dyDescent="0.2">
      <c r="A48" s="219">
        <v>18006</v>
      </c>
      <c r="B48" s="219">
        <v>12580</v>
      </c>
      <c r="C48" s="1309" t="s">
        <v>772</v>
      </c>
      <c r="D48" s="1309"/>
      <c r="E48" s="1309"/>
      <c r="F48" s="1309"/>
      <c r="G48" s="1309"/>
      <c r="H48" s="1309"/>
      <c r="I48" s="1310"/>
    </row>
    <row r="49" spans="1:9" s="8" customFormat="1" ht="10.199999999999999" x14ac:dyDescent="0.2">
      <c r="A49" s="811"/>
      <c r="B49" s="140"/>
      <c r="C49" s="1311"/>
      <c r="D49" s="1312"/>
      <c r="E49" s="1312"/>
      <c r="F49" s="1312"/>
      <c r="G49" s="1312"/>
      <c r="H49" s="1312"/>
      <c r="I49" s="1313"/>
    </row>
    <row r="50" spans="1:9" s="8" customFormat="1" ht="10.199999999999999" x14ac:dyDescent="0.2">
      <c r="A50" s="812"/>
      <c r="B50" s="813"/>
      <c r="C50" s="1314"/>
      <c r="D50" s="1314"/>
      <c r="E50" s="1314"/>
      <c r="F50" s="1314"/>
      <c r="G50" s="1314"/>
      <c r="H50" s="1314"/>
      <c r="I50" s="1315"/>
    </row>
    <row r="51" spans="1:9" s="7" customFormat="1" ht="10.199999999999999" x14ac:dyDescent="0.2">
      <c r="A51" s="113">
        <f>A48+A49+A50</f>
        <v>18006</v>
      </c>
      <c r="B51" s="113">
        <f>B48+B49+B50</f>
        <v>12580</v>
      </c>
      <c r="C51" s="1289" t="s">
        <v>34</v>
      </c>
      <c r="D51" s="1289"/>
      <c r="E51" s="1289"/>
      <c r="F51" s="1289"/>
      <c r="G51" s="1289"/>
      <c r="H51" s="1289"/>
      <c r="I51" s="1289"/>
    </row>
    <row r="52" spans="1:9" s="8" customFormat="1" ht="10.199999999999999" x14ac:dyDescent="0.2">
      <c r="C52" s="116"/>
      <c r="I52" s="810"/>
    </row>
    <row r="53" spans="1:9" s="8" customFormat="1" ht="10.199999999999999" x14ac:dyDescent="0.2">
      <c r="A53" s="1248" t="s">
        <v>123</v>
      </c>
      <c r="B53" s="1248"/>
      <c r="C53" s="1248"/>
      <c r="D53" s="1248"/>
      <c r="E53" s="1248"/>
      <c r="F53" s="1248"/>
      <c r="G53" s="1248"/>
      <c r="H53" s="1248"/>
      <c r="I53" s="1248"/>
    </row>
    <row r="54" spans="1:9" s="8" customFormat="1" ht="10.199999999999999" x14ac:dyDescent="0.2">
      <c r="C54" s="116"/>
    </row>
    <row r="55" spans="1:9" s="23" customFormat="1" ht="10.199999999999999" x14ac:dyDescent="0.2">
      <c r="A55" s="1256" t="s">
        <v>92</v>
      </c>
      <c r="B55" s="1256"/>
      <c r="C55" s="426" t="s">
        <v>93</v>
      </c>
      <c r="D55" s="425" t="s">
        <v>94</v>
      </c>
      <c r="E55" s="425" t="s">
        <v>25</v>
      </c>
    </row>
    <row r="56" spans="1:9" s="8" customFormat="1" ht="11.4" x14ac:dyDescent="0.2">
      <c r="A56" s="1305" t="s">
        <v>773</v>
      </c>
      <c r="B56" s="1306"/>
      <c r="C56" s="814">
        <v>43571</v>
      </c>
      <c r="D56" s="815"/>
      <c r="E56" s="816">
        <v>325000</v>
      </c>
    </row>
    <row r="57" spans="1:9" s="8" customFormat="1" ht="11.4" x14ac:dyDescent="0.2">
      <c r="A57" s="1305" t="s">
        <v>774</v>
      </c>
      <c r="B57" s="1307"/>
      <c r="C57" s="817"/>
      <c r="D57" s="818">
        <v>43704</v>
      </c>
      <c r="E57" s="819">
        <v>325000</v>
      </c>
    </row>
    <row r="58" spans="1:9" s="8" customFormat="1" ht="24.75" customHeight="1" x14ac:dyDescent="0.2">
      <c r="A58" s="1305" t="s">
        <v>775</v>
      </c>
      <c r="B58" s="1306"/>
      <c r="C58" s="817">
        <v>43579</v>
      </c>
      <c r="D58" s="818"/>
      <c r="E58" s="819">
        <v>54795</v>
      </c>
    </row>
    <row r="59" spans="1:9" s="8" customFormat="1" ht="24" customHeight="1" x14ac:dyDescent="0.2">
      <c r="A59" s="820" t="s">
        <v>776</v>
      </c>
      <c r="B59" s="820"/>
      <c r="C59" s="817"/>
      <c r="D59" s="818">
        <v>43708</v>
      </c>
      <c r="E59" s="819">
        <v>54795</v>
      </c>
    </row>
    <row r="60" spans="1:9" s="8" customFormat="1" ht="22.8" x14ac:dyDescent="0.2">
      <c r="A60" s="821" t="s">
        <v>777</v>
      </c>
      <c r="B60" s="820"/>
      <c r="C60" s="817">
        <v>43641</v>
      </c>
      <c r="D60" s="818"/>
      <c r="E60" s="819">
        <v>183200</v>
      </c>
    </row>
    <row r="61" spans="1:9" s="8" customFormat="1" ht="22.8" x14ac:dyDescent="0.2">
      <c r="A61" s="821" t="s">
        <v>777</v>
      </c>
      <c r="B61" s="821"/>
      <c r="C61" s="817"/>
      <c r="D61" s="818">
        <v>43806</v>
      </c>
      <c r="E61" s="819">
        <v>183200</v>
      </c>
    </row>
    <row r="62" spans="1:9" s="8" customFormat="1" ht="12" customHeight="1" x14ac:dyDescent="0.2">
      <c r="A62" s="1305" t="s">
        <v>778</v>
      </c>
      <c r="B62" s="1306"/>
      <c r="C62" s="817">
        <v>43704</v>
      </c>
      <c r="D62" s="818"/>
      <c r="E62" s="822">
        <v>140000</v>
      </c>
    </row>
    <row r="63" spans="1:9" s="8" customFormat="1" ht="23.25" customHeight="1" x14ac:dyDescent="0.2">
      <c r="A63" s="820" t="s">
        <v>778</v>
      </c>
      <c r="B63" s="820"/>
      <c r="C63" s="817"/>
      <c r="D63" s="818">
        <v>43798</v>
      </c>
      <c r="E63" s="819">
        <v>140000</v>
      </c>
    </row>
    <row r="64" spans="1:9" s="8" customFormat="1" ht="24.75" customHeight="1" x14ac:dyDescent="0.2">
      <c r="A64" s="1305" t="s">
        <v>779</v>
      </c>
      <c r="B64" s="1307"/>
      <c r="C64" s="817">
        <v>43796</v>
      </c>
      <c r="D64" s="818"/>
      <c r="E64" s="819">
        <v>142500</v>
      </c>
    </row>
    <row r="65" spans="1:9" s="8" customFormat="1" ht="12" customHeight="1" x14ac:dyDescent="0.2">
      <c r="A65" s="1305" t="s">
        <v>779</v>
      </c>
      <c r="B65" s="1306"/>
      <c r="C65" s="823"/>
      <c r="D65" s="824">
        <v>43821</v>
      </c>
      <c r="E65" s="819">
        <v>142500</v>
      </c>
    </row>
    <row r="66" spans="1:9" s="8" customFormat="1" ht="23.25" customHeight="1" x14ac:dyDescent="0.2">
      <c r="A66" s="1305" t="s">
        <v>64</v>
      </c>
      <c r="B66" s="1307"/>
      <c r="C66" s="823"/>
      <c r="D66" s="824"/>
      <c r="E66" s="819">
        <v>212274</v>
      </c>
    </row>
    <row r="67" spans="1:9" s="8" customFormat="1" ht="24.75" customHeight="1" x14ac:dyDescent="0.2">
      <c r="A67" s="1305" t="s">
        <v>780</v>
      </c>
      <c r="B67" s="1307"/>
      <c r="C67" s="823"/>
      <c r="D67" s="824"/>
      <c r="E67" s="819">
        <v>212274</v>
      </c>
    </row>
    <row r="68" spans="1:9" s="8" customFormat="1" ht="12" customHeight="1" x14ac:dyDescent="0.2">
      <c r="A68" s="1305" t="s">
        <v>781</v>
      </c>
      <c r="B68" s="1306"/>
      <c r="C68" s="823"/>
      <c r="D68" s="824"/>
      <c r="E68" s="819">
        <v>162100</v>
      </c>
    </row>
    <row r="69" spans="1:9" s="8" customFormat="1" ht="12" customHeight="1" x14ac:dyDescent="0.2">
      <c r="A69" s="1305" t="s">
        <v>782</v>
      </c>
      <c r="B69" s="1307"/>
      <c r="C69" s="825"/>
      <c r="D69" s="826"/>
      <c r="E69" s="827">
        <v>162100</v>
      </c>
    </row>
    <row r="70" spans="1:9" s="8" customFormat="1" ht="22.8" x14ac:dyDescent="0.2">
      <c r="A70" s="828" t="s">
        <v>783</v>
      </c>
      <c r="B70" s="829"/>
      <c r="C70" s="823">
        <v>43524</v>
      </c>
      <c r="D70" s="824">
        <v>43602</v>
      </c>
      <c r="E70" s="819">
        <v>6803.64</v>
      </c>
    </row>
    <row r="71" spans="1:9" s="8" customFormat="1" ht="11.4" x14ac:dyDescent="0.2">
      <c r="A71" s="830" t="s">
        <v>784</v>
      </c>
      <c r="B71" s="831"/>
      <c r="C71" s="823">
        <v>43524</v>
      </c>
      <c r="D71" s="824">
        <v>43602</v>
      </c>
      <c r="E71" s="819">
        <v>-6803.64</v>
      </c>
    </row>
    <row r="72" spans="1:9" s="8" customFormat="1" ht="11.4" x14ac:dyDescent="0.2">
      <c r="A72" s="820" t="s">
        <v>785</v>
      </c>
      <c r="B72" s="832"/>
      <c r="C72" s="823">
        <v>43524</v>
      </c>
      <c r="D72" s="824">
        <v>43524</v>
      </c>
      <c r="E72" s="819">
        <v>7000</v>
      </c>
    </row>
    <row r="73" spans="1:9" s="8" customFormat="1" ht="11.4" x14ac:dyDescent="0.2">
      <c r="A73" s="820" t="s">
        <v>786</v>
      </c>
      <c r="B73" s="833"/>
      <c r="C73" s="823">
        <v>43524</v>
      </c>
      <c r="D73" s="824">
        <v>43524</v>
      </c>
      <c r="E73" s="819">
        <v>-7000</v>
      </c>
    </row>
    <row r="74" spans="1:9" s="8" customFormat="1" ht="11.4" x14ac:dyDescent="0.2">
      <c r="A74" s="834"/>
      <c r="B74" s="835"/>
      <c r="C74" s="825"/>
      <c r="D74" s="826"/>
      <c r="E74" s="827"/>
    </row>
    <row r="75" spans="1:9" s="8" customFormat="1" ht="11.4" x14ac:dyDescent="0.2">
      <c r="A75" s="836"/>
      <c r="B75" s="837"/>
      <c r="C75" s="838"/>
      <c r="D75" s="838"/>
      <c r="E75" s="839"/>
    </row>
    <row r="76" spans="1:9" s="8" customFormat="1" ht="11.4" x14ac:dyDescent="0.2">
      <c r="A76" s="836"/>
      <c r="B76" s="423"/>
      <c r="C76" s="838"/>
      <c r="D76" s="838"/>
      <c r="E76" s="839"/>
    </row>
    <row r="77" spans="1:9" s="8" customFormat="1" ht="10.199999999999999" x14ac:dyDescent="0.2">
      <c r="A77" s="424"/>
      <c r="B77" s="424"/>
      <c r="C77" s="237"/>
      <c r="D77" s="237"/>
      <c r="E77" s="238"/>
    </row>
    <row r="78" spans="1:9" s="8" customFormat="1" ht="10.199999999999999" x14ac:dyDescent="0.2">
      <c r="A78" s="1300" t="s">
        <v>154</v>
      </c>
      <c r="B78" s="1300"/>
      <c r="C78" s="1300"/>
      <c r="D78" s="1300"/>
      <c r="E78" s="1300"/>
      <c r="F78" s="1300"/>
      <c r="G78" s="1300"/>
      <c r="H78" s="1300"/>
      <c r="I78" s="1300"/>
    </row>
    <row r="79" spans="1:9" s="8" customFormat="1" ht="10.199999999999999" x14ac:dyDescent="0.2">
      <c r="A79" s="8" t="s">
        <v>787</v>
      </c>
    </row>
    <row r="80" spans="1:9" s="8" customFormat="1" ht="10.199999999999999" x14ac:dyDescent="0.2">
      <c r="A80" s="1297"/>
      <c r="B80" s="1298"/>
      <c r="C80" s="1298"/>
      <c r="D80" s="1298"/>
      <c r="E80" s="1298"/>
      <c r="F80" s="1298"/>
      <c r="G80" s="1298"/>
      <c r="H80" s="1298"/>
      <c r="I80" s="1299"/>
    </row>
    <row r="81" spans="1:9" s="8" customFormat="1" ht="10.199999999999999" x14ac:dyDescent="0.2">
      <c r="A81" s="1297"/>
      <c r="B81" s="1298"/>
      <c r="C81" s="1298"/>
      <c r="D81" s="1298"/>
      <c r="E81" s="1298"/>
      <c r="F81" s="1298"/>
      <c r="G81" s="1298"/>
      <c r="H81" s="1298"/>
      <c r="I81" s="1299"/>
    </row>
    <row r="82" spans="1:9" s="8" customFormat="1" ht="0.75" customHeight="1" x14ac:dyDescent="0.2">
      <c r="A82" s="1297"/>
      <c r="B82" s="1298"/>
      <c r="C82" s="1298"/>
      <c r="D82" s="1298"/>
      <c r="E82" s="1298"/>
      <c r="F82" s="1298"/>
      <c r="G82" s="1298"/>
      <c r="H82" s="1298"/>
      <c r="I82" s="1299"/>
    </row>
    <row r="83" spans="1:9" s="8" customFormat="1" ht="10.199999999999999" hidden="1" x14ac:dyDescent="0.2"/>
    <row r="84" spans="1:9" s="7" customFormat="1" ht="10.199999999999999" x14ac:dyDescent="0.2">
      <c r="A84" s="1248" t="s">
        <v>156</v>
      </c>
      <c r="B84" s="1248"/>
      <c r="C84" s="1248"/>
      <c r="D84" s="1248"/>
      <c r="E84" s="1248"/>
      <c r="F84" s="1248"/>
      <c r="G84" s="1248"/>
      <c r="H84" s="1248"/>
      <c r="I84" s="1248"/>
    </row>
    <row r="85" spans="1:9" s="8" customFormat="1" ht="10.199999999999999" x14ac:dyDescent="0.2">
      <c r="A85" s="8" t="s">
        <v>95</v>
      </c>
    </row>
    <row r="86" spans="1:9" s="8" customFormat="1" ht="36" customHeight="1" x14ac:dyDescent="0.2">
      <c r="A86" s="1297" t="s">
        <v>788</v>
      </c>
      <c r="B86" s="1298"/>
      <c r="C86" s="1298"/>
      <c r="D86" s="1298"/>
      <c r="E86" s="1298"/>
      <c r="F86" s="1298"/>
      <c r="G86" s="1298"/>
      <c r="H86" s="1298"/>
      <c r="I86" s="1299"/>
    </row>
    <row r="87" spans="1:9" s="8" customFormat="1" ht="27" customHeight="1" x14ac:dyDescent="0.2">
      <c r="A87" s="1297" t="s">
        <v>789</v>
      </c>
      <c r="B87" s="1298"/>
      <c r="C87" s="1298"/>
      <c r="D87" s="1298"/>
      <c r="E87" s="1298"/>
      <c r="F87" s="1298"/>
      <c r="G87" s="1298"/>
      <c r="H87" s="1298"/>
      <c r="I87" s="1299"/>
    </row>
    <row r="89" spans="1:9" x14ac:dyDescent="0.25">
      <c r="A89" s="44" t="s">
        <v>790</v>
      </c>
      <c r="C89" s="44" t="s">
        <v>791</v>
      </c>
    </row>
    <row r="90" spans="1:9" x14ac:dyDescent="0.25">
      <c r="A90" s="26"/>
    </row>
    <row r="91" spans="1:9" x14ac:dyDescent="0.25">
      <c r="A91" s="26"/>
    </row>
  </sheetData>
  <mergeCells count="55">
    <mergeCell ref="A7:B7"/>
    <mergeCell ref="D7:I7"/>
    <mergeCell ref="A3:I3"/>
    <mergeCell ref="A5:B5"/>
    <mergeCell ref="D5:I5"/>
    <mergeCell ref="A6:B6"/>
    <mergeCell ref="D6:I6"/>
    <mergeCell ref="F26:I26"/>
    <mergeCell ref="A8:B8"/>
    <mergeCell ref="D8:I8"/>
    <mergeCell ref="A9:B9"/>
    <mergeCell ref="D9:I9"/>
    <mergeCell ref="A11:I11"/>
    <mergeCell ref="A15:A17"/>
    <mergeCell ref="A20:I20"/>
    <mergeCell ref="F22:I22"/>
    <mergeCell ref="F23:I23"/>
    <mergeCell ref="F24:I24"/>
    <mergeCell ref="F25:I25"/>
    <mergeCell ref="A45:I45"/>
    <mergeCell ref="F27:I27"/>
    <mergeCell ref="A29:I29"/>
    <mergeCell ref="D31:I31"/>
    <mergeCell ref="D32:I34"/>
    <mergeCell ref="C35:I35"/>
    <mergeCell ref="A37:I37"/>
    <mergeCell ref="D39:I39"/>
    <mergeCell ref="D40:I40"/>
    <mergeCell ref="D41:I41"/>
    <mergeCell ref="D42:I42"/>
    <mergeCell ref="C43:I43"/>
    <mergeCell ref="A64:B64"/>
    <mergeCell ref="C47:I47"/>
    <mergeCell ref="C48:I48"/>
    <mergeCell ref="C49:I49"/>
    <mergeCell ref="C50:I50"/>
    <mergeCell ref="C51:I51"/>
    <mergeCell ref="A53:I53"/>
    <mergeCell ref="A55:B55"/>
    <mergeCell ref="A56:B56"/>
    <mergeCell ref="A57:B57"/>
    <mergeCell ref="A58:B58"/>
    <mergeCell ref="A62:B62"/>
    <mergeCell ref="A87:I87"/>
    <mergeCell ref="A65:B65"/>
    <mergeCell ref="A66:B66"/>
    <mergeCell ref="A67:B67"/>
    <mergeCell ref="A68:B68"/>
    <mergeCell ref="A69:B69"/>
    <mergeCell ref="A78:I78"/>
    <mergeCell ref="A80:I80"/>
    <mergeCell ref="A81:I81"/>
    <mergeCell ref="A82:I82"/>
    <mergeCell ref="A84:I84"/>
    <mergeCell ref="A86:I86"/>
  </mergeCells>
  <pageMargins left="0.70866141732283472" right="0.70866141732283472" top="0.78740157480314965" bottom="0.78740157480314965" header="0.31496062992125984" footer="0.31496062992125984"/>
  <pageSetup paperSize="9" firstPageNumber="128" orientation="landscape" useFirstPageNumber="1"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Y33" sqref="Y33"/>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171</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3" spans="1:24" s="34" customFormat="1" x14ac:dyDescent="0.15">
      <c r="A3" s="1333" t="s">
        <v>40</v>
      </c>
      <c r="B3" s="1337" t="s">
        <v>41</v>
      </c>
      <c r="C3" s="1336"/>
      <c r="D3" s="1337" t="s">
        <v>42</v>
      </c>
      <c r="E3" s="1338" t="s">
        <v>34</v>
      </c>
      <c r="F3" s="1338"/>
      <c r="G3" s="1338"/>
      <c r="H3" s="1338"/>
      <c r="I3" s="1338"/>
      <c r="J3" s="1338" t="s">
        <v>39</v>
      </c>
      <c r="K3" s="1338"/>
      <c r="L3" s="1338"/>
      <c r="M3" s="1338"/>
      <c r="N3" s="1338"/>
      <c r="O3" s="1338" t="s">
        <v>43</v>
      </c>
      <c r="P3" s="1338"/>
      <c r="Q3" s="1338"/>
      <c r="R3" s="1338"/>
      <c r="S3" s="1338"/>
      <c r="T3" s="1338" t="s">
        <v>38</v>
      </c>
      <c r="U3" s="1338"/>
      <c r="V3" s="1338"/>
      <c r="W3" s="1338"/>
      <c r="X3" s="1338"/>
    </row>
    <row r="4" spans="1:24" s="35" customFormat="1" x14ac:dyDescent="0.15">
      <c r="A4" s="1336"/>
      <c r="B4" s="1336"/>
      <c r="C4" s="1336"/>
      <c r="D4" s="1337"/>
      <c r="E4" s="1334" t="s">
        <v>44</v>
      </c>
      <c r="F4" s="1335" t="s">
        <v>100</v>
      </c>
      <c r="G4" s="1335"/>
      <c r="H4" s="1335"/>
      <c r="I4" s="1333" t="s">
        <v>101</v>
      </c>
      <c r="J4" s="1334" t="s">
        <v>44</v>
      </c>
      <c r="K4" s="1335" t="s">
        <v>100</v>
      </c>
      <c r="L4" s="1335"/>
      <c r="M4" s="1335"/>
      <c r="N4" s="1333" t="s">
        <v>101</v>
      </c>
      <c r="O4" s="1334" t="s">
        <v>44</v>
      </c>
      <c r="P4" s="1335" t="s">
        <v>100</v>
      </c>
      <c r="Q4" s="1335"/>
      <c r="R4" s="1335"/>
      <c r="S4" s="1333" t="s">
        <v>101</v>
      </c>
      <c r="T4" s="1334" t="s">
        <v>44</v>
      </c>
      <c r="U4" s="1335" t="s">
        <v>100</v>
      </c>
      <c r="V4" s="1335"/>
      <c r="W4" s="1335"/>
      <c r="X4" s="1333" t="s">
        <v>101</v>
      </c>
    </row>
    <row r="5" spans="1:24" s="36" customFormat="1" x14ac:dyDescent="0.15">
      <c r="A5" s="1336"/>
      <c r="B5" s="1336"/>
      <c r="C5" s="1336"/>
      <c r="D5" s="1337"/>
      <c r="E5" s="1334"/>
      <c r="F5" s="176" t="s">
        <v>35</v>
      </c>
      <c r="G5" s="176" t="s">
        <v>36</v>
      </c>
      <c r="H5" s="176" t="s">
        <v>37</v>
      </c>
      <c r="I5" s="1333"/>
      <c r="J5" s="1334"/>
      <c r="K5" s="176" t="s">
        <v>35</v>
      </c>
      <c r="L5" s="176" t="s">
        <v>36</v>
      </c>
      <c r="M5" s="176" t="s">
        <v>37</v>
      </c>
      <c r="N5" s="1333"/>
      <c r="O5" s="1334"/>
      <c r="P5" s="176" t="s">
        <v>35</v>
      </c>
      <c r="Q5" s="176" t="s">
        <v>36</v>
      </c>
      <c r="R5" s="176" t="s">
        <v>37</v>
      </c>
      <c r="S5" s="1333"/>
      <c r="T5" s="1334"/>
      <c r="U5" s="176" t="s">
        <v>35</v>
      </c>
      <c r="V5" s="176" t="s">
        <v>36</v>
      </c>
      <c r="W5" s="176" t="s">
        <v>37</v>
      </c>
      <c r="X5" s="1333"/>
    </row>
    <row r="6" spans="1:24" s="34" customFormat="1" x14ac:dyDescent="0.15">
      <c r="A6" s="160" t="s">
        <v>0</v>
      </c>
      <c r="B6" s="1236" t="s">
        <v>1</v>
      </c>
      <c r="C6" s="1236"/>
      <c r="D6" s="161" t="s">
        <v>25</v>
      </c>
      <c r="E6" s="52">
        <f>SUM(E7:E9)</f>
        <v>10022993</v>
      </c>
      <c r="F6" s="52">
        <f>SUM(F7:F9)</f>
        <v>11414550</v>
      </c>
      <c r="G6" s="52">
        <f>SUM(G7:G9)</f>
        <v>11413403.9</v>
      </c>
      <c r="H6" s="4">
        <f t="shared" ref="H6:H35" si="0">G6/F6*100</f>
        <v>99.989959306323954</v>
      </c>
      <c r="I6" s="52">
        <f>SUM(I7:I9)</f>
        <v>9301924</v>
      </c>
      <c r="J6" s="52">
        <f>SUM(J7:J9)</f>
        <v>2250550</v>
      </c>
      <c r="K6" s="52">
        <f t="shared" ref="K6:X6" si="1">SUM(K7:K9)</f>
        <v>2885047</v>
      </c>
      <c r="L6" s="52">
        <f>SUM(L7:L9)</f>
        <v>2883989.9</v>
      </c>
      <c r="M6" s="4">
        <f t="shared" ref="M6:M29" si="2">L6/K6*100</f>
        <v>99.963359349085124</v>
      </c>
      <c r="N6" s="52">
        <f t="shared" si="1"/>
        <v>2660668</v>
      </c>
      <c r="O6" s="52">
        <f t="shared" si="1"/>
        <v>7772443</v>
      </c>
      <c r="P6" s="52">
        <f t="shared" si="1"/>
        <v>8529503</v>
      </c>
      <c r="Q6" s="52">
        <f t="shared" si="1"/>
        <v>8529414</v>
      </c>
      <c r="R6" s="4">
        <f t="shared" ref="R6:R36" si="3">Q6/P6*100</f>
        <v>99.998956562885326</v>
      </c>
      <c r="S6" s="52">
        <f t="shared" si="1"/>
        <v>6641256</v>
      </c>
      <c r="T6" s="52">
        <f t="shared" si="1"/>
        <v>0</v>
      </c>
      <c r="U6" s="52">
        <f t="shared" si="1"/>
        <v>0</v>
      </c>
      <c r="V6" s="52">
        <f t="shared" si="1"/>
        <v>0</v>
      </c>
      <c r="W6" s="4">
        <v>0</v>
      </c>
      <c r="X6" s="52">
        <f t="shared" si="1"/>
        <v>0</v>
      </c>
    </row>
    <row r="7" spans="1:24" s="34" customFormat="1" x14ac:dyDescent="0.15">
      <c r="A7" s="162" t="s">
        <v>2</v>
      </c>
      <c r="B7" s="1233" t="s">
        <v>46</v>
      </c>
      <c r="C7" s="1233"/>
      <c r="D7" s="161" t="s">
        <v>25</v>
      </c>
      <c r="E7" s="82">
        <f t="shared" ref="E7:G10" si="4">SUM(J7,O7)</f>
        <v>780000</v>
      </c>
      <c r="F7" s="82">
        <f t="shared" si="4"/>
        <v>1027070</v>
      </c>
      <c r="G7" s="82">
        <f t="shared" si="4"/>
        <v>1026886</v>
      </c>
      <c r="H7" s="58">
        <f t="shared" si="0"/>
        <v>99.982084960129299</v>
      </c>
      <c r="I7" s="82">
        <f>SUM(N7,S7)</f>
        <v>942510</v>
      </c>
      <c r="J7" s="60">
        <v>780000</v>
      </c>
      <c r="K7" s="177">
        <v>1027070</v>
      </c>
      <c r="L7" s="61">
        <v>1026886</v>
      </c>
      <c r="M7" s="58">
        <f t="shared" si="2"/>
        <v>99.982084960129299</v>
      </c>
      <c r="N7" s="61">
        <v>942510</v>
      </c>
      <c r="O7" s="61">
        <v>0</v>
      </c>
      <c r="P7" s="61">
        <v>0</v>
      </c>
      <c r="Q7" s="61">
        <v>0</v>
      </c>
      <c r="R7" s="58">
        <v>0</v>
      </c>
      <c r="S7" s="61">
        <v>0</v>
      </c>
      <c r="T7" s="61"/>
      <c r="U7" s="61"/>
      <c r="V7" s="61"/>
      <c r="W7" s="58">
        <v>0</v>
      </c>
      <c r="X7" s="61"/>
    </row>
    <row r="8" spans="1:24" s="34" customFormat="1" x14ac:dyDescent="0.15">
      <c r="A8" s="165" t="s">
        <v>3</v>
      </c>
      <c r="B8" s="1237" t="s">
        <v>47</v>
      </c>
      <c r="C8" s="1237"/>
      <c r="D8" s="161" t="s">
        <v>25</v>
      </c>
      <c r="E8" s="82">
        <f t="shared" si="4"/>
        <v>0</v>
      </c>
      <c r="F8" s="82">
        <f t="shared" si="4"/>
        <v>0</v>
      </c>
      <c r="G8" s="82">
        <f t="shared" si="4"/>
        <v>0</v>
      </c>
      <c r="H8" s="58">
        <v>0</v>
      </c>
      <c r="I8" s="82">
        <f>SUM(N8,S8)</f>
        <v>0</v>
      </c>
      <c r="J8" s="64"/>
      <c r="K8" s="178">
        <v>0</v>
      </c>
      <c r="L8" s="57">
        <v>0</v>
      </c>
      <c r="M8" s="58">
        <v>0</v>
      </c>
      <c r="N8" s="57">
        <v>0</v>
      </c>
      <c r="O8" s="57">
        <v>0</v>
      </c>
      <c r="P8" s="57">
        <v>0</v>
      </c>
      <c r="Q8" s="57">
        <v>0</v>
      </c>
      <c r="R8" s="58">
        <v>0</v>
      </c>
      <c r="S8" s="57">
        <v>0</v>
      </c>
      <c r="T8" s="57"/>
      <c r="U8" s="57"/>
      <c r="V8" s="57"/>
      <c r="W8" s="58">
        <v>0</v>
      </c>
      <c r="X8" s="57"/>
    </row>
    <row r="9" spans="1:24" s="34" customFormat="1" ht="8.4" x14ac:dyDescent="0.2">
      <c r="A9" s="165" t="s">
        <v>4</v>
      </c>
      <c r="B9" s="66" t="s">
        <v>62</v>
      </c>
      <c r="C9" s="67"/>
      <c r="D9" s="161" t="s">
        <v>25</v>
      </c>
      <c r="E9" s="82">
        <f t="shared" si="4"/>
        <v>9242993</v>
      </c>
      <c r="F9" s="82">
        <f t="shared" si="4"/>
        <v>10387480</v>
      </c>
      <c r="G9" s="82">
        <f t="shared" si="4"/>
        <v>10386517.9</v>
      </c>
      <c r="H9" s="58">
        <f t="shared" si="0"/>
        <v>99.990737888304011</v>
      </c>
      <c r="I9" s="82">
        <f>SUM(N9,S9)</f>
        <v>8359414</v>
      </c>
      <c r="J9" s="64">
        <v>1470550</v>
      </c>
      <c r="K9" s="178">
        <v>1857977</v>
      </c>
      <c r="L9" s="57">
        <v>1857103.9</v>
      </c>
      <c r="M9" s="58">
        <f t="shared" si="2"/>
        <v>99.953008029701124</v>
      </c>
      <c r="N9" s="57">
        <v>1718158</v>
      </c>
      <c r="O9" s="65">
        <v>7772443</v>
      </c>
      <c r="P9" s="82">
        <v>8529503</v>
      </c>
      <c r="Q9" s="57">
        <v>8529414</v>
      </c>
      <c r="R9" s="58">
        <f t="shared" si="3"/>
        <v>99.998956562885326</v>
      </c>
      <c r="S9" s="57">
        <v>6641256</v>
      </c>
      <c r="T9" s="57"/>
      <c r="U9" s="57"/>
      <c r="V9" s="57"/>
      <c r="W9" s="58">
        <v>0</v>
      </c>
      <c r="X9" s="57"/>
    </row>
    <row r="10" spans="1:24" s="34" customFormat="1" x14ac:dyDescent="0.15">
      <c r="A10" s="160" t="s">
        <v>5</v>
      </c>
      <c r="B10" s="1236" t="s">
        <v>7</v>
      </c>
      <c r="C10" s="1236"/>
      <c r="D10" s="161" t="s">
        <v>25</v>
      </c>
      <c r="E10" s="69">
        <f t="shared" si="4"/>
        <v>0</v>
      </c>
      <c r="F10" s="69">
        <f t="shared" si="4"/>
        <v>0</v>
      </c>
      <c r="G10" s="69">
        <f t="shared" si="4"/>
        <v>0</v>
      </c>
      <c r="H10" s="4">
        <v>0</v>
      </c>
      <c r="I10" s="69">
        <v>0</v>
      </c>
      <c r="J10" s="167">
        <v>0</v>
      </c>
      <c r="K10" s="69">
        <v>0</v>
      </c>
      <c r="L10" s="69">
        <v>0</v>
      </c>
      <c r="M10" s="4">
        <v>0</v>
      </c>
      <c r="N10" s="69">
        <v>0</v>
      </c>
      <c r="O10" s="69">
        <v>0</v>
      </c>
      <c r="P10" s="69">
        <v>0</v>
      </c>
      <c r="Q10" s="69">
        <v>0</v>
      </c>
      <c r="R10" s="4">
        <v>0</v>
      </c>
      <c r="S10" s="69">
        <v>0</v>
      </c>
      <c r="T10" s="69">
        <v>0</v>
      </c>
      <c r="U10" s="69">
        <v>0</v>
      </c>
      <c r="V10" s="69">
        <v>0</v>
      </c>
      <c r="W10" s="4">
        <v>0</v>
      </c>
      <c r="X10" s="69">
        <v>0</v>
      </c>
    </row>
    <row r="11" spans="1:24" s="34" customFormat="1" x14ac:dyDescent="0.15">
      <c r="A11" s="160" t="s">
        <v>6</v>
      </c>
      <c r="B11" s="1236" t="s">
        <v>9</v>
      </c>
      <c r="C11" s="1236"/>
      <c r="D11" s="161" t="s">
        <v>25</v>
      </c>
      <c r="E11" s="52">
        <f>SUM(E12:E31)</f>
        <v>10022993</v>
      </c>
      <c r="F11" s="52">
        <f>SUM(F12:F31)</f>
        <v>11414550</v>
      </c>
      <c r="G11" s="52">
        <f>SUM(G12:G31)</f>
        <v>11357510.060000001</v>
      </c>
      <c r="H11" s="4">
        <f t="shared" si="0"/>
        <v>99.500287440153144</v>
      </c>
      <c r="I11" s="52">
        <f>SUM(I12:I31)</f>
        <v>9283632.9100000001</v>
      </c>
      <c r="J11" s="52">
        <f>SUM(J12:J31)</f>
        <v>2250550</v>
      </c>
      <c r="K11" s="52">
        <f>SUM(K12:K31)</f>
        <v>2885047</v>
      </c>
      <c r="L11" s="52">
        <f>SUM(L12:L31)</f>
        <v>2828096.06</v>
      </c>
      <c r="M11" s="4">
        <f t="shared" si="2"/>
        <v>98.025996110288673</v>
      </c>
      <c r="N11" s="52">
        <f>SUM(N12:N31)</f>
        <v>2642376.91</v>
      </c>
      <c r="O11" s="52">
        <f>SUM(O12:O31)</f>
        <v>7772443</v>
      </c>
      <c r="P11" s="52">
        <f>SUM(P12:P31)</f>
        <v>8529503</v>
      </c>
      <c r="Q11" s="52">
        <f>SUM(Q12:Q31)</f>
        <v>8529414</v>
      </c>
      <c r="R11" s="4">
        <f t="shared" si="3"/>
        <v>99.998956562885326</v>
      </c>
      <c r="S11" s="52">
        <f>SUM(S12:S31)</f>
        <v>6641256</v>
      </c>
      <c r="T11" s="52">
        <f>SUM(T12:T31)</f>
        <v>0</v>
      </c>
      <c r="U11" s="52">
        <f>SUM(U12:U31)</f>
        <v>0</v>
      </c>
      <c r="V11" s="52">
        <f>SUM(V12:V31)</f>
        <v>0</v>
      </c>
      <c r="W11" s="4">
        <v>0</v>
      </c>
      <c r="X11" s="52">
        <v>0</v>
      </c>
    </row>
    <row r="12" spans="1:24" s="34" customFormat="1" x14ac:dyDescent="0.15">
      <c r="A12" s="179" t="s">
        <v>8</v>
      </c>
      <c r="B12" s="1238" t="s">
        <v>28</v>
      </c>
      <c r="C12" s="1238"/>
      <c r="D12" s="161" t="s">
        <v>25</v>
      </c>
      <c r="E12" s="82">
        <f>SUM(J12,O12)</f>
        <v>643000</v>
      </c>
      <c r="F12" s="82">
        <f t="shared" ref="E12:I28" si="5">SUM(K12,P12)</f>
        <v>821801</v>
      </c>
      <c r="G12" s="82">
        <f t="shared" si="5"/>
        <v>818810.57000000007</v>
      </c>
      <c r="H12" s="58">
        <f t="shared" si="0"/>
        <v>99.636112635540727</v>
      </c>
      <c r="I12" s="82">
        <f t="shared" si="5"/>
        <v>776997.16</v>
      </c>
      <c r="J12" s="74">
        <v>643000</v>
      </c>
      <c r="K12" s="75">
        <v>799827</v>
      </c>
      <c r="L12" s="75">
        <v>796836.42</v>
      </c>
      <c r="M12" s="58">
        <f t="shared" si="2"/>
        <v>99.626096643399137</v>
      </c>
      <c r="N12" s="75">
        <v>776997.16</v>
      </c>
      <c r="O12" s="180">
        <v>0</v>
      </c>
      <c r="P12" s="75">
        <v>21974</v>
      </c>
      <c r="Q12" s="75">
        <v>21974.15</v>
      </c>
      <c r="R12" s="58">
        <f t="shared" si="3"/>
        <v>100.00068262492037</v>
      </c>
      <c r="S12" s="181">
        <v>0</v>
      </c>
      <c r="T12" s="75"/>
      <c r="U12" s="75"/>
      <c r="V12" s="75"/>
      <c r="W12" s="58">
        <v>0</v>
      </c>
      <c r="X12" s="82"/>
    </row>
    <row r="13" spans="1:24" s="34" customFormat="1" x14ac:dyDescent="0.15">
      <c r="A13" s="162" t="s">
        <v>10</v>
      </c>
      <c r="B13" s="1233" t="s">
        <v>29</v>
      </c>
      <c r="C13" s="1233"/>
      <c r="D13" s="161" t="s">
        <v>25</v>
      </c>
      <c r="E13" s="82">
        <f t="shared" si="5"/>
        <v>670000</v>
      </c>
      <c r="F13" s="82">
        <f t="shared" si="5"/>
        <v>555000</v>
      </c>
      <c r="G13" s="82">
        <f t="shared" si="5"/>
        <v>554781.78</v>
      </c>
      <c r="H13" s="58">
        <f t="shared" si="0"/>
        <v>99.960681081081077</v>
      </c>
      <c r="I13" s="82">
        <f t="shared" si="5"/>
        <v>407861.87</v>
      </c>
      <c r="J13" s="74">
        <v>670000</v>
      </c>
      <c r="K13" s="57">
        <v>555000</v>
      </c>
      <c r="L13" s="57">
        <v>554781.78</v>
      </c>
      <c r="M13" s="58">
        <f t="shared" si="2"/>
        <v>99.960681081081077</v>
      </c>
      <c r="N13" s="57">
        <v>407861.87</v>
      </c>
      <c r="O13" s="65">
        <v>0</v>
      </c>
      <c r="P13" s="82">
        <v>0</v>
      </c>
      <c r="Q13" s="82">
        <v>0</v>
      </c>
      <c r="R13" s="58">
        <v>0</v>
      </c>
      <c r="S13" s="182">
        <v>0</v>
      </c>
      <c r="T13" s="57"/>
      <c r="U13" s="57"/>
      <c r="V13" s="57"/>
      <c r="W13" s="58">
        <v>0</v>
      </c>
      <c r="X13" s="57"/>
    </row>
    <row r="14" spans="1:24" s="34" customFormat="1" x14ac:dyDescent="0.15">
      <c r="A14" s="162" t="s">
        <v>11</v>
      </c>
      <c r="B14" s="76" t="s">
        <v>63</v>
      </c>
      <c r="C14" s="76"/>
      <c r="D14" s="161" t="s">
        <v>25</v>
      </c>
      <c r="E14" s="82">
        <f t="shared" si="5"/>
        <v>0</v>
      </c>
      <c r="F14" s="82">
        <f t="shared" si="5"/>
        <v>0</v>
      </c>
      <c r="G14" s="82">
        <f t="shared" si="5"/>
        <v>0</v>
      </c>
      <c r="H14" s="58">
        <v>0</v>
      </c>
      <c r="I14" s="82">
        <f t="shared" si="5"/>
        <v>0</v>
      </c>
      <c r="J14" s="74">
        <v>0</v>
      </c>
      <c r="K14" s="57">
        <v>0</v>
      </c>
      <c r="L14" s="57">
        <v>0</v>
      </c>
      <c r="M14" s="58">
        <v>0</v>
      </c>
      <c r="N14" s="57">
        <v>0</v>
      </c>
      <c r="O14" s="65">
        <v>0</v>
      </c>
      <c r="P14" s="82">
        <v>0</v>
      </c>
      <c r="Q14" s="82">
        <v>0</v>
      </c>
      <c r="R14" s="58">
        <v>0</v>
      </c>
      <c r="S14" s="182">
        <v>0</v>
      </c>
      <c r="T14" s="57"/>
      <c r="U14" s="57"/>
      <c r="V14" s="57"/>
      <c r="W14" s="58">
        <v>0</v>
      </c>
      <c r="X14" s="57"/>
    </row>
    <row r="15" spans="1:24" s="34" customFormat="1" x14ac:dyDescent="0.15">
      <c r="A15" s="162" t="s">
        <v>12</v>
      </c>
      <c r="B15" s="1233" t="s">
        <v>64</v>
      </c>
      <c r="C15" s="1233"/>
      <c r="D15" s="161" t="s">
        <v>25</v>
      </c>
      <c r="E15" s="82">
        <f t="shared" si="5"/>
        <v>415000</v>
      </c>
      <c r="F15" s="82">
        <f t="shared" si="5"/>
        <v>775000</v>
      </c>
      <c r="G15" s="82">
        <f t="shared" si="5"/>
        <v>748864.67</v>
      </c>
      <c r="H15" s="58">
        <f t="shared" si="0"/>
        <v>96.627699354838711</v>
      </c>
      <c r="I15" s="82">
        <f t="shared" si="5"/>
        <v>745135</v>
      </c>
      <c r="J15" s="74">
        <v>415000</v>
      </c>
      <c r="K15" s="57">
        <v>775000</v>
      </c>
      <c r="L15" s="57">
        <v>748864.67</v>
      </c>
      <c r="M15" s="58">
        <f t="shared" si="2"/>
        <v>96.627699354838711</v>
      </c>
      <c r="N15" s="57">
        <v>745135</v>
      </c>
      <c r="O15" s="65">
        <v>0</v>
      </c>
      <c r="P15" s="82">
        <v>0</v>
      </c>
      <c r="Q15" s="82">
        <v>0</v>
      </c>
      <c r="R15" s="58">
        <v>0</v>
      </c>
      <c r="S15" s="182">
        <v>0</v>
      </c>
      <c r="T15" s="57"/>
      <c r="U15" s="57"/>
      <c r="V15" s="57"/>
      <c r="W15" s="58">
        <v>0</v>
      </c>
      <c r="X15" s="57"/>
    </row>
    <row r="16" spans="1:24" s="34" customFormat="1" x14ac:dyDescent="0.15">
      <c r="A16" s="162" t="s">
        <v>13</v>
      </c>
      <c r="B16" s="1233" t="s">
        <v>30</v>
      </c>
      <c r="C16" s="1233"/>
      <c r="D16" s="161" t="s">
        <v>25</v>
      </c>
      <c r="E16" s="82">
        <f t="shared" si="5"/>
        <v>2000</v>
      </c>
      <c r="F16" s="82">
        <f t="shared" si="5"/>
        <v>2998</v>
      </c>
      <c r="G16" s="82">
        <f t="shared" si="5"/>
        <v>2998</v>
      </c>
      <c r="H16" s="58">
        <f t="shared" si="0"/>
        <v>100</v>
      </c>
      <c r="I16" s="82">
        <f t="shared" si="5"/>
        <v>1184</v>
      </c>
      <c r="J16" s="74">
        <v>2000</v>
      </c>
      <c r="K16" s="57">
        <v>2998</v>
      </c>
      <c r="L16" s="57">
        <v>2998</v>
      </c>
      <c r="M16" s="58">
        <f t="shared" si="2"/>
        <v>100</v>
      </c>
      <c r="N16" s="57">
        <v>1184</v>
      </c>
      <c r="O16" s="65">
        <v>0</v>
      </c>
      <c r="P16" s="82">
        <v>0</v>
      </c>
      <c r="Q16" s="82">
        <v>0</v>
      </c>
      <c r="R16" s="58">
        <v>0</v>
      </c>
      <c r="S16" s="182">
        <v>0</v>
      </c>
      <c r="T16" s="57"/>
      <c r="U16" s="57"/>
      <c r="V16" s="57"/>
      <c r="W16" s="58">
        <v>0</v>
      </c>
      <c r="X16" s="57"/>
    </row>
    <row r="17" spans="1:24" s="34" customFormat="1" x14ac:dyDescent="0.15">
      <c r="A17" s="162" t="s">
        <v>14</v>
      </c>
      <c r="B17" s="76" t="s">
        <v>48</v>
      </c>
      <c r="C17" s="76"/>
      <c r="D17" s="161" t="s">
        <v>25</v>
      </c>
      <c r="E17" s="82">
        <f t="shared" si="5"/>
        <v>1000</v>
      </c>
      <c r="F17" s="82">
        <f t="shared" si="5"/>
        <v>2677</v>
      </c>
      <c r="G17" s="82">
        <f t="shared" si="5"/>
        <v>2637</v>
      </c>
      <c r="H17" s="58">
        <f t="shared" si="0"/>
        <v>98.505790063503923</v>
      </c>
      <c r="I17" s="82">
        <f t="shared" si="5"/>
        <v>0</v>
      </c>
      <c r="J17" s="74">
        <v>1000</v>
      </c>
      <c r="K17" s="57">
        <v>1000</v>
      </c>
      <c r="L17" s="57">
        <v>960</v>
      </c>
      <c r="M17" s="58">
        <f t="shared" si="2"/>
        <v>96</v>
      </c>
      <c r="N17" s="57">
        <v>0</v>
      </c>
      <c r="O17" s="65">
        <v>0</v>
      </c>
      <c r="P17" s="82">
        <v>1677</v>
      </c>
      <c r="Q17" s="82">
        <v>1677</v>
      </c>
      <c r="R17" s="58">
        <f t="shared" si="3"/>
        <v>100</v>
      </c>
      <c r="S17" s="182">
        <v>0</v>
      </c>
      <c r="T17" s="57"/>
      <c r="U17" s="57"/>
      <c r="V17" s="57"/>
      <c r="W17" s="58">
        <v>0</v>
      </c>
      <c r="X17" s="57"/>
    </row>
    <row r="18" spans="1:24" s="34" customFormat="1" x14ac:dyDescent="0.15">
      <c r="A18" s="162" t="s">
        <v>15</v>
      </c>
      <c r="B18" s="1233" t="s">
        <v>31</v>
      </c>
      <c r="C18" s="1233"/>
      <c r="D18" s="161" t="s">
        <v>25</v>
      </c>
      <c r="E18" s="82">
        <f t="shared" si="5"/>
        <v>278000</v>
      </c>
      <c r="F18" s="82">
        <f t="shared" si="5"/>
        <v>507999</v>
      </c>
      <c r="G18" s="82">
        <f t="shared" si="5"/>
        <v>482231.04000000004</v>
      </c>
      <c r="H18" s="58">
        <f t="shared" si="0"/>
        <v>94.927556944009737</v>
      </c>
      <c r="I18" s="82">
        <f t="shared" si="5"/>
        <v>373497.88</v>
      </c>
      <c r="J18" s="74">
        <v>278000</v>
      </c>
      <c r="K18" s="57">
        <v>398502</v>
      </c>
      <c r="L18" s="57">
        <v>372733.64</v>
      </c>
      <c r="M18" s="58">
        <f t="shared" si="2"/>
        <v>93.533693682842241</v>
      </c>
      <c r="N18" s="57">
        <v>360997.88</v>
      </c>
      <c r="O18" s="65">
        <v>0</v>
      </c>
      <c r="P18" s="82">
        <v>109497</v>
      </c>
      <c r="Q18" s="82">
        <v>109497.4</v>
      </c>
      <c r="R18" s="58">
        <f t="shared" si="3"/>
        <v>100.00036530681204</v>
      </c>
      <c r="S18" s="82">
        <v>12500</v>
      </c>
      <c r="T18" s="57"/>
      <c r="U18" s="57"/>
      <c r="V18" s="57"/>
      <c r="W18" s="58">
        <v>0</v>
      </c>
      <c r="X18" s="57"/>
    </row>
    <row r="19" spans="1:24" s="37" customFormat="1" x14ac:dyDescent="0.15">
      <c r="A19" s="162" t="s">
        <v>16</v>
      </c>
      <c r="B19" s="1233" t="s">
        <v>32</v>
      </c>
      <c r="C19" s="1233"/>
      <c r="D19" s="161" t="s">
        <v>25</v>
      </c>
      <c r="E19" s="82">
        <f t="shared" si="5"/>
        <v>5698416</v>
      </c>
      <c r="F19" s="82">
        <f t="shared" si="5"/>
        <v>6028397</v>
      </c>
      <c r="G19" s="82">
        <f t="shared" si="5"/>
        <v>6028397</v>
      </c>
      <c r="H19" s="58">
        <f t="shared" si="0"/>
        <v>100</v>
      </c>
      <c r="I19" s="82">
        <f t="shared" si="5"/>
        <v>4864906</v>
      </c>
      <c r="J19" s="77">
        <v>0</v>
      </c>
      <c r="K19" s="57">
        <v>35000</v>
      </c>
      <c r="L19" s="57">
        <v>35000</v>
      </c>
      <c r="M19" s="58">
        <f t="shared" si="2"/>
        <v>100</v>
      </c>
      <c r="N19" s="57">
        <v>0</v>
      </c>
      <c r="O19" s="65">
        <v>5698416</v>
      </c>
      <c r="P19" s="82">
        <v>5993397</v>
      </c>
      <c r="Q19" s="82">
        <v>5993397</v>
      </c>
      <c r="R19" s="58">
        <f t="shared" si="3"/>
        <v>100</v>
      </c>
      <c r="S19" s="82">
        <v>4864906</v>
      </c>
      <c r="T19" s="78"/>
      <c r="U19" s="78"/>
      <c r="V19" s="78"/>
      <c r="W19" s="58">
        <v>0</v>
      </c>
      <c r="X19" s="78"/>
    </row>
    <row r="20" spans="1:24" s="34" customFormat="1" x14ac:dyDescent="0.15">
      <c r="A20" s="162" t="s">
        <v>17</v>
      </c>
      <c r="B20" s="1233" t="s">
        <v>49</v>
      </c>
      <c r="C20" s="1233"/>
      <c r="D20" s="161" t="s">
        <v>25</v>
      </c>
      <c r="E20" s="82">
        <f t="shared" si="5"/>
        <v>1952233</v>
      </c>
      <c r="F20" s="82">
        <f t="shared" si="5"/>
        <v>2051868</v>
      </c>
      <c r="G20" s="82">
        <f t="shared" si="5"/>
        <v>2051779</v>
      </c>
      <c r="H20" s="58">
        <f t="shared" si="0"/>
        <v>99.995662489010016</v>
      </c>
      <c r="I20" s="82">
        <f t="shared" si="5"/>
        <v>1663271</v>
      </c>
      <c r="J20" s="74">
        <v>0</v>
      </c>
      <c r="K20" s="57">
        <v>9814</v>
      </c>
      <c r="L20" s="57">
        <v>9814</v>
      </c>
      <c r="M20" s="58">
        <f t="shared" si="2"/>
        <v>100</v>
      </c>
      <c r="N20" s="57">
        <v>6120</v>
      </c>
      <c r="O20" s="65">
        <v>1952233</v>
      </c>
      <c r="P20" s="82">
        <v>2042054</v>
      </c>
      <c r="Q20" s="82">
        <v>2041965</v>
      </c>
      <c r="R20" s="58">
        <f t="shared" si="3"/>
        <v>99.99564164316908</v>
      </c>
      <c r="S20" s="82">
        <v>1657151</v>
      </c>
      <c r="T20" s="57"/>
      <c r="U20" s="57"/>
      <c r="V20" s="57"/>
      <c r="W20" s="58">
        <v>0</v>
      </c>
      <c r="X20" s="57"/>
    </row>
    <row r="21" spans="1:24" s="34" customFormat="1" x14ac:dyDescent="0.15">
      <c r="A21" s="162" t="s">
        <v>18</v>
      </c>
      <c r="B21" s="1233" t="s">
        <v>50</v>
      </c>
      <c r="C21" s="1233"/>
      <c r="D21" s="161" t="s">
        <v>25</v>
      </c>
      <c r="E21" s="82">
        <f t="shared" si="5"/>
        <v>128794</v>
      </c>
      <c r="F21" s="82">
        <f t="shared" si="5"/>
        <v>127710</v>
      </c>
      <c r="G21" s="82">
        <f t="shared" si="5"/>
        <v>127708</v>
      </c>
      <c r="H21" s="58">
        <f t="shared" si="0"/>
        <v>99.998433951922323</v>
      </c>
      <c r="I21" s="82">
        <f t="shared" si="5"/>
        <v>107999</v>
      </c>
      <c r="J21" s="74">
        <v>7000</v>
      </c>
      <c r="K21" s="57">
        <v>2256</v>
      </c>
      <c r="L21" s="57">
        <v>2256</v>
      </c>
      <c r="M21" s="58">
        <f t="shared" si="2"/>
        <v>100</v>
      </c>
      <c r="N21" s="57">
        <v>1300</v>
      </c>
      <c r="O21" s="65">
        <v>121794</v>
      </c>
      <c r="P21" s="82">
        <v>125454</v>
      </c>
      <c r="Q21" s="82">
        <v>125452</v>
      </c>
      <c r="R21" s="58">
        <f t="shared" si="3"/>
        <v>99.998405790170096</v>
      </c>
      <c r="S21" s="82">
        <v>106699</v>
      </c>
      <c r="T21" s="57"/>
      <c r="U21" s="57"/>
      <c r="V21" s="57"/>
      <c r="W21" s="58">
        <v>0</v>
      </c>
      <c r="X21" s="57"/>
    </row>
    <row r="22" spans="1:24" s="34" customFormat="1" x14ac:dyDescent="0.15">
      <c r="A22" s="162" t="s">
        <v>19</v>
      </c>
      <c r="B22" s="1233" t="s">
        <v>65</v>
      </c>
      <c r="C22" s="1233"/>
      <c r="D22" s="161" t="s">
        <v>25</v>
      </c>
      <c r="E22" s="82">
        <f t="shared" si="5"/>
        <v>0</v>
      </c>
      <c r="F22" s="82">
        <f t="shared" si="5"/>
        <v>0</v>
      </c>
      <c r="G22" s="82">
        <f t="shared" si="5"/>
        <v>0</v>
      </c>
      <c r="H22" s="58">
        <v>0</v>
      </c>
      <c r="I22" s="82">
        <f t="shared" si="5"/>
        <v>0</v>
      </c>
      <c r="J22" s="74">
        <v>0</v>
      </c>
      <c r="K22" s="57">
        <v>0</v>
      </c>
      <c r="L22" s="57">
        <v>0</v>
      </c>
      <c r="M22" s="58">
        <v>0</v>
      </c>
      <c r="N22" s="57">
        <v>0</v>
      </c>
      <c r="O22" s="183">
        <v>0</v>
      </c>
      <c r="P22" s="82">
        <v>0</v>
      </c>
      <c r="Q22" s="82">
        <v>0</v>
      </c>
      <c r="R22" s="58">
        <v>0</v>
      </c>
      <c r="S22" s="182">
        <v>0</v>
      </c>
      <c r="T22" s="57"/>
      <c r="U22" s="57"/>
      <c r="V22" s="57"/>
      <c r="W22" s="58">
        <v>0</v>
      </c>
      <c r="X22" s="57"/>
    </row>
    <row r="23" spans="1:24" s="34" customFormat="1" x14ac:dyDescent="0.15">
      <c r="A23" s="162" t="s">
        <v>20</v>
      </c>
      <c r="B23" s="76" t="s">
        <v>66</v>
      </c>
      <c r="C23" s="76"/>
      <c r="D23" s="161" t="s">
        <v>25</v>
      </c>
      <c r="E23" s="82">
        <f t="shared" si="5"/>
        <v>0</v>
      </c>
      <c r="F23" s="82">
        <f t="shared" si="5"/>
        <v>0</v>
      </c>
      <c r="G23" s="82">
        <f t="shared" si="5"/>
        <v>0</v>
      </c>
      <c r="H23" s="58">
        <v>0</v>
      </c>
      <c r="I23" s="82">
        <f t="shared" si="5"/>
        <v>0</v>
      </c>
      <c r="J23" s="74">
        <v>0</v>
      </c>
      <c r="K23" s="57">
        <v>0</v>
      </c>
      <c r="L23" s="57">
        <v>0</v>
      </c>
      <c r="M23" s="58">
        <v>0</v>
      </c>
      <c r="N23" s="57">
        <v>0</v>
      </c>
      <c r="O23" s="184">
        <v>0</v>
      </c>
      <c r="P23" s="57">
        <v>0</v>
      </c>
      <c r="Q23" s="57">
        <v>0</v>
      </c>
      <c r="R23" s="58">
        <v>0</v>
      </c>
      <c r="S23" s="182">
        <v>0</v>
      </c>
      <c r="T23" s="57"/>
      <c r="U23" s="57"/>
      <c r="V23" s="57"/>
      <c r="W23" s="58">
        <v>0</v>
      </c>
      <c r="X23" s="57"/>
    </row>
    <row r="24" spans="1:24" s="34" customFormat="1" x14ac:dyDescent="0.15">
      <c r="A24" s="162" t="s">
        <v>21</v>
      </c>
      <c r="B24" s="76" t="s">
        <v>73</v>
      </c>
      <c r="C24" s="76"/>
      <c r="D24" s="161" t="s">
        <v>25</v>
      </c>
      <c r="E24" s="82">
        <f t="shared" si="5"/>
        <v>0</v>
      </c>
      <c r="F24" s="82">
        <f t="shared" si="5"/>
        <v>0</v>
      </c>
      <c r="G24" s="82">
        <f t="shared" si="5"/>
        <v>0</v>
      </c>
      <c r="H24" s="58">
        <v>0</v>
      </c>
      <c r="I24" s="82">
        <f t="shared" si="5"/>
        <v>0</v>
      </c>
      <c r="J24" s="74">
        <v>0</v>
      </c>
      <c r="K24" s="57">
        <v>0</v>
      </c>
      <c r="L24" s="57">
        <v>0</v>
      </c>
      <c r="M24" s="58">
        <v>0</v>
      </c>
      <c r="N24" s="57">
        <v>0</v>
      </c>
      <c r="O24" s="184">
        <v>0</v>
      </c>
      <c r="P24" s="57">
        <v>0</v>
      </c>
      <c r="Q24" s="57">
        <v>0</v>
      </c>
      <c r="R24" s="58">
        <v>0</v>
      </c>
      <c r="S24" s="182">
        <v>0</v>
      </c>
      <c r="T24" s="57"/>
      <c r="U24" s="57"/>
      <c r="V24" s="57"/>
      <c r="W24" s="58">
        <v>0</v>
      </c>
      <c r="X24" s="57"/>
    </row>
    <row r="25" spans="1:24" s="34" customFormat="1" x14ac:dyDescent="0.15">
      <c r="A25" s="179" t="s">
        <v>22</v>
      </c>
      <c r="B25" s="80" t="s">
        <v>68</v>
      </c>
      <c r="C25" s="80"/>
      <c r="D25" s="161" t="s">
        <v>25</v>
      </c>
      <c r="E25" s="82">
        <f t="shared" si="5"/>
        <v>0</v>
      </c>
      <c r="F25" s="82">
        <f t="shared" si="5"/>
        <v>15000</v>
      </c>
      <c r="G25" s="82">
        <f t="shared" si="5"/>
        <v>13950</v>
      </c>
      <c r="H25" s="58">
        <f t="shared" si="0"/>
        <v>93</v>
      </c>
      <c r="I25" s="82">
        <f t="shared" si="5"/>
        <v>38400</v>
      </c>
      <c r="J25" s="74">
        <v>0</v>
      </c>
      <c r="K25" s="75">
        <v>15000</v>
      </c>
      <c r="L25" s="75">
        <v>13950</v>
      </c>
      <c r="M25" s="58">
        <f t="shared" si="2"/>
        <v>93</v>
      </c>
      <c r="N25" s="75">
        <v>38400</v>
      </c>
      <c r="O25" s="185">
        <v>0</v>
      </c>
      <c r="P25" s="75">
        <v>0</v>
      </c>
      <c r="Q25" s="75">
        <v>0</v>
      </c>
      <c r="R25" s="58">
        <v>0</v>
      </c>
      <c r="S25" s="186">
        <v>0</v>
      </c>
      <c r="T25" s="75"/>
      <c r="U25" s="75"/>
      <c r="V25" s="75"/>
      <c r="W25" s="58">
        <v>0</v>
      </c>
      <c r="X25" s="75"/>
    </row>
    <row r="26" spans="1:24" s="38" customFormat="1" x14ac:dyDescent="0.15">
      <c r="A26" s="162" t="s">
        <v>23</v>
      </c>
      <c r="B26" s="1233" t="s">
        <v>69</v>
      </c>
      <c r="C26" s="1233"/>
      <c r="D26" s="161" t="s">
        <v>25</v>
      </c>
      <c r="E26" s="82">
        <f t="shared" si="5"/>
        <v>173550</v>
      </c>
      <c r="F26" s="82">
        <f t="shared" si="5"/>
        <v>173550</v>
      </c>
      <c r="G26" s="82">
        <f t="shared" si="5"/>
        <v>173550</v>
      </c>
      <c r="H26" s="58">
        <f t="shared" si="0"/>
        <v>100</v>
      </c>
      <c r="I26" s="82">
        <f t="shared" si="5"/>
        <v>173580</v>
      </c>
      <c r="J26" s="74">
        <v>173550</v>
      </c>
      <c r="K26" s="82">
        <v>173550</v>
      </c>
      <c r="L26" s="82">
        <v>173550</v>
      </c>
      <c r="M26" s="58">
        <f t="shared" si="2"/>
        <v>100</v>
      </c>
      <c r="N26" s="82">
        <v>173580</v>
      </c>
      <c r="O26" s="183">
        <v>0</v>
      </c>
      <c r="P26" s="82">
        <v>0</v>
      </c>
      <c r="Q26" s="82">
        <v>0</v>
      </c>
      <c r="R26" s="58">
        <v>0</v>
      </c>
      <c r="S26" s="187">
        <v>0</v>
      </c>
      <c r="T26" s="83"/>
      <c r="U26" s="83"/>
      <c r="V26" s="83"/>
      <c r="W26" s="58">
        <v>0</v>
      </c>
      <c r="X26" s="83"/>
    </row>
    <row r="27" spans="1:24" s="39" customFormat="1" x14ac:dyDescent="0.15">
      <c r="A27" s="162" t="s">
        <v>45</v>
      </c>
      <c r="B27" s="76" t="s">
        <v>70</v>
      </c>
      <c r="C27" s="76"/>
      <c r="D27" s="161" t="s">
        <v>25</v>
      </c>
      <c r="E27" s="82">
        <f t="shared" si="5"/>
        <v>0</v>
      </c>
      <c r="F27" s="82">
        <f t="shared" si="5"/>
        <v>0</v>
      </c>
      <c r="G27" s="82">
        <f t="shared" si="5"/>
        <v>0</v>
      </c>
      <c r="H27" s="58">
        <v>0</v>
      </c>
      <c r="I27" s="82">
        <f t="shared" si="5"/>
        <v>0</v>
      </c>
      <c r="J27" s="74">
        <v>0</v>
      </c>
      <c r="K27" s="82">
        <v>0</v>
      </c>
      <c r="L27" s="82">
        <v>0</v>
      </c>
      <c r="M27" s="58">
        <v>0</v>
      </c>
      <c r="N27" s="82">
        <v>0</v>
      </c>
      <c r="O27" s="183">
        <v>0</v>
      </c>
      <c r="P27" s="82">
        <v>0</v>
      </c>
      <c r="Q27" s="82">
        <v>0</v>
      </c>
      <c r="R27" s="58">
        <v>0</v>
      </c>
      <c r="S27" s="187">
        <v>0</v>
      </c>
      <c r="T27" s="83"/>
      <c r="U27" s="83"/>
      <c r="V27" s="83"/>
      <c r="W27" s="58">
        <v>0</v>
      </c>
      <c r="X27" s="83"/>
    </row>
    <row r="28" spans="1:24" s="39" customFormat="1" x14ac:dyDescent="0.15">
      <c r="A28" s="162" t="s">
        <v>51</v>
      </c>
      <c r="B28" s="76" t="s">
        <v>74</v>
      </c>
      <c r="C28" s="76"/>
      <c r="D28" s="161" t="s">
        <v>25</v>
      </c>
      <c r="E28" s="82">
        <f t="shared" si="5"/>
        <v>60000</v>
      </c>
      <c r="F28" s="82">
        <f t="shared" si="5"/>
        <v>351450</v>
      </c>
      <c r="G28" s="82">
        <f t="shared" si="5"/>
        <v>350709</v>
      </c>
      <c r="H28" s="58">
        <v>0</v>
      </c>
      <c r="I28" s="82">
        <f t="shared" si="5"/>
        <v>130136</v>
      </c>
      <c r="J28" s="74">
        <v>60000</v>
      </c>
      <c r="K28" s="82">
        <v>116000</v>
      </c>
      <c r="L28" s="82">
        <v>115257.55</v>
      </c>
      <c r="M28" s="58">
        <f t="shared" si="2"/>
        <v>99.359956896551722</v>
      </c>
      <c r="N28" s="82">
        <v>130136</v>
      </c>
      <c r="O28" s="183">
        <v>0</v>
      </c>
      <c r="P28" s="82">
        <v>235450</v>
      </c>
      <c r="Q28" s="82">
        <v>235451.45</v>
      </c>
      <c r="R28" s="58">
        <f t="shared" si="3"/>
        <v>100.00061584200468</v>
      </c>
      <c r="S28" s="187">
        <v>0</v>
      </c>
      <c r="T28" s="83"/>
      <c r="U28" s="83"/>
      <c r="V28" s="83"/>
      <c r="W28" s="58">
        <v>0</v>
      </c>
      <c r="X28" s="83"/>
    </row>
    <row r="29" spans="1:24" s="38" customFormat="1" x14ac:dyDescent="0.15">
      <c r="A29" s="162" t="s">
        <v>52</v>
      </c>
      <c r="B29" s="1233" t="s">
        <v>67</v>
      </c>
      <c r="C29" s="1233"/>
      <c r="D29" s="161" t="s">
        <v>25</v>
      </c>
      <c r="E29" s="82">
        <f t="shared" ref="E29:G31" si="6">SUM(J29,O29)</f>
        <v>1000</v>
      </c>
      <c r="F29" s="82">
        <f t="shared" si="6"/>
        <v>1100</v>
      </c>
      <c r="G29" s="82">
        <f t="shared" si="6"/>
        <v>1094</v>
      </c>
      <c r="H29" s="58">
        <f t="shared" si="0"/>
        <v>99.454545454545453</v>
      </c>
      <c r="I29" s="82">
        <f>SUM(N29,S29)</f>
        <v>665</v>
      </c>
      <c r="J29" s="74">
        <v>1000</v>
      </c>
      <c r="K29" s="82">
        <v>1100</v>
      </c>
      <c r="L29" s="82">
        <v>1094</v>
      </c>
      <c r="M29" s="58">
        <f t="shared" si="2"/>
        <v>99.454545454545453</v>
      </c>
      <c r="N29" s="82">
        <v>665</v>
      </c>
      <c r="O29" s="183">
        <v>0</v>
      </c>
      <c r="P29" s="82">
        <v>0</v>
      </c>
      <c r="Q29" s="82">
        <v>0</v>
      </c>
      <c r="R29" s="58">
        <v>0</v>
      </c>
      <c r="S29" s="187">
        <v>0</v>
      </c>
      <c r="T29" s="83"/>
      <c r="U29" s="83"/>
      <c r="V29" s="83"/>
      <c r="W29" s="58">
        <v>0</v>
      </c>
      <c r="X29" s="83"/>
    </row>
    <row r="30" spans="1:24" s="34" customFormat="1" x14ac:dyDescent="0.15">
      <c r="A30" s="162" t="s">
        <v>54</v>
      </c>
      <c r="B30" s="76" t="s">
        <v>53</v>
      </c>
      <c r="C30" s="76"/>
      <c r="D30" s="161" t="s">
        <v>25</v>
      </c>
      <c r="E30" s="57">
        <f t="shared" si="6"/>
        <v>0</v>
      </c>
      <c r="F30" s="57">
        <f t="shared" si="6"/>
        <v>0</v>
      </c>
      <c r="G30" s="57">
        <f t="shared" si="6"/>
        <v>0</v>
      </c>
      <c r="H30" s="58">
        <v>0</v>
      </c>
      <c r="I30" s="57">
        <f>SUM(N30,S30)</f>
        <v>0</v>
      </c>
      <c r="J30" s="74">
        <v>0</v>
      </c>
      <c r="K30" s="82">
        <v>0</v>
      </c>
      <c r="L30" s="82">
        <v>0</v>
      </c>
      <c r="M30" s="58">
        <v>0</v>
      </c>
      <c r="N30" s="187"/>
      <c r="O30" s="183">
        <v>0</v>
      </c>
      <c r="P30" s="82">
        <v>0</v>
      </c>
      <c r="Q30" s="82">
        <v>0</v>
      </c>
      <c r="R30" s="58">
        <v>0</v>
      </c>
      <c r="S30" s="187">
        <v>0</v>
      </c>
      <c r="T30" s="83"/>
      <c r="U30" s="83"/>
      <c r="V30" s="83"/>
      <c r="W30" s="58">
        <v>0</v>
      </c>
      <c r="X30" s="83"/>
    </row>
    <row r="31" spans="1:24" s="5" customFormat="1" ht="8.4" x14ac:dyDescent="0.2">
      <c r="A31" s="162" t="s">
        <v>55</v>
      </c>
      <c r="B31" s="66" t="s">
        <v>71</v>
      </c>
      <c r="C31" s="66"/>
      <c r="D31" s="161" t="s">
        <v>25</v>
      </c>
      <c r="E31" s="57">
        <f t="shared" si="6"/>
        <v>0</v>
      </c>
      <c r="F31" s="57">
        <f t="shared" si="6"/>
        <v>0</v>
      </c>
      <c r="G31" s="57">
        <f t="shared" si="6"/>
        <v>0</v>
      </c>
      <c r="H31" s="58">
        <v>0</v>
      </c>
      <c r="I31" s="57">
        <f>SUM(N31,S31)</f>
        <v>0</v>
      </c>
      <c r="J31" s="74">
        <v>0</v>
      </c>
      <c r="K31" s="84">
        <v>0</v>
      </c>
      <c r="L31" s="84">
        <v>0</v>
      </c>
      <c r="M31" s="58">
        <v>0</v>
      </c>
      <c r="N31" s="188"/>
      <c r="O31" s="189">
        <v>0</v>
      </c>
      <c r="P31" s="84">
        <v>0</v>
      </c>
      <c r="Q31" s="84">
        <v>0</v>
      </c>
      <c r="R31" s="58">
        <v>0</v>
      </c>
      <c r="S31" s="188">
        <v>0</v>
      </c>
      <c r="T31" s="31"/>
      <c r="U31" s="31"/>
      <c r="V31" s="31"/>
      <c r="W31" s="58">
        <v>0</v>
      </c>
      <c r="X31" s="31"/>
    </row>
    <row r="32" spans="1:24" s="5" customFormat="1" x14ac:dyDescent="0.15">
      <c r="A32" s="179" t="s">
        <v>56</v>
      </c>
      <c r="B32" s="80" t="s">
        <v>72</v>
      </c>
      <c r="C32" s="80"/>
      <c r="D32" s="161" t="s">
        <v>25</v>
      </c>
      <c r="E32" s="57">
        <f>SUM(J32,O32)</f>
        <v>0</v>
      </c>
      <c r="F32" s="57">
        <f>SUM(K32,P32)</f>
        <v>0</v>
      </c>
      <c r="G32" s="57">
        <f>SUM(L32,Q32)</f>
        <v>0</v>
      </c>
      <c r="H32" s="58">
        <v>0</v>
      </c>
      <c r="I32" s="57">
        <f>SUM(N32,S32)</f>
        <v>0</v>
      </c>
      <c r="J32" s="86">
        <v>0</v>
      </c>
      <c r="K32" s="31">
        <v>0</v>
      </c>
      <c r="L32" s="31">
        <v>0</v>
      </c>
      <c r="M32" s="58">
        <v>0</v>
      </c>
      <c r="N32" s="190"/>
      <c r="O32" s="191">
        <v>0</v>
      </c>
      <c r="P32" s="31">
        <v>0</v>
      </c>
      <c r="Q32" s="31">
        <v>0</v>
      </c>
      <c r="R32" s="58">
        <v>0</v>
      </c>
      <c r="S32" s="190">
        <v>0</v>
      </c>
      <c r="T32" s="31"/>
      <c r="U32" s="31"/>
      <c r="V32" s="31"/>
      <c r="W32" s="58">
        <v>0</v>
      </c>
      <c r="X32" s="31"/>
    </row>
    <row r="33" spans="1:24" s="5" customFormat="1" x14ac:dyDescent="0.15">
      <c r="A33" s="160" t="s">
        <v>57</v>
      </c>
      <c r="B33" s="88" t="s">
        <v>58</v>
      </c>
      <c r="C33" s="88"/>
      <c r="D33" s="161" t="s">
        <v>25</v>
      </c>
      <c r="E33" s="52">
        <f>E6-E11</f>
        <v>0</v>
      </c>
      <c r="F33" s="52">
        <f t="shared" ref="F33:G33" si="7">F6-F11</f>
        <v>0</v>
      </c>
      <c r="G33" s="52">
        <f t="shared" si="7"/>
        <v>55893.839999999851</v>
      </c>
      <c r="H33" s="4">
        <v>0</v>
      </c>
      <c r="I33" s="52">
        <f t="shared" ref="I33:L33" si="8">I6-I11</f>
        <v>18291.089999999851</v>
      </c>
      <c r="J33" s="52">
        <f t="shared" si="8"/>
        <v>0</v>
      </c>
      <c r="K33" s="52">
        <f t="shared" si="8"/>
        <v>0</v>
      </c>
      <c r="L33" s="52">
        <f t="shared" si="8"/>
        <v>55893.839999999851</v>
      </c>
      <c r="M33" s="4">
        <v>0</v>
      </c>
      <c r="N33" s="52">
        <f t="shared" ref="N33:Q33" si="9">N6-N11</f>
        <v>18291.089999999851</v>
      </c>
      <c r="O33" s="52">
        <f t="shared" si="9"/>
        <v>0</v>
      </c>
      <c r="P33" s="52">
        <f t="shared" si="9"/>
        <v>0</v>
      </c>
      <c r="Q33" s="52">
        <f t="shared" si="9"/>
        <v>0</v>
      </c>
      <c r="R33" s="4">
        <v>0</v>
      </c>
      <c r="S33" s="52">
        <f t="shared" ref="S33:V33" si="10">S6-S11</f>
        <v>0</v>
      </c>
      <c r="T33" s="52">
        <f t="shared" si="10"/>
        <v>0</v>
      </c>
      <c r="U33" s="52">
        <f t="shared" si="10"/>
        <v>0</v>
      </c>
      <c r="V33" s="52">
        <f t="shared" si="10"/>
        <v>0</v>
      </c>
      <c r="W33" s="4">
        <v>0</v>
      </c>
      <c r="X33" s="52">
        <f>X6-X11</f>
        <v>0</v>
      </c>
    </row>
    <row r="34" spans="1:24" s="6" customFormat="1" x14ac:dyDescent="0.15">
      <c r="A34" s="171" t="s">
        <v>59</v>
      </c>
      <c r="B34" s="1239" t="s">
        <v>24</v>
      </c>
      <c r="C34" s="1239"/>
      <c r="D34" s="192" t="s">
        <v>25</v>
      </c>
      <c r="E34" s="193">
        <v>26331</v>
      </c>
      <c r="F34" s="193">
        <v>27172</v>
      </c>
      <c r="G34" s="193">
        <v>28768</v>
      </c>
      <c r="H34" s="58">
        <f t="shared" si="0"/>
        <v>105.87369350802295</v>
      </c>
      <c r="I34" s="93">
        <v>24485</v>
      </c>
      <c r="J34" s="194">
        <v>0</v>
      </c>
      <c r="K34" s="194">
        <v>0</v>
      </c>
      <c r="L34" s="194"/>
      <c r="M34" s="58">
        <v>0</v>
      </c>
      <c r="N34" s="195">
        <v>0</v>
      </c>
      <c r="O34" s="193">
        <v>26331</v>
      </c>
      <c r="P34" s="193">
        <v>27172</v>
      </c>
      <c r="Q34" s="193">
        <v>28768</v>
      </c>
      <c r="R34" s="58">
        <f t="shared" si="3"/>
        <v>105.87369350802295</v>
      </c>
      <c r="S34" s="93">
        <v>24485</v>
      </c>
      <c r="T34" s="96"/>
      <c r="U34" s="96"/>
      <c r="V34" s="96"/>
      <c r="W34" s="58">
        <v>0</v>
      </c>
      <c r="X34" s="96"/>
    </row>
    <row r="35" spans="1:24" s="6" customFormat="1" x14ac:dyDescent="0.15">
      <c r="A35" s="174" t="s">
        <v>60</v>
      </c>
      <c r="B35" s="1240" t="s">
        <v>33</v>
      </c>
      <c r="C35" s="1240"/>
      <c r="D35" s="196" t="s">
        <v>26</v>
      </c>
      <c r="E35" s="197">
        <v>17.61</v>
      </c>
      <c r="F35" s="197">
        <v>17.36</v>
      </c>
      <c r="G35" s="197">
        <v>17.340900000000001</v>
      </c>
      <c r="H35" s="58">
        <f t="shared" si="0"/>
        <v>99.889976958525367</v>
      </c>
      <c r="I35" s="198">
        <v>16.556999999999999</v>
      </c>
      <c r="J35" s="194">
        <v>0</v>
      </c>
      <c r="K35" s="194">
        <v>0</v>
      </c>
      <c r="L35" s="194"/>
      <c r="M35" s="58">
        <v>0</v>
      </c>
      <c r="N35" s="195">
        <v>0</v>
      </c>
      <c r="O35" s="197">
        <v>17.61</v>
      </c>
      <c r="P35" s="197">
        <v>17.36</v>
      </c>
      <c r="Q35" s="197">
        <v>17.340900000000001</v>
      </c>
      <c r="R35" s="58">
        <f t="shared" si="3"/>
        <v>99.889976958525367</v>
      </c>
      <c r="S35" s="198">
        <v>16.556999999999999</v>
      </c>
      <c r="T35" s="96"/>
      <c r="U35" s="96"/>
      <c r="V35" s="96"/>
      <c r="W35" s="58">
        <v>0</v>
      </c>
      <c r="X35" s="96"/>
    </row>
    <row r="36" spans="1:24" s="6" customFormat="1" x14ac:dyDescent="0.15">
      <c r="A36" s="171" t="s">
        <v>61</v>
      </c>
      <c r="B36" s="1239" t="s">
        <v>27</v>
      </c>
      <c r="C36" s="1239"/>
      <c r="D36" s="192" t="s">
        <v>26</v>
      </c>
      <c r="E36" s="193">
        <v>25</v>
      </c>
      <c r="F36" s="193">
        <v>24</v>
      </c>
      <c r="G36" s="193">
        <v>26</v>
      </c>
      <c r="H36" s="58">
        <f>G36/F36*100</f>
        <v>108.33333333333333</v>
      </c>
      <c r="I36" s="93">
        <v>25</v>
      </c>
      <c r="J36" s="194">
        <v>0</v>
      </c>
      <c r="K36" s="194">
        <v>0</v>
      </c>
      <c r="L36" s="194"/>
      <c r="M36" s="58">
        <v>0</v>
      </c>
      <c r="N36" s="195">
        <v>0</v>
      </c>
      <c r="O36" s="193">
        <v>25</v>
      </c>
      <c r="P36" s="193">
        <v>24</v>
      </c>
      <c r="Q36" s="193">
        <v>26</v>
      </c>
      <c r="R36" s="58">
        <f t="shared" si="3"/>
        <v>108.33333333333333</v>
      </c>
      <c r="S36" s="93">
        <v>25</v>
      </c>
      <c r="T36" s="96"/>
      <c r="U36" s="96"/>
      <c r="V36" s="96"/>
      <c r="W36" s="58">
        <v>0</v>
      </c>
      <c r="X36" s="96"/>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31" fitToHeight="7" orientation="landscape" useFirstPageNumber="1"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7"/>
  <sheetViews>
    <sheetView zoomScaleNormal="100" workbookViewId="0">
      <selection activeCell="C15" sqref="C15"/>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23" s="43" customFormat="1" ht="17.399999999999999" x14ac:dyDescent="0.3">
      <c r="A1" s="43" t="s">
        <v>75</v>
      </c>
      <c r="B1" s="1350" t="s">
        <v>172</v>
      </c>
      <c r="C1" s="1350"/>
      <c r="D1" s="1350"/>
      <c r="E1" s="1350"/>
      <c r="F1" s="1350"/>
      <c r="G1" s="1350"/>
      <c r="H1" s="1350"/>
      <c r="I1" s="1350"/>
      <c r="J1" s="199"/>
      <c r="K1" s="199"/>
      <c r="L1" s="199"/>
      <c r="M1" s="199"/>
      <c r="N1" s="199"/>
      <c r="O1" s="199"/>
      <c r="P1" s="199"/>
      <c r="Q1" s="199"/>
      <c r="R1" s="199"/>
      <c r="S1" s="199"/>
      <c r="T1" s="199"/>
      <c r="U1" s="199"/>
      <c r="V1" s="199"/>
      <c r="W1" s="199"/>
    </row>
    <row r="2" spans="1:23" x14ac:dyDescent="0.25">
      <c r="J2" s="200"/>
      <c r="K2" s="200"/>
      <c r="L2" s="200"/>
      <c r="M2" s="200"/>
      <c r="N2" s="200"/>
      <c r="O2" s="200"/>
      <c r="P2" s="200"/>
      <c r="Q2" s="200"/>
      <c r="R2" s="200"/>
      <c r="S2" s="200"/>
      <c r="T2" s="200"/>
      <c r="U2" s="200"/>
      <c r="V2" s="200"/>
      <c r="W2" s="200"/>
    </row>
    <row r="3" spans="1:23" s="7" customFormat="1" ht="10.199999999999999" x14ac:dyDescent="0.2">
      <c r="A3" s="1248" t="s">
        <v>102</v>
      </c>
      <c r="B3" s="1248"/>
      <c r="C3" s="1248"/>
      <c r="D3" s="1248"/>
      <c r="E3" s="1248"/>
      <c r="F3" s="1248"/>
      <c r="G3" s="1248"/>
      <c r="H3" s="1248"/>
      <c r="I3" s="1248"/>
      <c r="J3" s="201"/>
      <c r="K3" s="201"/>
      <c r="L3" s="201"/>
      <c r="M3" s="201"/>
      <c r="N3" s="201"/>
      <c r="O3" s="201"/>
      <c r="P3" s="201"/>
      <c r="Q3" s="201"/>
      <c r="R3" s="201"/>
      <c r="S3" s="201"/>
      <c r="T3" s="201"/>
      <c r="U3" s="201"/>
      <c r="V3" s="201"/>
      <c r="W3" s="201"/>
    </row>
    <row r="4" spans="1:23" s="8" customFormat="1" ht="10.199999999999999" x14ac:dyDescent="0.2">
      <c r="J4" s="117"/>
      <c r="K4" s="117"/>
      <c r="L4" s="117"/>
      <c r="M4" s="117"/>
      <c r="N4" s="117"/>
      <c r="O4" s="117"/>
      <c r="P4" s="117"/>
      <c r="Q4" s="117"/>
      <c r="R4" s="117"/>
      <c r="S4" s="117"/>
      <c r="T4" s="117"/>
      <c r="U4" s="117"/>
      <c r="V4" s="117"/>
      <c r="W4" s="117"/>
    </row>
    <row r="5" spans="1:23" s="9" customFormat="1" ht="7.8" x14ac:dyDescent="0.15">
      <c r="A5" s="1331" t="s">
        <v>76</v>
      </c>
      <c r="B5" s="1332"/>
      <c r="C5" s="45" t="s">
        <v>25</v>
      </c>
      <c r="D5" s="1256" t="s">
        <v>103</v>
      </c>
      <c r="E5" s="1256"/>
      <c r="F5" s="1256"/>
      <c r="G5" s="1256"/>
      <c r="H5" s="1256"/>
      <c r="I5" s="1351"/>
      <c r="J5" s="202"/>
      <c r="K5" s="202"/>
      <c r="L5" s="202"/>
      <c r="M5" s="202"/>
      <c r="N5" s="202"/>
      <c r="O5" s="202"/>
      <c r="P5" s="202"/>
      <c r="Q5" s="202"/>
      <c r="R5" s="202"/>
      <c r="S5" s="202"/>
      <c r="T5" s="202"/>
      <c r="U5" s="202"/>
      <c r="V5" s="202"/>
      <c r="W5" s="202"/>
    </row>
    <row r="6" spans="1:23" s="8" customFormat="1" ht="15" customHeight="1" x14ac:dyDescent="0.2">
      <c r="A6" s="1267" t="s">
        <v>104</v>
      </c>
      <c r="B6" s="1267"/>
      <c r="C6" s="113">
        <f>SUM(C7:C9)</f>
        <v>55893.84</v>
      </c>
      <c r="D6" s="1262"/>
      <c r="E6" s="1263"/>
      <c r="F6" s="1263"/>
      <c r="G6" s="1263"/>
      <c r="H6" s="1263"/>
      <c r="I6" s="1263"/>
      <c r="J6" s="117"/>
      <c r="K6" s="117"/>
      <c r="L6" s="117"/>
      <c r="M6" s="117"/>
      <c r="N6" s="117"/>
      <c r="O6" s="117"/>
      <c r="P6" s="117"/>
      <c r="Q6" s="117"/>
      <c r="R6" s="117"/>
      <c r="S6" s="117"/>
      <c r="T6" s="117"/>
      <c r="U6" s="117"/>
      <c r="V6" s="117"/>
      <c r="W6" s="117"/>
    </row>
    <row r="7" spans="1:23" s="8" customFormat="1" ht="33.75" customHeight="1" x14ac:dyDescent="0.2">
      <c r="A7" s="1257" t="s">
        <v>77</v>
      </c>
      <c r="B7" s="1258"/>
      <c r="C7" s="203">
        <v>55893.84</v>
      </c>
      <c r="D7" s="1359" t="s">
        <v>173</v>
      </c>
      <c r="E7" s="1360"/>
      <c r="F7" s="1360"/>
      <c r="G7" s="1360"/>
      <c r="H7" s="1360"/>
      <c r="I7" s="1361"/>
      <c r="J7" s="117"/>
      <c r="K7" s="117"/>
      <c r="L7" s="117"/>
      <c r="M7" s="117"/>
      <c r="N7" s="117"/>
      <c r="O7" s="117"/>
      <c r="P7" s="117"/>
      <c r="Q7" s="117"/>
      <c r="R7" s="117"/>
      <c r="S7" s="117"/>
      <c r="T7" s="117"/>
      <c r="U7" s="117"/>
      <c r="V7" s="117"/>
      <c r="W7" s="117"/>
    </row>
    <row r="8" spans="1:23" s="7" customFormat="1" ht="27" customHeight="1" x14ac:dyDescent="0.2">
      <c r="A8" s="1259" t="s">
        <v>78</v>
      </c>
      <c r="B8" s="1260"/>
      <c r="C8" s="115">
        <v>0</v>
      </c>
      <c r="D8" s="1261" t="s">
        <v>174</v>
      </c>
      <c r="E8" s="1261"/>
      <c r="F8" s="1261"/>
      <c r="G8" s="1261"/>
      <c r="H8" s="1261"/>
      <c r="I8" s="1261"/>
      <c r="J8" s="201"/>
      <c r="K8" s="201"/>
      <c r="L8" s="201"/>
      <c r="M8" s="201"/>
      <c r="N8" s="201"/>
      <c r="O8" s="201"/>
      <c r="P8" s="201"/>
      <c r="Q8" s="201"/>
      <c r="R8" s="201"/>
      <c r="S8" s="201"/>
      <c r="T8" s="201"/>
      <c r="U8" s="201"/>
      <c r="V8" s="201"/>
      <c r="W8" s="201"/>
    </row>
    <row r="9" spans="1:23" s="7" customFormat="1" ht="15" customHeight="1" x14ac:dyDescent="0.2">
      <c r="A9" s="1259" t="s">
        <v>79</v>
      </c>
      <c r="B9" s="1260"/>
      <c r="C9" s="115">
        <v>0</v>
      </c>
      <c r="D9" s="1264"/>
      <c r="E9" s="1265"/>
      <c r="F9" s="1265"/>
      <c r="G9" s="1265"/>
      <c r="H9" s="1265"/>
      <c r="I9" s="1266"/>
      <c r="J9" s="201"/>
      <c r="K9" s="201"/>
      <c r="L9" s="201"/>
      <c r="M9" s="201"/>
      <c r="N9" s="201"/>
      <c r="O9" s="201"/>
      <c r="P9" s="201"/>
      <c r="Q9" s="201"/>
      <c r="R9" s="201"/>
      <c r="S9" s="201"/>
      <c r="T9" s="201"/>
      <c r="U9" s="201"/>
      <c r="V9" s="201"/>
      <c r="W9" s="201"/>
    </row>
    <row r="10" spans="1:23" s="8" customFormat="1" ht="10.199999999999999" x14ac:dyDescent="0.2">
      <c r="C10" s="116"/>
      <c r="J10" s="117"/>
      <c r="K10" s="117"/>
      <c r="L10" s="117"/>
      <c r="M10" s="117"/>
      <c r="N10" s="117"/>
      <c r="O10" s="117"/>
      <c r="P10" s="117"/>
      <c r="Q10" s="117"/>
      <c r="R10" s="117"/>
      <c r="S10" s="117"/>
      <c r="T10" s="117"/>
      <c r="U10" s="117"/>
      <c r="V10" s="117"/>
      <c r="W10" s="117"/>
    </row>
    <row r="11" spans="1:23" s="8" customFormat="1" ht="10.199999999999999" x14ac:dyDescent="0.2">
      <c r="A11" s="1248" t="s">
        <v>107</v>
      </c>
      <c r="B11" s="1248"/>
      <c r="C11" s="1248"/>
      <c r="D11" s="1248"/>
      <c r="E11" s="1248"/>
      <c r="F11" s="1248"/>
      <c r="G11" s="1248"/>
      <c r="H11" s="1248"/>
      <c r="I11" s="1248"/>
      <c r="J11" s="117"/>
      <c r="K11" s="117"/>
      <c r="L11" s="117"/>
      <c r="M11" s="117"/>
      <c r="N11" s="117"/>
      <c r="O11" s="117"/>
      <c r="P11" s="117"/>
      <c r="Q11" s="117"/>
      <c r="R11" s="117"/>
      <c r="S11" s="117"/>
      <c r="T11" s="117"/>
      <c r="U11" s="117"/>
      <c r="V11" s="117"/>
      <c r="W11" s="117"/>
    </row>
    <row r="12" spans="1:23" s="8" customFormat="1" ht="10.199999999999999" x14ac:dyDescent="0.2">
      <c r="C12" s="116"/>
      <c r="D12" s="117"/>
      <c r="E12" s="117"/>
      <c r="F12" s="117"/>
      <c r="G12" s="117"/>
      <c r="H12" s="117"/>
      <c r="I12" s="117"/>
      <c r="J12" s="117"/>
      <c r="K12" s="117"/>
      <c r="L12" s="117"/>
      <c r="M12" s="117"/>
      <c r="N12" s="117"/>
      <c r="O12" s="117"/>
      <c r="P12" s="117"/>
      <c r="Q12" s="117"/>
      <c r="R12" s="117"/>
      <c r="S12" s="117"/>
      <c r="T12" s="117"/>
      <c r="U12" s="117"/>
      <c r="V12" s="117"/>
      <c r="W12" s="117"/>
    </row>
    <row r="13" spans="1:23" s="11" customFormat="1" ht="7.8" x14ac:dyDescent="0.15">
      <c r="A13" s="45" t="s">
        <v>76</v>
      </c>
      <c r="B13" s="45" t="s">
        <v>80</v>
      </c>
      <c r="C13" s="45" t="s">
        <v>25</v>
      </c>
      <c r="D13" s="118"/>
      <c r="E13" s="119"/>
      <c r="F13" s="119"/>
      <c r="G13" s="119"/>
      <c r="H13" s="119"/>
      <c r="I13" s="119"/>
      <c r="J13" s="204"/>
      <c r="K13" s="204"/>
      <c r="L13" s="204"/>
      <c r="M13" s="204"/>
      <c r="N13" s="204"/>
      <c r="O13" s="204"/>
      <c r="P13" s="204"/>
      <c r="Q13" s="204"/>
      <c r="R13" s="204"/>
      <c r="S13" s="204"/>
      <c r="T13" s="204"/>
      <c r="U13" s="204"/>
      <c r="V13" s="204"/>
      <c r="W13" s="204"/>
    </row>
    <row r="14" spans="1:23" s="8" customFormat="1" ht="15" customHeight="1" x14ac:dyDescent="0.2">
      <c r="A14" s="12" t="s">
        <v>81</v>
      </c>
      <c r="B14" s="13"/>
      <c r="C14" s="120">
        <v>0</v>
      </c>
      <c r="D14" s="121"/>
      <c r="E14" s="122"/>
      <c r="F14" s="122"/>
      <c r="G14" s="122"/>
      <c r="H14" s="122"/>
      <c r="I14" s="122"/>
      <c r="J14" s="117"/>
      <c r="K14" s="117"/>
      <c r="L14" s="117"/>
      <c r="M14" s="117"/>
      <c r="N14" s="117"/>
      <c r="O14" s="117"/>
      <c r="P14" s="117"/>
      <c r="Q14" s="117"/>
      <c r="R14" s="117"/>
      <c r="S14" s="117"/>
      <c r="T14" s="117"/>
      <c r="U14" s="117"/>
      <c r="V14" s="117"/>
      <c r="W14" s="117"/>
    </row>
    <row r="15" spans="1:23" s="8" customFormat="1" ht="15" customHeight="1" x14ac:dyDescent="0.2">
      <c r="A15" s="1249" t="s">
        <v>82</v>
      </c>
      <c r="B15" s="123" t="s">
        <v>98</v>
      </c>
      <c r="C15" s="124">
        <v>0</v>
      </c>
      <c r="D15" s="121"/>
      <c r="E15" s="122"/>
      <c r="F15" s="122"/>
      <c r="G15" s="122"/>
      <c r="H15" s="122"/>
      <c r="I15" s="122"/>
      <c r="J15" s="117"/>
      <c r="K15" s="117"/>
      <c r="L15" s="117"/>
      <c r="M15" s="117"/>
      <c r="N15" s="117"/>
      <c r="O15" s="117"/>
      <c r="P15" s="117"/>
      <c r="Q15" s="117"/>
      <c r="R15" s="117"/>
      <c r="S15" s="117"/>
      <c r="T15" s="117"/>
      <c r="U15" s="117"/>
      <c r="V15" s="117"/>
      <c r="W15" s="117"/>
    </row>
    <row r="16" spans="1:23" s="8" customFormat="1" ht="15" customHeight="1" x14ac:dyDescent="0.2">
      <c r="A16" s="1250"/>
      <c r="B16" s="14" t="s">
        <v>83</v>
      </c>
      <c r="C16" s="125">
        <v>45893.84</v>
      </c>
      <c r="D16" s="126"/>
      <c r="E16" s="127"/>
      <c r="F16" s="127"/>
      <c r="G16" s="127"/>
      <c r="H16" s="127"/>
      <c r="I16" s="127"/>
      <c r="J16" s="117"/>
      <c r="K16" s="117"/>
      <c r="L16" s="117"/>
      <c r="M16" s="117"/>
      <c r="N16" s="117"/>
      <c r="O16" s="117"/>
      <c r="P16" s="117"/>
      <c r="Q16" s="117"/>
      <c r="R16" s="117"/>
      <c r="S16" s="117"/>
      <c r="T16" s="117"/>
      <c r="U16" s="117"/>
      <c r="V16" s="117"/>
      <c r="W16" s="117"/>
    </row>
    <row r="17" spans="1:23" s="8" customFormat="1" ht="15" customHeight="1" x14ac:dyDescent="0.2">
      <c r="A17" s="1251"/>
      <c r="B17" s="15" t="s">
        <v>84</v>
      </c>
      <c r="C17" s="128">
        <v>10000</v>
      </c>
      <c r="D17" s="129"/>
      <c r="E17" s="130"/>
      <c r="F17" s="130"/>
      <c r="G17" s="130"/>
      <c r="H17" s="130"/>
      <c r="I17" s="130"/>
      <c r="J17" s="117"/>
      <c r="K17" s="117"/>
      <c r="L17" s="117"/>
      <c r="M17" s="117"/>
      <c r="N17" s="117"/>
      <c r="O17" s="117"/>
      <c r="P17" s="117"/>
      <c r="Q17" s="117"/>
      <c r="R17" s="117"/>
      <c r="S17" s="117"/>
      <c r="T17" s="117"/>
      <c r="U17" s="117"/>
      <c r="V17" s="117"/>
      <c r="W17" s="117"/>
    </row>
    <row r="18" spans="1:23" s="8" customFormat="1" ht="15" customHeight="1" x14ac:dyDescent="0.2">
      <c r="A18" s="46" t="s">
        <v>104</v>
      </c>
      <c r="B18" s="16"/>
      <c r="C18" s="131">
        <f>SUM(C14:C17)</f>
        <v>55893.84</v>
      </c>
      <c r="D18" s="132"/>
      <c r="E18" s="132"/>
      <c r="F18" s="132"/>
      <c r="G18" s="132"/>
      <c r="H18" s="132"/>
      <c r="I18" s="132"/>
      <c r="J18" s="117"/>
      <c r="K18" s="117"/>
      <c r="L18" s="117"/>
      <c r="M18" s="117"/>
      <c r="N18" s="117"/>
      <c r="O18" s="117"/>
      <c r="P18" s="117"/>
      <c r="Q18" s="117"/>
      <c r="R18" s="117"/>
      <c r="S18" s="117"/>
      <c r="T18" s="117"/>
      <c r="U18" s="117"/>
      <c r="V18" s="117"/>
      <c r="W18" s="117"/>
    </row>
    <row r="19" spans="1:23" s="134" customFormat="1" ht="12" customHeight="1" x14ac:dyDescent="0.2">
      <c r="A19" s="133"/>
      <c r="C19" s="135"/>
      <c r="D19" s="136"/>
      <c r="E19" s="136"/>
      <c r="F19" s="136"/>
      <c r="G19" s="136"/>
      <c r="H19" s="136"/>
      <c r="I19" s="136"/>
      <c r="J19" s="136"/>
      <c r="K19" s="136"/>
      <c r="L19" s="136"/>
      <c r="M19" s="136"/>
      <c r="N19" s="136"/>
      <c r="O19" s="136"/>
      <c r="P19" s="136"/>
      <c r="Q19" s="136"/>
      <c r="R19" s="136"/>
      <c r="S19" s="136"/>
      <c r="T19" s="136"/>
      <c r="U19" s="136"/>
      <c r="V19" s="136"/>
      <c r="W19" s="136"/>
    </row>
    <row r="20" spans="1:23" s="8" customFormat="1" ht="10.199999999999999" x14ac:dyDescent="0.2">
      <c r="A20" s="1248" t="s">
        <v>108</v>
      </c>
      <c r="B20" s="1248"/>
      <c r="C20" s="1248"/>
      <c r="D20" s="1248"/>
      <c r="E20" s="1248"/>
      <c r="F20" s="1248"/>
      <c r="G20" s="1248"/>
      <c r="H20" s="1248"/>
      <c r="I20" s="1248"/>
      <c r="J20" s="117"/>
      <c r="K20" s="117"/>
      <c r="L20" s="117"/>
      <c r="M20" s="117"/>
      <c r="N20" s="117"/>
      <c r="O20" s="117"/>
      <c r="P20" s="117"/>
      <c r="Q20" s="117"/>
      <c r="R20" s="117"/>
      <c r="S20" s="117"/>
      <c r="T20" s="117"/>
      <c r="U20" s="117"/>
      <c r="V20" s="117"/>
      <c r="W20" s="117"/>
    </row>
    <row r="21" spans="1:23" s="8" customFormat="1" ht="12" customHeight="1" x14ac:dyDescent="0.2">
      <c r="C21" s="116"/>
      <c r="J21" s="117"/>
      <c r="K21" s="117"/>
      <c r="L21" s="117"/>
      <c r="M21" s="117"/>
      <c r="N21" s="117"/>
      <c r="O21" s="117"/>
      <c r="P21" s="117"/>
      <c r="Q21" s="117"/>
      <c r="R21" s="117"/>
      <c r="S21" s="117"/>
      <c r="T21" s="117"/>
      <c r="U21" s="117"/>
      <c r="V21" s="117"/>
      <c r="W21" s="117"/>
    </row>
    <row r="22" spans="1:23" s="138" customFormat="1" ht="7.8" x14ac:dyDescent="0.15">
      <c r="A22" s="45" t="s">
        <v>80</v>
      </c>
      <c r="B22" s="45" t="s">
        <v>109</v>
      </c>
      <c r="C22" s="137" t="s">
        <v>110</v>
      </c>
      <c r="D22" s="45" t="s">
        <v>111</v>
      </c>
      <c r="E22" s="45" t="s">
        <v>112</v>
      </c>
      <c r="F22" s="1256" t="s">
        <v>113</v>
      </c>
      <c r="G22" s="1256"/>
      <c r="H22" s="1256"/>
      <c r="I22" s="1351"/>
      <c r="J22" s="205"/>
      <c r="K22" s="205"/>
      <c r="L22" s="205"/>
      <c r="M22" s="205"/>
      <c r="N22" s="205"/>
      <c r="O22" s="205"/>
      <c r="P22" s="205"/>
      <c r="Q22" s="205"/>
      <c r="R22" s="205"/>
      <c r="S22" s="205"/>
      <c r="T22" s="205"/>
      <c r="U22" s="205"/>
      <c r="V22" s="205"/>
      <c r="W22" s="205"/>
    </row>
    <row r="23" spans="1:23" s="8" customFormat="1" ht="70.2" customHeight="1" x14ac:dyDescent="0.2">
      <c r="A23" s="17" t="s">
        <v>85</v>
      </c>
      <c r="B23" s="206">
        <v>571359.01</v>
      </c>
      <c r="C23" s="206">
        <v>287301.19</v>
      </c>
      <c r="D23" s="206">
        <v>552221.80000000005</v>
      </c>
      <c r="E23" s="207">
        <f>B23+C23-D23</f>
        <v>306438.39999999991</v>
      </c>
      <c r="F23" s="1365" t="s">
        <v>175</v>
      </c>
      <c r="G23" s="1366"/>
      <c r="H23" s="1366"/>
      <c r="I23" s="1367"/>
      <c r="J23" s="208"/>
      <c r="K23" s="208"/>
      <c r="L23" s="208"/>
      <c r="M23" s="117"/>
      <c r="N23" s="117"/>
      <c r="O23" s="117"/>
      <c r="P23" s="117"/>
      <c r="Q23" s="117"/>
      <c r="R23" s="117"/>
      <c r="S23" s="117"/>
      <c r="T23" s="117"/>
      <c r="U23" s="117"/>
      <c r="V23" s="117"/>
      <c r="W23" s="117"/>
    </row>
    <row r="24" spans="1:23" s="8" customFormat="1" ht="26.4" customHeight="1" x14ac:dyDescent="0.2">
      <c r="A24" s="14" t="s">
        <v>86</v>
      </c>
      <c r="B24" s="209">
        <v>148363</v>
      </c>
      <c r="C24" s="210">
        <v>181431.8</v>
      </c>
      <c r="D24" s="210">
        <v>326007.8</v>
      </c>
      <c r="E24" s="211">
        <f t="shared" ref="E24:E26" si="0">B24+C24-D24</f>
        <v>3787</v>
      </c>
      <c r="F24" s="1362" t="s">
        <v>176</v>
      </c>
      <c r="G24" s="1363"/>
      <c r="H24" s="1363"/>
      <c r="I24" s="1364"/>
      <c r="J24" s="212"/>
      <c r="K24" s="212"/>
      <c r="L24" s="117"/>
      <c r="M24" s="117"/>
      <c r="N24" s="117"/>
      <c r="O24" s="117"/>
      <c r="P24" s="117"/>
      <c r="Q24" s="117"/>
      <c r="R24" s="117"/>
      <c r="S24" s="117"/>
      <c r="T24" s="117"/>
      <c r="U24" s="117"/>
      <c r="V24" s="117"/>
      <c r="W24" s="117"/>
    </row>
    <row r="25" spans="1:23" s="8" customFormat="1" ht="21" customHeight="1" x14ac:dyDescent="0.2">
      <c r="A25" s="14" t="s">
        <v>84</v>
      </c>
      <c r="B25" s="213">
        <v>53683.38</v>
      </c>
      <c r="C25" s="214">
        <v>0</v>
      </c>
      <c r="D25" s="214">
        <v>15000</v>
      </c>
      <c r="E25" s="214">
        <f>B25+C25-D25</f>
        <v>38683.379999999997</v>
      </c>
      <c r="F25" s="1354" t="s">
        <v>177</v>
      </c>
      <c r="G25" s="1355"/>
      <c r="H25" s="1355"/>
      <c r="I25" s="1356"/>
      <c r="J25" s="117"/>
      <c r="K25" s="117"/>
      <c r="L25" s="117"/>
      <c r="M25" s="117"/>
      <c r="N25" s="117"/>
      <c r="O25" s="117"/>
      <c r="P25" s="117"/>
      <c r="Q25" s="117"/>
      <c r="R25" s="117"/>
      <c r="S25" s="117"/>
      <c r="T25" s="117"/>
      <c r="U25" s="117"/>
      <c r="V25" s="117"/>
      <c r="W25" s="117"/>
    </row>
    <row r="26" spans="1:23" s="8" customFormat="1" ht="21" customHeight="1" x14ac:dyDescent="0.2">
      <c r="A26" s="15" t="s">
        <v>87</v>
      </c>
      <c r="B26" s="209">
        <v>61273.52</v>
      </c>
      <c r="C26" s="209">
        <v>119909</v>
      </c>
      <c r="D26" s="209">
        <v>98691</v>
      </c>
      <c r="E26" s="214">
        <f t="shared" si="0"/>
        <v>82491.51999999999</v>
      </c>
      <c r="F26" s="1245" t="s">
        <v>178</v>
      </c>
      <c r="G26" s="1246"/>
      <c r="H26" s="1246"/>
      <c r="I26" s="1247"/>
      <c r="J26" s="117"/>
      <c r="K26" s="117"/>
      <c r="L26" s="117"/>
      <c r="M26" s="117"/>
      <c r="N26" s="117"/>
      <c r="O26" s="117"/>
      <c r="P26" s="117"/>
      <c r="Q26" s="117"/>
      <c r="R26" s="117"/>
      <c r="S26" s="117"/>
      <c r="T26" s="117"/>
      <c r="U26" s="117"/>
      <c r="V26" s="117"/>
      <c r="W26" s="117"/>
    </row>
    <row r="27" spans="1:23" s="7" customFormat="1" ht="10.199999999999999" x14ac:dyDescent="0.2">
      <c r="A27" s="10" t="s">
        <v>34</v>
      </c>
      <c r="B27" s="113">
        <f>SUM(B23:B26)</f>
        <v>834678.91</v>
      </c>
      <c r="C27" s="113">
        <f>SUM(C23:C26)</f>
        <v>588641.99</v>
      </c>
      <c r="D27" s="113">
        <f>SUM(D23:D26)</f>
        <v>991920.60000000009</v>
      </c>
      <c r="E27" s="113">
        <f>SUM(E23:E26)</f>
        <v>431400.29999999993</v>
      </c>
      <c r="F27" s="1268"/>
      <c r="G27" s="1268"/>
      <c r="H27" s="1268"/>
      <c r="I27" s="1269"/>
      <c r="J27" s="201"/>
      <c r="K27" s="201"/>
      <c r="L27" s="201"/>
      <c r="M27" s="201"/>
      <c r="N27" s="201"/>
      <c r="O27" s="201"/>
      <c r="P27" s="201"/>
      <c r="Q27" s="201"/>
      <c r="R27" s="201"/>
      <c r="S27" s="201"/>
      <c r="T27" s="201"/>
      <c r="U27" s="201"/>
      <c r="V27" s="201"/>
      <c r="W27" s="201"/>
    </row>
    <row r="28" spans="1:23" s="8" customFormat="1" ht="10.199999999999999" x14ac:dyDescent="0.2">
      <c r="C28" s="116"/>
      <c r="J28" s="117"/>
      <c r="K28" s="117"/>
      <c r="L28" s="117"/>
      <c r="M28" s="117"/>
      <c r="N28" s="117"/>
      <c r="O28" s="117"/>
      <c r="P28" s="117"/>
      <c r="Q28" s="117"/>
      <c r="R28" s="117"/>
      <c r="S28" s="117"/>
      <c r="T28" s="117"/>
      <c r="U28" s="117"/>
      <c r="V28" s="117"/>
      <c r="W28" s="117"/>
    </row>
    <row r="29" spans="1:23" s="8" customFormat="1" ht="10.199999999999999" x14ac:dyDescent="0.2">
      <c r="C29" s="116"/>
      <c r="J29" s="117"/>
      <c r="K29" s="117"/>
      <c r="L29" s="117"/>
      <c r="M29" s="117"/>
      <c r="N29" s="117"/>
      <c r="O29" s="117"/>
      <c r="P29" s="117"/>
      <c r="Q29" s="117"/>
      <c r="R29" s="117"/>
      <c r="S29" s="117"/>
      <c r="T29" s="117"/>
      <c r="U29" s="117"/>
      <c r="V29" s="117"/>
      <c r="W29" s="117"/>
    </row>
    <row r="30" spans="1:23" s="8" customFormat="1" ht="10.199999999999999" x14ac:dyDescent="0.2">
      <c r="A30" s="1248" t="s">
        <v>118</v>
      </c>
      <c r="B30" s="1248"/>
      <c r="C30" s="1248"/>
      <c r="D30" s="1248"/>
      <c r="E30" s="1248"/>
      <c r="F30" s="1248"/>
      <c r="G30" s="1248"/>
      <c r="H30" s="1248"/>
      <c r="I30" s="1248"/>
      <c r="J30" s="117"/>
      <c r="K30" s="117"/>
      <c r="L30" s="117"/>
      <c r="M30" s="117"/>
      <c r="N30" s="117"/>
      <c r="O30" s="117"/>
      <c r="P30" s="117"/>
      <c r="Q30" s="117"/>
      <c r="R30" s="117"/>
      <c r="S30" s="117"/>
      <c r="T30" s="117"/>
      <c r="U30" s="117"/>
      <c r="V30" s="117"/>
      <c r="W30" s="117"/>
    </row>
    <row r="31" spans="1:23" s="8" customFormat="1" ht="10.199999999999999" x14ac:dyDescent="0.2">
      <c r="C31" s="116"/>
      <c r="J31" s="117"/>
      <c r="K31" s="117"/>
      <c r="L31" s="117"/>
      <c r="M31" s="117"/>
      <c r="N31" s="117"/>
      <c r="O31" s="117"/>
      <c r="P31" s="117"/>
      <c r="Q31" s="117"/>
      <c r="R31" s="117"/>
      <c r="S31" s="117"/>
      <c r="T31" s="117"/>
      <c r="U31" s="117"/>
      <c r="V31" s="117"/>
      <c r="W31" s="117"/>
    </row>
    <row r="32" spans="1:23" s="8" customFormat="1" ht="10.199999999999999" x14ac:dyDescent="0.2">
      <c r="A32" s="45" t="s">
        <v>88</v>
      </c>
      <c r="B32" s="45" t="s">
        <v>25</v>
      </c>
      <c r="C32" s="137" t="s">
        <v>89</v>
      </c>
      <c r="D32" s="1256" t="s">
        <v>90</v>
      </c>
      <c r="E32" s="1256"/>
      <c r="F32" s="1256"/>
      <c r="G32" s="1256"/>
      <c r="H32" s="1256"/>
      <c r="I32" s="1351"/>
      <c r="J32" s="117"/>
      <c r="K32" s="117"/>
      <c r="L32" s="117"/>
      <c r="M32" s="117"/>
      <c r="N32" s="117"/>
      <c r="O32" s="117"/>
      <c r="P32" s="117"/>
      <c r="Q32" s="117"/>
      <c r="R32" s="117"/>
      <c r="S32" s="117"/>
      <c r="T32" s="117"/>
      <c r="U32" s="117"/>
      <c r="V32" s="117"/>
      <c r="W32" s="117"/>
    </row>
    <row r="33" spans="1:23" s="8" customFormat="1" ht="22.2" customHeight="1" x14ac:dyDescent="0.2">
      <c r="A33" s="215" t="s">
        <v>179</v>
      </c>
      <c r="B33" s="216">
        <v>0</v>
      </c>
      <c r="C33" s="20"/>
      <c r="D33" s="1270"/>
      <c r="E33" s="1271"/>
      <c r="F33" s="1271"/>
      <c r="G33" s="1271"/>
      <c r="H33" s="1271"/>
      <c r="I33" s="1272"/>
      <c r="J33" s="117"/>
      <c r="K33" s="117"/>
      <c r="L33" s="117"/>
      <c r="M33" s="117"/>
      <c r="N33" s="117"/>
      <c r="O33" s="117"/>
      <c r="P33" s="117"/>
      <c r="Q33" s="117"/>
      <c r="R33" s="117"/>
      <c r="S33" s="117"/>
      <c r="T33" s="117"/>
      <c r="U33" s="117"/>
      <c r="V33" s="117"/>
      <c r="W33" s="117"/>
    </row>
    <row r="34" spans="1:23" s="7" customFormat="1" ht="10.199999999999999" x14ac:dyDescent="0.2">
      <c r="A34" s="10" t="s">
        <v>34</v>
      </c>
      <c r="B34" s="113">
        <f>SUM(B33:B33)</f>
        <v>0</v>
      </c>
      <c r="C34" s="1276"/>
      <c r="D34" s="1277"/>
      <c r="E34" s="1277"/>
      <c r="F34" s="1277"/>
      <c r="G34" s="1277"/>
      <c r="H34" s="1277"/>
      <c r="I34" s="1278"/>
      <c r="J34" s="201"/>
      <c r="K34" s="201"/>
      <c r="L34" s="201"/>
      <c r="M34" s="201"/>
      <c r="N34" s="201"/>
      <c r="O34" s="201"/>
      <c r="P34" s="201"/>
      <c r="Q34" s="201"/>
      <c r="R34" s="201"/>
      <c r="S34" s="201"/>
      <c r="T34" s="201"/>
      <c r="U34" s="201"/>
      <c r="V34" s="201"/>
      <c r="W34" s="201"/>
    </row>
    <row r="35" spans="1:23" s="8" customFormat="1" ht="10.199999999999999" x14ac:dyDescent="0.2">
      <c r="C35" s="116"/>
      <c r="J35" s="117"/>
      <c r="K35" s="117"/>
      <c r="L35" s="117"/>
      <c r="M35" s="117"/>
      <c r="N35" s="117"/>
      <c r="O35" s="117"/>
      <c r="P35" s="117"/>
      <c r="Q35" s="117"/>
      <c r="R35" s="117"/>
      <c r="S35" s="117"/>
      <c r="T35" s="117"/>
      <c r="U35" s="117"/>
      <c r="V35" s="117"/>
      <c r="W35" s="117"/>
    </row>
    <row r="36" spans="1:23" s="8" customFormat="1" ht="10.199999999999999" x14ac:dyDescent="0.2">
      <c r="A36" s="1248" t="s">
        <v>119</v>
      </c>
      <c r="B36" s="1248"/>
      <c r="C36" s="1248"/>
      <c r="D36" s="1248"/>
      <c r="E36" s="1248"/>
      <c r="F36" s="1248"/>
      <c r="G36" s="1248"/>
      <c r="H36" s="1248"/>
      <c r="I36" s="1248"/>
      <c r="J36" s="117"/>
      <c r="K36" s="117"/>
      <c r="L36" s="117"/>
      <c r="M36" s="117"/>
      <c r="N36" s="117"/>
      <c r="O36" s="117"/>
      <c r="P36" s="117"/>
      <c r="Q36" s="117"/>
      <c r="R36" s="117"/>
      <c r="S36" s="117"/>
      <c r="T36" s="117"/>
      <c r="U36" s="117"/>
      <c r="V36" s="117"/>
      <c r="W36" s="117"/>
    </row>
    <row r="37" spans="1:23" s="8" customFormat="1" ht="10.199999999999999" x14ac:dyDescent="0.2">
      <c r="C37" s="116"/>
      <c r="J37" s="117"/>
      <c r="K37" s="117"/>
      <c r="L37" s="117"/>
      <c r="M37" s="117"/>
      <c r="N37" s="117"/>
      <c r="O37" s="117"/>
      <c r="P37" s="117"/>
      <c r="Q37" s="117"/>
      <c r="R37" s="117"/>
      <c r="S37" s="117"/>
      <c r="T37" s="117"/>
      <c r="U37" s="117"/>
      <c r="V37" s="117"/>
      <c r="W37" s="117"/>
    </row>
    <row r="38" spans="1:23" s="8" customFormat="1" ht="10.199999999999999" x14ac:dyDescent="0.2">
      <c r="A38" s="45" t="s">
        <v>88</v>
      </c>
      <c r="B38" s="45" t="s">
        <v>25</v>
      </c>
      <c r="C38" s="137" t="s">
        <v>89</v>
      </c>
      <c r="D38" s="1279" t="s">
        <v>90</v>
      </c>
      <c r="E38" s="1279"/>
      <c r="F38" s="1279"/>
      <c r="G38" s="1279"/>
      <c r="H38" s="1279"/>
      <c r="I38" s="1280"/>
      <c r="J38" s="117"/>
      <c r="K38" s="117"/>
      <c r="L38" s="117"/>
      <c r="M38" s="117"/>
      <c r="N38" s="117"/>
      <c r="O38" s="117"/>
      <c r="P38" s="117"/>
      <c r="Q38" s="117"/>
      <c r="R38" s="117"/>
      <c r="S38" s="117"/>
      <c r="T38" s="117"/>
      <c r="U38" s="117"/>
      <c r="V38" s="117"/>
      <c r="W38" s="117"/>
    </row>
    <row r="39" spans="1:23" s="8" customFormat="1" ht="21.6" customHeight="1" x14ac:dyDescent="0.2">
      <c r="A39" s="215" t="s">
        <v>180</v>
      </c>
      <c r="B39" s="139">
        <v>0</v>
      </c>
      <c r="C39" s="20"/>
      <c r="D39" s="1242"/>
      <c r="E39" s="1281"/>
      <c r="F39" s="1281"/>
      <c r="G39" s="1281"/>
      <c r="H39" s="1281"/>
      <c r="I39" s="1282"/>
      <c r="J39" s="117"/>
      <c r="K39" s="117"/>
      <c r="L39" s="117"/>
      <c r="M39" s="117"/>
      <c r="N39" s="117"/>
      <c r="O39" s="117"/>
      <c r="P39" s="117"/>
      <c r="Q39" s="117"/>
      <c r="R39" s="117"/>
      <c r="S39" s="117"/>
      <c r="T39" s="117"/>
      <c r="U39" s="117"/>
      <c r="V39" s="117"/>
      <c r="W39" s="117"/>
    </row>
    <row r="40" spans="1:23" s="7" customFormat="1" ht="10.199999999999999" x14ac:dyDescent="0.2">
      <c r="A40" s="10" t="s">
        <v>34</v>
      </c>
      <c r="B40" s="113">
        <f>SUM(B39:B39)</f>
        <v>0</v>
      </c>
      <c r="C40" s="1283"/>
      <c r="D40" s="1284"/>
      <c r="E40" s="1284"/>
      <c r="F40" s="1284"/>
      <c r="G40" s="1284"/>
      <c r="H40" s="1284"/>
      <c r="I40" s="1357"/>
      <c r="J40" s="201"/>
      <c r="K40" s="201"/>
      <c r="L40" s="201"/>
      <c r="M40" s="201"/>
      <c r="N40" s="201"/>
      <c r="O40" s="201"/>
      <c r="P40" s="201"/>
      <c r="Q40" s="201"/>
      <c r="R40" s="201"/>
      <c r="S40" s="201"/>
      <c r="T40" s="201"/>
      <c r="U40" s="201"/>
      <c r="V40" s="201"/>
      <c r="W40" s="201"/>
    </row>
    <row r="41" spans="1:23" s="8" customFormat="1" ht="10.199999999999999" x14ac:dyDescent="0.2">
      <c r="C41" s="116"/>
      <c r="J41" s="117"/>
      <c r="K41" s="117"/>
      <c r="L41" s="117"/>
      <c r="M41" s="117"/>
      <c r="N41" s="117"/>
      <c r="O41" s="117"/>
      <c r="P41" s="117"/>
      <c r="Q41" s="117"/>
      <c r="R41" s="117"/>
      <c r="S41" s="117"/>
      <c r="T41" s="117"/>
      <c r="U41" s="117"/>
      <c r="V41" s="117"/>
      <c r="W41" s="117"/>
    </row>
    <row r="42" spans="1:23" s="8" customFormat="1" ht="10.199999999999999" x14ac:dyDescent="0.2">
      <c r="A42" s="1248" t="s">
        <v>120</v>
      </c>
      <c r="B42" s="1248"/>
      <c r="C42" s="1248"/>
      <c r="D42" s="1248"/>
      <c r="E42" s="1248"/>
      <c r="F42" s="1248"/>
      <c r="G42" s="1248"/>
      <c r="H42" s="1248"/>
      <c r="I42" s="1248"/>
      <c r="J42" s="117"/>
      <c r="K42" s="117"/>
      <c r="L42" s="117"/>
      <c r="M42" s="117"/>
      <c r="N42" s="117"/>
      <c r="O42" s="117"/>
      <c r="P42" s="117"/>
      <c r="Q42" s="117"/>
      <c r="R42" s="117"/>
      <c r="S42" s="117"/>
      <c r="T42" s="117"/>
      <c r="U42" s="117"/>
      <c r="V42" s="117"/>
      <c r="W42" s="117"/>
    </row>
    <row r="43" spans="1:23" s="8" customFormat="1" ht="10.199999999999999" x14ac:dyDescent="0.2">
      <c r="C43" s="116"/>
      <c r="J43" s="117"/>
      <c r="K43" s="117"/>
      <c r="L43" s="117"/>
      <c r="M43" s="117"/>
      <c r="N43" s="117"/>
      <c r="O43" s="117"/>
      <c r="P43" s="117"/>
      <c r="Q43" s="117"/>
      <c r="R43" s="117"/>
      <c r="S43" s="117"/>
      <c r="T43" s="117"/>
      <c r="U43" s="117"/>
      <c r="V43" s="117"/>
      <c r="W43" s="117"/>
    </row>
    <row r="44" spans="1:23" s="8" customFormat="1" ht="10.199999999999999" x14ac:dyDescent="0.2">
      <c r="A44" s="45" t="s">
        <v>25</v>
      </c>
      <c r="B44" s="137" t="s">
        <v>181</v>
      </c>
      <c r="C44" s="1308" t="s">
        <v>91</v>
      </c>
      <c r="D44" s="1308"/>
      <c r="E44" s="1308"/>
      <c r="F44" s="1308"/>
      <c r="G44" s="1308"/>
      <c r="H44" s="1308"/>
      <c r="I44" s="1358"/>
      <c r="J44" s="117"/>
      <c r="K44" s="117"/>
      <c r="L44" s="117"/>
      <c r="M44" s="117"/>
      <c r="N44" s="117"/>
      <c r="O44" s="117"/>
      <c r="P44" s="117"/>
      <c r="Q44" s="117"/>
      <c r="R44" s="117"/>
      <c r="S44" s="117"/>
      <c r="T44" s="117"/>
      <c r="U44" s="117"/>
      <c r="V44" s="117"/>
      <c r="W44" s="117"/>
    </row>
    <row r="45" spans="1:23" s="8" customFormat="1" ht="10.199999999999999" x14ac:dyDescent="0.2">
      <c r="A45" s="218"/>
      <c r="B45" s="219">
        <v>0</v>
      </c>
      <c r="C45" s="1353" t="s">
        <v>182</v>
      </c>
      <c r="D45" s="1353"/>
      <c r="E45" s="1353"/>
      <c r="F45" s="1353"/>
      <c r="G45" s="1353"/>
      <c r="H45" s="1353"/>
      <c r="I45" s="1353"/>
      <c r="J45" s="117"/>
      <c r="K45" s="117"/>
      <c r="L45" s="117"/>
      <c r="M45" s="117"/>
      <c r="N45" s="117"/>
      <c r="O45" s="117"/>
      <c r="P45" s="117"/>
      <c r="Q45" s="117"/>
      <c r="R45" s="117"/>
      <c r="S45" s="117"/>
      <c r="T45" s="117"/>
      <c r="U45" s="117"/>
      <c r="V45" s="117"/>
      <c r="W45" s="117"/>
    </row>
    <row r="46" spans="1:23" s="7" customFormat="1" ht="10.199999999999999" x14ac:dyDescent="0.2">
      <c r="A46" s="113">
        <f>A45</f>
        <v>0</v>
      </c>
      <c r="B46" s="113">
        <f>B45</f>
        <v>0</v>
      </c>
      <c r="C46" s="1289" t="s">
        <v>34</v>
      </c>
      <c r="D46" s="1289"/>
      <c r="E46" s="1289"/>
      <c r="F46" s="1289"/>
      <c r="G46" s="1289"/>
      <c r="H46" s="1289"/>
      <c r="I46" s="1352"/>
      <c r="J46" s="201"/>
      <c r="K46" s="201"/>
      <c r="L46" s="201"/>
      <c r="M46" s="201"/>
      <c r="N46" s="201"/>
      <c r="O46" s="201"/>
      <c r="P46" s="201"/>
      <c r="Q46" s="201"/>
      <c r="R46" s="201"/>
      <c r="S46" s="201"/>
      <c r="T46" s="201"/>
      <c r="U46" s="201"/>
      <c r="V46" s="201"/>
      <c r="W46" s="201"/>
    </row>
    <row r="47" spans="1:23" s="8" customFormat="1" ht="10.199999999999999" x14ac:dyDescent="0.2">
      <c r="C47" s="116"/>
      <c r="J47" s="117"/>
      <c r="K47" s="117"/>
      <c r="L47" s="117"/>
      <c r="M47" s="117"/>
      <c r="N47" s="117"/>
      <c r="O47" s="117"/>
      <c r="P47" s="117"/>
      <c r="Q47" s="117"/>
      <c r="R47" s="117"/>
      <c r="S47" s="117"/>
      <c r="T47" s="117"/>
      <c r="U47" s="117"/>
      <c r="V47" s="117"/>
      <c r="W47" s="117"/>
    </row>
    <row r="48" spans="1:23" s="8" customFormat="1" ht="10.199999999999999" x14ac:dyDescent="0.2">
      <c r="A48" s="1248" t="s">
        <v>123</v>
      </c>
      <c r="B48" s="1248"/>
      <c r="C48" s="1248"/>
      <c r="D48" s="1248"/>
      <c r="E48" s="1248"/>
      <c r="F48" s="1248"/>
      <c r="G48" s="1248"/>
      <c r="H48" s="1248"/>
      <c r="I48" s="1248"/>
      <c r="J48" s="117"/>
      <c r="K48" s="117"/>
      <c r="L48" s="117"/>
      <c r="M48" s="117"/>
      <c r="N48" s="117"/>
      <c r="O48" s="117"/>
      <c r="P48" s="117"/>
      <c r="Q48" s="117"/>
      <c r="R48" s="117"/>
      <c r="S48" s="117"/>
      <c r="T48" s="117"/>
      <c r="U48" s="117"/>
      <c r="V48" s="117"/>
      <c r="W48" s="117"/>
    </row>
    <row r="49" spans="1:23" s="8" customFormat="1" ht="10.199999999999999" x14ac:dyDescent="0.2">
      <c r="C49" s="116"/>
      <c r="J49" s="117"/>
      <c r="K49" s="117"/>
      <c r="L49" s="117"/>
      <c r="M49" s="117"/>
      <c r="N49" s="117"/>
      <c r="O49" s="117"/>
      <c r="P49" s="117"/>
      <c r="Q49" s="117"/>
      <c r="R49" s="117"/>
      <c r="S49" s="117"/>
      <c r="T49" s="117"/>
      <c r="U49" s="117"/>
      <c r="V49" s="117"/>
      <c r="W49" s="117"/>
    </row>
    <row r="50" spans="1:23" s="23" customFormat="1" ht="10.199999999999999" x14ac:dyDescent="0.2">
      <c r="A50" s="1256" t="s">
        <v>92</v>
      </c>
      <c r="B50" s="1256"/>
      <c r="C50" s="137" t="s">
        <v>93</v>
      </c>
      <c r="D50" s="45" t="s">
        <v>94</v>
      </c>
      <c r="E50" s="45" t="s">
        <v>25</v>
      </c>
      <c r="J50" s="220"/>
      <c r="K50" s="220"/>
      <c r="L50" s="220"/>
      <c r="M50" s="220"/>
      <c r="N50" s="220"/>
      <c r="O50" s="220"/>
      <c r="P50" s="220"/>
      <c r="Q50" s="220"/>
      <c r="R50" s="220"/>
      <c r="S50" s="220"/>
      <c r="T50" s="220"/>
      <c r="U50" s="220"/>
      <c r="V50" s="220"/>
      <c r="W50" s="220"/>
    </row>
    <row r="51" spans="1:23" s="8" customFormat="1" ht="12" x14ac:dyDescent="0.2">
      <c r="A51" s="1346" t="s">
        <v>183</v>
      </c>
      <c r="B51" s="1347"/>
      <c r="C51" s="221" t="s">
        <v>184</v>
      </c>
      <c r="D51" s="222" t="s">
        <v>184</v>
      </c>
      <c r="E51" s="223">
        <v>297000</v>
      </c>
      <c r="J51" s="117"/>
      <c r="K51" s="117"/>
      <c r="L51" s="117"/>
      <c r="M51" s="117"/>
      <c r="N51" s="117"/>
      <c r="O51" s="117"/>
      <c r="P51" s="117"/>
      <c r="Q51" s="117"/>
      <c r="R51" s="117"/>
      <c r="S51" s="117"/>
      <c r="T51" s="117"/>
      <c r="U51" s="117"/>
      <c r="V51" s="117"/>
      <c r="W51" s="117"/>
    </row>
    <row r="52" spans="1:23" s="8" customFormat="1" ht="12" x14ac:dyDescent="0.2">
      <c r="A52" s="1339" t="s">
        <v>185</v>
      </c>
      <c r="B52" s="1340"/>
      <c r="C52" s="221" t="s">
        <v>184</v>
      </c>
      <c r="D52" s="221" t="s">
        <v>184</v>
      </c>
      <c r="E52" s="223">
        <v>297000</v>
      </c>
      <c r="J52" s="117"/>
      <c r="K52" s="117"/>
      <c r="L52" s="117"/>
      <c r="M52" s="117"/>
      <c r="N52" s="117"/>
      <c r="O52" s="117"/>
      <c r="P52" s="117"/>
      <c r="Q52" s="117"/>
      <c r="R52" s="117"/>
      <c r="S52" s="117"/>
      <c r="T52" s="117"/>
      <c r="U52" s="117"/>
      <c r="V52" s="117"/>
      <c r="W52" s="117"/>
    </row>
    <row r="53" spans="1:23" s="8" customFormat="1" ht="12" x14ac:dyDescent="0.2">
      <c r="A53" s="1339" t="s">
        <v>186</v>
      </c>
      <c r="B53" s="1340"/>
      <c r="C53" s="221" t="s">
        <v>187</v>
      </c>
      <c r="D53" s="221" t="s">
        <v>187</v>
      </c>
      <c r="E53" s="223">
        <v>16600</v>
      </c>
      <c r="J53" s="117"/>
      <c r="K53" s="117"/>
      <c r="L53" s="117"/>
      <c r="M53" s="117"/>
      <c r="N53" s="117"/>
      <c r="O53" s="117"/>
      <c r="P53" s="117"/>
      <c r="Q53" s="117"/>
      <c r="R53" s="117"/>
      <c r="S53" s="117"/>
      <c r="T53" s="117"/>
      <c r="U53" s="117"/>
      <c r="V53" s="117"/>
      <c r="W53" s="117"/>
    </row>
    <row r="54" spans="1:23" s="8" customFormat="1" ht="12" x14ac:dyDescent="0.2">
      <c r="A54" s="1339" t="s">
        <v>188</v>
      </c>
      <c r="B54" s="1340"/>
      <c r="C54" s="221" t="s">
        <v>187</v>
      </c>
      <c r="D54" s="221" t="s">
        <v>187</v>
      </c>
      <c r="E54" s="223">
        <v>827</v>
      </c>
      <c r="J54" s="117"/>
      <c r="K54" s="117"/>
      <c r="L54" s="117"/>
      <c r="M54" s="117"/>
      <c r="N54" s="117"/>
      <c r="O54" s="117"/>
      <c r="P54" s="117"/>
      <c r="Q54" s="117"/>
      <c r="R54" s="117"/>
      <c r="S54" s="117"/>
      <c r="T54" s="117"/>
      <c r="U54" s="117"/>
      <c r="V54" s="117"/>
      <c r="W54" s="117"/>
    </row>
    <row r="55" spans="1:23" s="8" customFormat="1" ht="12" x14ac:dyDescent="0.2">
      <c r="A55" s="1339" t="s">
        <v>188</v>
      </c>
      <c r="B55" s="1340"/>
      <c r="C55" s="221" t="s">
        <v>187</v>
      </c>
      <c r="D55" s="221" t="s">
        <v>187</v>
      </c>
      <c r="E55" s="223">
        <v>40000</v>
      </c>
      <c r="J55" s="117"/>
      <c r="K55" s="117"/>
      <c r="L55" s="117"/>
      <c r="M55" s="117"/>
      <c r="N55" s="117"/>
      <c r="O55" s="117"/>
      <c r="P55" s="117"/>
      <c r="Q55" s="117"/>
      <c r="R55" s="117"/>
      <c r="S55" s="117"/>
      <c r="T55" s="117"/>
      <c r="U55" s="117"/>
      <c r="V55" s="117"/>
      <c r="W55" s="117"/>
    </row>
    <row r="56" spans="1:23" s="8" customFormat="1" ht="12" x14ac:dyDescent="0.2">
      <c r="A56" s="1339" t="s">
        <v>189</v>
      </c>
      <c r="B56" s="1340"/>
      <c r="C56" s="221" t="s">
        <v>187</v>
      </c>
      <c r="D56" s="221" t="s">
        <v>187</v>
      </c>
      <c r="E56" s="223">
        <v>57427</v>
      </c>
      <c r="J56" s="117"/>
      <c r="K56" s="117"/>
      <c r="L56" s="117"/>
      <c r="M56" s="117"/>
      <c r="N56" s="117"/>
      <c r="O56" s="117"/>
      <c r="P56" s="117"/>
      <c r="Q56" s="117"/>
      <c r="R56" s="117"/>
      <c r="S56" s="117"/>
      <c r="T56" s="117"/>
      <c r="U56" s="117"/>
      <c r="V56" s="117"/>
      <c r="W56" s="117"/>
    </row>
    <row r="57" spans="1:23" s="8" customFormat="1" ht="12" x14ac:dyDescent="0.2">
      <c r="A57" s="1339" t="s">
        <v>190</v>
      </c>
      <c r="B57" s="1340"/>
      <c r="C57" s="221" t="s">
        <v>191</v>
      </c>
      <c r="D57" s="221" t="s">
        <v>191</v>
      </c>
      <c r="E57" s="223">
        <v>90000</v>
      </c>
      <c r="J57" s="117"/>
      <c r="K57" s="117"/>
      <c r="L57" s="117"/>
      <c r="M57" s="117"/>
      <c r="N57" s="117"/>
      <c r="O57" s="117"/>
      <c r="P57" s="117"/>
      <c r="Q57" s="117"/>
      <c r="R57" s="117"/>
      <c r="S57" s="117"/>
      <c r="T57" s="117"/>
      <c r="U57" s="117"/>
      <c r="V57" s="117"/>
      <c r="W57" s="117"/>
    </row>
    <row r="58" spans="1:23" s="8" customFormat="1" ht="12" x14ac:dyDescent="0.2">
      <c r="A58" s="1339" t="s">
        <v>192</v>
      </c>
      <c r="B58" s="1340"/>
      <c r="C58" s="221" t="s">
        <v>191</v>
      </c>
      <c r="D58" s="221" t="s">
        <v>191</v>
      </c>
      <c r="E58" s="223">
        <v>53000</v>
      </c>
      <c r="J58" s="117"/>
      <c r="K58" s="117"/>
      <c r="L58" s="117"/>
      <c r="M58" s="117"/>
      <c r="N58" s="117"/>
      <c r="O58" s="117"/>
      <c r="P58" s="117"/>
      <c r="Q58" s="117"/>
      <c r="R58" s="117"/>
      <c r="S58" s="117"/>
      <c r="T58" s="117"/>
      <c r="U58" s="117"/>
      <c r="V58" s="117"/>
      <c r="W58" s="117"/>
    </row>
    <row r="59" spans="1:23" s="8" customFormat="1" ht="12" x14ac:dyDescent="0.2">
      <c r="A59" s="1339" t="s">
        <v>193</v>
      </c>
      <c r="B59" s="1340"/>
      <c r="C59" s="221" t="s">
        <v>191</v>
      </c>
      <c r="D59" s="221" t="s">
        <v>191</v>
      </c>
      <c r="E59" s="223">
        <v>22000</v>
      </c>
      <c r="J59" s="117"/>
      <c r="K59" s="117"/>
      <c r="L59" s="117"/>
      <c r="M59" s="117"/>
      <c r="N59" s="117"/>
      <c r="O59" s="117"/>
      <c r="P59" s="117"/>
      <c r="Q59" s="117"/>
      <c r="R59" s="117"/>
      <c r="S59" s="117"/>
      <c r="T59" s="117"/>
      <c r="U59" s="117"/>
      <c r="V59" s="117"/>
      <c r="W59" s="117"/>
    </row>
    <row r="60" spans="1:23" s="8" customFormat="1" ht="12" x14ac:dyDescent="0.2">
      <c r="A60" s="1339" t="s">
        <v>194</v>
      </c>
      <c r="B60" s="1340"/>
      <c r="C60" s="221" t="s">
        <v>191</v>
      </c>
      <c r="D60" s="221" t="s">
        <v>191</v>
      </c>
      <c r="E60" s="223">
        <v>15000</v>
      </c>
      <c r="J60" s="117"/>
      <c r="K60" s="117"/>
      <c r="L60" s="117"/>
      <c r="M60" s="117"/>
      <c r="N60" s="117"/>
      <c r="O60" s="117"/>
      <c r="P60" s="117"/>
      <c r="Q60" s="117"/>
      <c r="R60" s="117"/>
      <c r="S60" s="117"/>
      <c r="T60" s="117"/>
      <c r="U60" s="117"/>
      <c r="V60" s="117"/>
      <c r="W60" s="117"/>
    </row>
    <row r="61" spans="1:23" s="8" customFormat="1" ht="12" x14ac:dyDescent="0.2">
      <c r="A61" s="1339" t="s">
        <v>195</v>
      </c>
      <c r="B61" s="1340"/>
      <c r="C61" s="221" t="s">
        <v>191</v>
      </c>
      <c r="D61" s="221" t="s">
        <v>191</v>
      </c>
      <c r="E61" s="223">
        <v>7000</v>
      </c>
      <c r="J61" s="117"/>
      <c r="K61" s="117"/>
      <c r="L61" s="117"/>
      <c r="M61" s="117"/>
      <c r="N61" s="117"/>
      <c r="O61" s="117"/>
      <c r="P61" s="117"/>
      <c r="Q61" s="117"/>
      <c r="R61" s="117"/>
      <c r="S61" s="117"/>
      <c r="T61" s="117"/>
      <c r="U61" s="117"/>
      <c r="V61" s="117"/>
      <c r="W61" s="117"/>
    </row>
    <row r="62" spans="1:23" s="8" customFormat="1" ht="12" x14ac:dyDescent="0.2">
      <c r="A62" s="1339" t="s">
        <v>196</v>
      </c>
      <c r="B62" s="1340"/>
      <c r="C62" s="221" t="s">
        <v>191</v>
      </c>
      <c r="D62" s="221" t="s">
        <v>191</v>
      </c>
      <c r="E62" s="223">
        <v>7000</v>
      </c>
      <c r="J62" s="117"/>
      <c r="K62" s="117"/>
      <c r="L62" s="117"/>
      <c r="M62" s="117"/>
      <c r="N62" s="117"/>
      <c r="O62" s="117"/>
      <c r="P62" s="117"/>
      <c r="Q62" s="117"/>
      <c r="R62" s="117"/>
      <c r="S62" s="117"/>
      <c r="T62" s="117"/>
      <c r="U62" s="117"/>
      <c r="V62" s="117"/>
      <c r="W62" s="117"/>
    </row>
    <row r="63" spans="1:23" s="8" customFormat="1" ht="12" x14ac:dyDescent="0.2">
      <c r="A63" s="1339" t="s">
        <v>197</v>
      </c>
      <c r="B63" s="1340"/>
      <c r="C63" s="221" t="s">
        <v>191</v>
      </c>
      <c r="D63" s="221" t="s">
        <v>191</v>
      </c>
      <c r="E63" s="223">
        <v>-500</v>
      </c>
      <c r="J63" s="117"/>
      <c r="K63" s="117"/>
      <c r="L63" s="117"/>
      <c r="M63" s="117"/>
      <c r="N63" s="117"/>
      <c r="O63" s="117"/>
      <c r="P63" s="117"/>
      <c r="Q63" s="117"/>
      <c r="R63" s="117"/>
      <c r="S63" s="117"/>
      <c r="T63" s="117"/>
      <c r="U63" s="117"/>
      <c r="V63" s="117"/>
      <c r="W63" s="117"/>
    </row>
    <row r="64" spans="1:23" s="8" customFormat="1" ht="12" x14ac:dyDescent="0.2">
      <c r="A64" s="1339" t="s">
        <v>198</v>
      </c>
      <c r="B64" s="1340"/>
      <c r="C64" s="221" t="s">
        <v>191</v>
      </c>
      <c r="D64" s="221" t="s">
        <v>191</v>
      </c>
      <c r="E64" s="223">
        <v>-850</v>
      </c>
      <c r="J64" s="117"/>
      <c r="K64" s="117"/>
      <c r="L64" s="117"/>
      <c r="M64" s="117"/>
      <c r="N64" s="117"/>
      <c r="O64" s="117"/>
      <c r="P64" s="117"/>
      <c r="Q64" s="117"/>
      <c r="R64" s="117"/>
      <c r="S64" s="117"/>
      <c r="T64" s="117"/>
      <c r="U64" s="117"/>
      <c r="V64" s="117"/>
      <c r="W64" s="117"/>
    </row>
    <row r="65" spans="1:23" s="8" customFormat="1" ht="12" x14ac:dyDescent="0.2">
      <c r="A65" s="1339" t="s">
        <v>199</v>
      </c>
      <c r="B65" s="1340"/>
      <c r="C65" s="221" t="s">
        <v>191</v>
      </c>
      <c r="D65" s="221" t="s">
        <v>191</v>
      </c>
      <c r="E65" s="223">
        <v>100</v>
      </c>
      <c r="J65" s="117"/>
      <c r="K65" s="117"/>
      <c r="L65" s="117"/>
      <c r="M65" s="117"/>
      <c r="N65" s="117"/>
      <c r="O65" s="117"/>
      <c r="P65" s="117"/>
      <c r="Q65" s="117"/>
      <c r="R65" s="117"/>
      <c r="S65" s="117"/>
      <c r="T65" s="117"/>
      <c r="U65" s="117"/>
      <c r="V65" s="117"/>
      <c r="W65" s="117"/>
    </row>
    <row r="66" spans="1:23" s="8" customFormat="1" ht="12" x14ac:dyDescent="0.2">
      <c r="A66" s="1339" t="s">
        <v>194</v>
      </c>
      <c r="B66" s="1340"/>
      <c r="C66" s="224" t="s">
        <v>191</v>
      </c>
      <c r="D66" s="221" t="s">
        <v>191</v>
      </c>
      <c r="E66" s="223">
        <v>1250</v>
      </c>
      <c r="J66" s="117"/>
      <c r="K66" s="117"/>
      <c r="L66" s="117"/>
      <c r="M66" s="117"/>
      <c r="N66" s="117"/>
      <c r="O66" s="117"/>
      <c r="P66" s="117"/>
      <c r="Q66" s="117"/>
      <c r="R66" s="117"/>
      <c r="S66" s="117"/>
      <c r="T66" s="117"/>
      <c r="U66" s="117"/>
      <c r="V66" s="117"/>
      <c r="W66" s="117"/>
    </row>
    <row r="67" spans="1:23" s="8" customFormat="1" ht="12" x14ac:dyDescent="0.2">
      <c r="A67" s="1348" t="s">
        <v>200</v>
      </c>
      <c r="B67" s="1349"/>
      <c r="C67" s="221" t="s">
        <v>191</v>
      </c>
      <c r="D67" s="225" t="s">
        <v>191</v>
      </c>
      <c r="E67" s="226">
        <v>15000</v>
      </c>
      <c r="H67" s="117"/>
      <c r="J67" s="117"/>
      <c r="K67" s="117"/>
      <c r="L67" s="117"/>
      <c r="M67" s="117"/>
      <c r="N67" s="117"/>
      <c r="O67" s="117"/>
      <c r="P67" s="117"/>
      <c r="Q67" s="117"/>
      <c r="R67" s="117"/>
      <c r="S67" s="117"/>
      <c r="T67" s="117"/>
      <c r="U67" s="117"/>
      <c r="V67" s="117"/>
      <c r="W67" s="117"/>
    </row>
    <row r="68" spans="1:23" s="8" customFormat="1" ht="12" x14ac:dyDescent="0.2">
      <c r="A68" s="1339" t="s">
        <v>201</v>
      </c>
      <c r="B68" s="1340"/>
      <c r="C68" s="221" t="s">
        <v>191</v>
      </c>
      <c r="D68" s="221" t="s">
        <v>191</v>
      </c>
      <c r="E68" s="223">
        <v>15000</v>
      </c>
      <c r="J68" s="117"/>
      <c r="K68" s="117"/>
      <c r="L68" s="117"/>
      <c r="M68" s="117"/>
      <c r="N68" s="117"/>
      <c r="O68" s="117"/>
      <c r="P68" s="117"/>
      <c r="Q68" s="117"/>
      <c r="R68" s="117"/>
      <c r="S68" s="117"/>
      <c r="T68" s="117"/>
      <c r="U68" s="117"/>
      <c r="V68" s="117"/>
      <c r="W68" s="117"/>
    </row>
    <row r="69" spans="1:23" s="8" customFormat="1" ht="12.6" customHeight="1" x14ac:dyDescent="0.2">
      <c r="A69" s="227"/>
      <c r="B69" s="227"/>
      <c r="C69" s="228"/>
      <c r="D69" s="228"/>
      <c r="E69" s="229"/>
      <c r="J69" s="117"/>
      <c r="K69" s="117"/>
      <c r="L69" s="117"/>
      <c r="M69" s="117"/>
      <c r="N69" s="117"/>
      <c r="O69" s="117"/>
      <c r="P69" s="117"/>
      <c r="Q69" s="117"/>
      <c r="R69" s="117"/>
      <c r="S69" s="117"/>
      <c r="T69" s="117"/>
      <c r="U69" s="117"/>
      <c r="V69" s="117"/>
      <c r="W69" s="117"/>
    </row>
    <row r="70" spans="1:23" s="8" customFormat="1" ht="10.199999999999999" x14ac:dyDescent="0.2">
      <c r="A70" s="1256" t="s">
        <v>92</v>
      </c>
      <c r="B70" s="1256"/>
      <c r="C70" s="137" t="s">
        <v>93</v>
      </c>
      <c r="D70" s="45" t="s">
        <v>94</v>
      </c>
      <c r="E70" s="45" t="s">
        <v>25</v>
      </c>
      <c r="J70" s="117"/>
      <c r="K70" s="117"/>
      <c r="L70" s="117"/>
      <c r="M70" s="117"/>
      <c r="N70" s="117"/>
      <c r="O70" s="117"/>
      <c r="P70" s="117"/>
      <c r="Q70" s="117"/>
      <c r="R70" s="117"/>
      <c r="S70" s="117"/>
      <c r="T70" s="117"/>
      <c r="U70" s="117"/>
      <c r="V70" s="117"/>
      <c r="W70" s="117"/>
    </row>
    <row r="71" spans="1:23" s="8" customFormat="1" ht="12" x14ac:dyDescent="0.2">
      <c r="A71" s="1346" t="s">
        <v>202</v>
      </c>
      <c r="B71" s="1347"/>
      <c r="C71" s="221" t="s">
        <v>191</v>
      </c>
      <c r="D71" s="230" t="s">
        <v>191</v>
      </c>
      <c r="E71" s="231">
        <v>100000</v>
      </c>
      <c r="J71" s="117"/>
      <c r="K71" s="117"/>
      <c r="L71" s="117"/>
      <c r="M71" s="117"/>
      <c r="N71" s="117"/>
      <c r="O71" s="117"/>
      <c r="P71" s="117"/>
      <c r="Q71" s="117"/>
      <c r="R71" s="117"/>
      <c r="S71" s="117"/>
      <c r="T71" s="117"/>
      <c r="U71" s="117"/>
      <c r="V71" s="117"/>
      <c r="W71" s="117"/>
    </row>
    <row r="72" spans="1:23" s="8" customFormat="1" ht="12" x14ac:dyDescent="0.2">
      <c r="A72" s="1339" t="s">
        <v>194</v>
      </c>
      <c r="B72" s="1340"/>
      <c r="C72" s="221" t="s">
        <v>191</v>
      </c>
      <c r="D72" s="230" t="s">
        <v>191</v>
      </c>
      <c r="E72" s="232">
        <v>41000</v>
      </c>
      <c r="J72" s="117"/>
      <c r="K72" s="117"/>
      <c r="L72" s="117"/>
      <c r="M72" s="117"/>
      <c r="N72" s="117"/>
      <c r="O72" s="117"/>
      <c r="P72" s="117"/>
      <c r="Q72" s="117"/>
      <c r="R72" s="117"/>
      <c r="S72" s="117"/>
      <c r="T72" s="117"/>
      <c r="U72" s="117"/>
      <c r="V72" s="117"/>
      <c r="W72" s="117"/>
    </row>
    <row r="73" spans="1:23" s="8" customFormat="1" ht="12" x14ac:dyDescent="0.2">
      <c r="A73" s="1348" t="s">
        <v>203</v>
      </c>
      <c r="B73" s="1349"/>
      <c r="C73" s="221" t="s">
        <v>191</v>
      </c>
      <c r="D73" s="230" t="s">
        <v>191</v>
      </c>
      <c r="E73" s="233">
        <v>31000</v>
      </c>
      <c r="J73" s="117"/>
      <c r="K73" s="117"/>
      <c r="L73" s="117"/>
      <c r="M73" s="117"/>
      <c r="N73" s="117"/>
      <c r="O73" s="117"/>
      <c r="P73" s="117"/>
      <c r="Q73" s="117"/>
      <c r="R73" s="117"/>
      <c r="S73" s="117"/>
      <c r="T73" s="117"/>
      <c r="U73" s="117"/>
      <c r="V73" s="117"/>
      <c r="W73" s="117"/>
    </row>
    <row r="74" spans="1:23" s="8" customFormat="1" ht="12" x14ac:dyDescent="0.2">
      <c r="A74" s="1339" t="s">
        <v>204</v>
      </c>
      <c r="B74" s="1340"/>
      <c r="C74" s="221" t="s">
        <v>191</v>
      </c>
      <c r="D74" s="230" t="s">
        <v>191</v>
      </c>
      <c r="E74" s="233">
        <v>10000</v>
      </c>
      <c r="J74" s="117"/>
      <c r="K74" s="117"/>
      <c r="L74" s="117"/>
      <c r="M74" s="117"/>
      <c r="N74" s="117"/>
      <c r="O74" s="117"/>
      <c r="P74" s="117"/>
      <c r="Q74" s="117"/>
      <c r="R74" s="117"/>
      <c r="S74" s="117"/>
      <c r="T74" s="117"/>
      <c r="U74" s="117"/>
      <c r="V74" s="117"/>
      <c r="W74" s="117"/>
    </row>
    <row r="75" spans="1:23" s="8" customFormat="1" ht="12" x14ac:dyDescent="0.2">
      <c r="A75" s="1339" t="s">
        <v>205</v>
      </c>
      <c r="B75" s="1340"/>
      <c r="C75" s="221" t="s">
        <v>191</v>
      </c>
      <c r="D75" s="230" t="s">
        <v>191</v>
      </c>
      <c r="E75" s="233">
        <v>1000</v>
      </c>
      <c r="J75" s="117"/>
      <c r="K75" s="117"/>
      <c r="L75" s="117"/>
      <c r="M75" s="117"/>
      <c r="N75" s="117"/>
      <c r="O75" s="117"/>
      <c r="P75" s="117"/>
      <c r="Q75" s="117"/>
      <c r="R75" s="117"/>
      <c r="S75" s="117"/>
      <c r="T75" s="117"/>
      <c r="U75" s="117"/>
      <c r="V75" s="117"/>
      <c r="W75" s="117"/>
    </row>
    <row r="76" spans="1:23" s="8" customFormat="1" ht="12" x14ac:dyDescent="0.2">
      <c r="A76" s="1339" t="s">
        <v>193</v>
      </c>
      <c r="B76" s="1340"/>
      <c r="C76" s="221" t="s">
        <v>191</v>
      </c>
      <c r="D76" s="230" t="s">
        <v>191</v>
      </c>
      <c r="E76" s="233">
        <v>17000</v>
      </c>
      <c r="J76" s="117"/>
      <c r="K76" s="117"/>
      <c r="L76" s="117"/>
      <c r="M76" s="117"/>
      <c r="N76" s="117"/>
      <c r="O76" s="117"/>
      <c r="P76" s="117"/>
      <c r="Q76" s="117"/>
      <c r="R76" s="117"/>
      <c r="S76" s="117"/>
      <c r="T76" s="117"/>
      <c r="U76" s="117"/>
      <c r="V76" s="117"/>
      <c r="W76" s="117"/>
    </row>
    <row r="77" spans="1:23" s="8" customFormat="1" ht="12" x14ac:dyDescent="0.2">
      <c r="A77" s="1339" t="s">
        <v>206</v>
      </c>
      <c r="B77" s="1340"/>
      <c r="C77" s="221" t="s">
        <v>191</v>
      </c>
      <c r="D77" s="230" t="s">
        <v>191</v>
      </c>
      <c r="E77" s="233">
        <v>-4000</v>
      </c>
      <c r="J77" s="117"/>
      <c r="K77" s="117"/>
      <c r="L77" s="117"/>
      <c r="M77" s="117"/>
      <c r="N77" s="117"/>
      <c r="O77" s="117"/>
      <c r="P77" s="117"/>
      <c r="Q77" s="117"/>
      <c r="R77" s="117"/>
      <c r="S77" s="117"/>
      <c r="T77" s="117"/>
      <c r="U77" s="117"/>
      <c r="V77" s="117"/>
      <c r="W77" s="117"/>
    </row>
    <row r="78" spans="1:23" s="8" customFormat="1" ht="12" x14ac:dyDescent="0.2">
      <c r="A78" s="1339" t="s">
        <v>207</v>
      </c>
      <c r="B78" s="1340"/>
      <c r="C78" s="221" t="s">
        <v>191</v>
      </c>
      <c r="D78" s="230" t="s">
        <v>191</v>
      </c>
      <c r="E78" s="233">
        <v>4000</v>
      </c>
      <c r="J78" s="117"/>
      <c r="K78" s="117"/>
      <c r="L78" s="117"/>
      <c r="M78" s="117"/>
      <c r="N78" s="117"/>
      <c r="O78" s="117"/>
      <c r="P78" s="117"/>
      <c r="Q78" s="117"/>
      <c r="R78" s="117"/>
      <c r="S78" s="117"/>
      <c r="T78" s="117"/>
      <c r="U78" s="117"/>
      <c r="V78" s="117"/>
      <c r="W78" s="117"/>
    </row>
    <row r="79" spans="1:23" s="8" customFormat="1" ht="12" x14ac:dyDescent="0.2">
      <c r="A79" s="1339" t="s">
        <v>208</v>
      </c>
      <c r="B79" s="1340"/>
      <c r="C79" s="221" t="s">
        <v>209</v>
      </c>
      <c r="D79" s="230" t="s">
        <v>209</v>
      </c>
      <c r="E79" s="233">
        <v>33000</v>
      </c>
      <c r="J79" s="117"/>
      <c r="K79" s="117"/>
      <c r="L79" s="117"/>
      <c r="M79" s="117"/>
      <c r="N79" s="117"/>
      <c r="O79" s="117"/>
      <c r="P79" s="117"/>
      <c r="Q79" s="117"/>
      <c r="R79" s="117"/>
      <c r="S79" s="117"/>
      <c r="T79" s="117"/>
      <c r="U79" s="117"/>
      <c r="V79" s="117"/>
      <c r="W79" s="117"/>
    </row>
    <row r="80" spans="1:23" s="8" customFormat="1" ht="12" x14ac:dyDescent="0.2">
      <c r="A80" s="1339" t="s">
        <v>210</v>
      </c>
      <c r="B80" s="1340"/>
      <c r="C80" s="221" t="s">
        <v>209</v>
      </c>
      <c r="D80" s="230" t="s">
        <v>209</v>
      </c>
      <c r="E80" s="233">
        <v>33000</v>
      </c>
      <c r="J80" s="117"/>
      <c r="K80" s="117"/>
      <c r="L80" s="117"/>
      <c r="M80" s="117"/>
      <c r="N80" s="117"/>
      <c r="O80" s="117"/>
      <c r="P80" s="117"/>
      <c r="Q80" s="117"/>
      <c r="R80" s="117"/>
      <c r="S80" s="117"/>
      <c r="T80" s="117"/>
      <c r="U80" s="117"/>
      <c r="V80" s="117"/>
      <c r="W80" s="117"/>
    </row>
    <row r="81" spans="1:23" s="8" customFormat="1" ht="12" x14ac:dyDescent="0.2">
      <c r="A81" s="1339" t="s">
        <v>211</v>
      </c>
      <c r="B81" s="1340"/>
      <c r="C81" s="221" t="s">
        <v>212</v>
      </c>
      <c r="D81" s="230" t="s">
        <v>212</v>
      </c>
      <c r="E81" s="233">
        <v>-60000</v>
      </c>
      <c r="J81" s="117"/>
      <c r="K81" s="117"/>
      <c r="L81" s="117"/>
      <c r="M81" s="117"/>
      <c r="N81" s="117"/>
      <c r="O81" s="117"/>
      <c r="P81" s="117"/>
      <c r="Q81" s="117"/>
      <c r="R81" s="117"/>
      <c r="S81" s="117"/>
      <c r="T81" s="117"/>
      <c r="U81" s="117"/>
      <c r="V81" s="117"/>
      <c r="W81" s="117"/>
    </row>
    <row r="82" spans="1:23" s="8" customFormat="1" ht="12" x14ac:dyDescent="0.2">
      <c r="A82" s="1343" t="s">
        <v>213</v>
      </c>
      <c r="B82" s="1344"/>
      <c r="C82" s="221" t="s">
        <v>212</v>
      </c>
      <c r="D82" s="230" t="s">
        <v>212</v>
      </c>
      <c r="E82" s="233">
        <v>60000</v>
      </c>
      <c r="J82" s="117"/>
      <c r="K82" s="117"/>
      <c r="L82" s="117"/>
      <c r="M82" s="117"/>
      <c r="N82" s="117"/>
      <c r="O82" s="117"/>
      <c r="P82" s="117"/>
      <c r="Q82" s="117"/>
      <c r="R82" s="117"/>
      <c r="S82" s="117"/>
      <c r="T82" s="117"/>
      <c r="U82" s="117"/>
      <c r="V82" s="117"/>
      <c r="W82" s="117"/>
    </row>
    <row r="83" spans="1:23" s="8" customFormat="1" ht="12" x14ac:dyDescent="0.2">
      <c r="A83" s="1339" t="s">
        <v>214</v>
      </c>
      <c r="B83" s="1340"/>
      <c r="C83" s="221" t="s">
        <v>215</v>
      </c>
      <c r="D83" s="230" t="s">
        <v>215</v>
      </c>
      <c r="E83" s="233">
        <v>-20000</v>
      </c>
      <c r="J83" s="117"/>
      <c r="K83" s="117"/>
      <c r="L83" s="117"/>
      <c r="M83" s="117"/>
      <c r="N83" s="117"/>
      <c r="O83" s="117"/>
      <c r="P83" s="117"/>
      <c r="Q83" s="117"/>
      <c r="R83" s="117"/>
      <c r="S83" s="117"/>
      <c r="T83" s="117"/>
      <c r="U83" s="117"/>
      <c r="V83" s="117"/>
      <c r="W83" s="117"/>
    </row>
    <row r="84" spans="1:23" s="8" customFormat="1" ht="12" x14ac:dyDescent="0.2">
      <c r="A84" s="1339" t="s">
        <v>216</v>
      </c>
      <c r="B84" s="1340"/>
      <c r="C84" s="221" t="s">
        <v>215</v>
      </c>
      <c r="D84" s="230" t="s">
        <v>215</v>
      </c>
      <c r="E84" s="233">
        <v>20000</v>
      </c>
      <c r="J84" s="117"/>
      <c r="K84" s="117"/>
      <c r="L84" s="117"/>
      <c r="M84" s="117"/>
      <c r="N84" s="117"/>
      <c r="O84" s="117"/>
      <c r="P84" s="117"/>
      <c r="Q84" s="117"/>
      <c r="R84" s="117"/>
      <c r="S84" s="117"/>
      <c r="T84" s="117"/>
      <c r="U84" s="117"/>
      <c r="V84" s="117"/>
      <c r="W84" s="117"/>
    </row>
    <row r="85" spans="1:23" s="8" customFormat="1" ht="12" x14ac:dyDescent="0.2">
      <c r="A85" s="1339" t="s">
        <v>211</v>
      </c>
      <c r="B85" s="1340"/>
      <c r="C85" s="221" t="s">
        <v>217</v>
      </c>
      <c r="D85" s="230" t="s">
        <v>217</v>
      </c>
      <c r="E85" s="233">
        <v>-35000</v>
      </c>
      <c r="J85" s="117"/>
      <c r="K85" s="117"/>
      <c r="L85" s="117"/>
      <c r="M85" s="117"/>
      <c r="N85" s="117"/>
      <c r="O85" s="117"/>
      <c r="P85" s="117"/>
      <c r="Q85" s="117"/>
      <c r="R85" s="117"/>
      <c r="S85" s="117"/>
      <c r="T85" s="117"/>
      <c r="U85" s="117"/>
      <c r="V85" s="117"/>
      <c r="W85" s="117"/>
    </row>
    <row r="86" spans="1:23" s="8" customFormat="1" ht="12" customHeight="1" x14ac:dyDescent="0.2">
      <c r="A86" s="1343" t="s">
        <v>218</v>
      </c>
      <c r="B86" s="1344"/>
      <c r="C86" s="221" t="s">
        <v>217</v>
      </c>
      <c r="D86" s="230" t="s">
        <v>217</v>
      </c>
      <c r="E86" s="233">
        <v>35000</v>
      </c>
      <c r="J86" s="117"/>
      <c r="K86" s="117"/>
      <c r="L86" s="117"/>
      <c r="M86" s="117"/>
      <c r="N86" s="117"/>
      <c r="O86" s="117"/>
      <c r="P86" s="117"/>
      <c r="Q86" s="117"/>
      <c r="R86" s="117"/>
      <c r="S86" s="117"/>
      <c r="T86" s="117"/>
      <c r="U86" s="117"/>
      <c r="V86" s="117"/>
      <c r="W86" s="117"/>
    </row>
    <row r="87" spans="1:23" s="8" customFormat="1" ht="12" customHeight="1" x14ac:dyDescent="0.2">
      <c r="A87" s="1339" t="s">
        <v>190</v>
      </c>
      <c r="B87" s="1340"/>
      <c r="C87" s="221" t="s">
        <v>219</v>
      </c>
      <c r="D87" s="230" t="s">
        <v>219</v>
      </c>
      <c r="E87" s="233">
        <v>43000</v>
      </c>
      <c r="J87" s="117"/>
      <c r="K87" s="117"/>
      <c r="L87" s="117"/>
      <c r="M87" s="117"/>
      <c r="N87" s="117"/>
      <c r="O87" s="117"/>
      <c r="P87" s="117"/>
      <c r="Q87" s="117"/>
      <c r="R87" s="117"/>
      <c r="S87" s="117"/>
      <c r="T87" s="117"/>
      <c r="U87" s="117"/>
      <c r="V87" s="117"/>
      <c r="W87" s="117"/>
    </row>
    <row r="88" spans="1:23" s="8" customFormat="1" ht="12" x14ac:dyDescent="0.2">
      <c r="A88" s="1339" t="s">
        <v>192</v>
      </c>
      <c r="B88" s="1340"/>
      <c r="C88" s="221" t="s">
        <v>219</v>
      </c>
      <c r="D88" s="230" t="s">
        <v>219</v>
      </c>
      <c r="E88" s="233">
        <v>43000</v>
      </c>
      <c r="J88" s="117"/>
      <c r="K88" s="117"/>
      <c r="L88" s="117"/>
      <c r="M88" s="117"/>
      <c r="N88" s="117"/>
      <c r="O88" s="117"/>
      <c r="P88" s="117"/>
      <c r="Q88" s="117"/>
      <c r="R88" s="117"/>
      <c r="S88" s="117"/>
      <c r="T88" s="117"/>
      <c r="U88" s="117"/>
      <c r="V88" s="117"/>
      <c r="W88" s="117"/>
    </row>
    <row r="89" spans="1:23" s="8" customFormat="1" ht="12" x14ac:dyDescent="0.2">
      <c r="A89" s="1339" t="s">
        <v>220</v>
      </c>
      <c r="B89" s="1340"/>
      <c r="C89" s="221" t="s">
        <v>219</v>
      </c>
      <c r="D89" s="230" t="s">
        <v>219</v>
      </c>
      <c r="E89" s="233">
        <v>20070</v>
      </c>
      <c r="J89" s="117"/>
      <c r="K89" s="117"/>
      <c r="L89" s="117"/>
      <c r="M89" s="117"/>
      <c r="N89" s="117"/>
      <c r="O89" s="117"/>
      <c r="P89" s="117"/>
      <c r="Q89" s="117"/>
      <c r="R89" s="117"/>
      <c r="S89" s="117"/>
      <c r="T89" s="117"/>
      <c r="U89" s="117"/>
      <c r="V89" s="117"/>
      <c r="W89" s="117"/>
    </row>
    <row r="90" spans="1:23" s="8" customFormat="1" ht="12" x14ac:dyDescent="0.2">
      <c r="A90" s="1339" t="s">
        <v>221</v>
      </c>
      <c r="B90" s="1340"/>
      <c r="C90" s="221" t="s">
        <v>219</v>
      </c>
      <c r="D90" s="230" t="s">
        <v>219</v>
      </c>
      <c r="E90" s="233">
        <v>15000</v>
      </c>
      <c r="J90" s="117"/>
      <c r="K90" s="117"/>
      <c r="L90" s="117"/>
      <c r="M90" s="117"/>
      <c r="N90" s="117"/>
      <c r="O90" s="117"/>
      <c r="P90" s="117"/>
      <c r="Q90" s="117"/>
      <c r="R90" s="117"/>
      <c r="S90" s="117"/>
      <c r="T90" s="117"/>
      <c r="U90" s="117"/>
      <c r="V90" s="117"/>
      <c r="W90" s="117"/>
    </row>
    <row r="91" spans="1:23" s="8" customFormat="1" ht="12" x14ac:dyDescent="0.2">
      <c r="A91" s="1339" t="s">
        <v>207</v>
      </c>
      <c r="B91" s="1340"/>
      <c r="C91" s="234" t="s">
        <v>219</v>
      </c>
      <c r="D91" s="234" t="s">
        <v>219</v>
      </c>
      <c r="E91" s="235">
        <v>5070</v>
      </c>
      <c r="J91" s="117"/>
      <c r="K91" s="117"/>
      <c r="L91" s="117"/>
      <c r="M91" s="117"/>
      <c r="N91" s="117"/>
      <c r="O91" s="117"/>
      <c r="P91" s="117"/>
      <c r="Q91" s="117"/>
      <c r="R91" s="117"/>
      <c r="S91" s="117"/>
      <c r="T91" s="117"/>
      <c r="U91" s="117"/>
      <c r="V91" s="117"/>
      <c r="W91" s="117"/>
    </row>
    <row r="92" spans="1:23" s="8" customFormat="1" ht="12" customHeight="1" x14ac:dyDescent="0.2">
      <c r="A92" s="1339" t="s">
        <v>222</v>
      </c>
      <c r="B92" s="1340"/>
      <c r="C92" s="221" t="s">
        <v>219</v>
      </c>
      <c r="D92" s="230" t="s">
        <v>219</v>
      </c>
      <c r="E92" s="235">
        <v>-28000</v>
      </c>
      <c r="J92" s="117"/>
      <c r="K92" s="117"/>
      <c r="L92" s="117"/>
      <c r="M92" s="117"/>
      <c r="N92" s="117"/>
      <c r="O92" s="117"/>
      <c r="P92" s="117"/>
      <c r="Q92" s="117"/>
      <c r="R92" s="117"/>
      <c r="S92" s="117"/>
      <c r="T92" s="117"/>
      <c r="U92" s="117"/>
      <c r="V92" s="117"/>
      <c r="W92" s="117"/>
    </row>
    <row r="93" spans="1:23" s="8" customFormat="1" ht="12" customHeight="1" x14ac:dyDescent="0.2">
      <c r="A93" s="1339" t="s">
        <v>223</v>
      </c>
      <c r="B93" s="1340"/>
      <c r="C93" s="234" t="s">
        <v>219</v>
      </c>
      <c r="D93" s="234" t="s">
        <v>219</v>
      </c>
      <c r="E93" s="232">
        <v>-28000</v>
      </c>
      <c r="J93" s="117"/>
      <c r="K93" s="117"/>
      <c r="L93" s="117"/>
      <c r="M93" s="117"/>
      <c r="N93" s="117"/>
      <c r="O93" s="117"/>
      <c r="P93" s="117"/>
      <c r="Q93" s="117"/>
      <c r="R93" s="117"/>
      <c r="S93" s="117"/>
      <c r="T93" s="117"/>
      <c r="U93" s="117"/>
      <c r="V93" s="117"/>
      <c r="W93" s="117"/>
    </row>
    <row r="94" spans="1:23" s="8" customFormat="1" ht="12" customHeight="1" x14ac:dyDescent="0.2">
      <c r="A94" s="1339" t="s">
        <v>207</v>
      </c>
      <c r="B94" s="1340"/>
      <c r="C94" s="221" t="s">
        <v>219</v>
      </c>
      <c r="D94" s="230" t="s">
        <v>219</v>
      </c>
      <c r="E94" s="232">
        <v>744</v>
      </c>
      <c r="J94" s="117"/>
      <c r="K94" s="117"/>
      <c r="L94" s="117"/>
      <c r="M94" s="117"/>
      <c r="N94" s="117"/>
      <c r="O94" s="117"/>
      <c r="P94" s="117"/>
      <c r="Q94" s="117"/>
      <c r="R94" s="117"/>
      <c r="S94" s="117"/>
      <c r="T94" s="117"/>
      <c r="U94" s="117"/>
      <c r="V94" s="117"/>
      <c r="W94" s="117"/>
    </row>
    <row r="95" spans="1:23" s="8" customFormat="1" ht="12" customHeight="1" x14ac:dyDescent="0.2">
      <c r="A95" s="1339" t="s">
        <v>206</v>
      </c>
      <c r="B95" s="1340"/>
      <c r="C95" s="234" t="s">
        <v>219</v>
      </c>
      <c r="D95" s="234" t="s">
        <v>219</v>
      </c>
      <c r="E95" s="232">
        <v>-744</v>
      </c>
      <c r="J95" s="117"/>
      <c r="K95" s="117"/>
      <c r="L95" s="117"/>
      <c r="M95" s="117"/>
      <c r="N95" s="117"/>
      <c r="O95" s="117"/>
      <c r="P95" s="117"/>
      <c r="Q95" s="117"/>
      <c r="R95" s="117"/>
      <c r="S95" s="117"/>
      <c r="T95" s="117"/>
      <c r="U95" s="117"/>
      <c r="V95" s="117"/>
      <c r="W95" s="117"/>
    </row>
    <row r="96" spans="1:23" s="8" customFormat="1" ht="12" customHeight="1" x14ac:dyDescent="0.2">
      <c r="A96" s="1339" t="s">
        <v>224</v>
      </c>
      <c r="B96" s="1340"/>
      <c r="C96" s="221" t="s">
        <v>219</v>
      </c>
      <c r="D96" s="230" t="s">
        <v>219</v>
      </c>
      <c r="E96" s="232">
        <v>-19000</v>
      </c>
      <c r="J96" s="117"/>
      <c r="K96" s="117"/>
      <c r="L96" s="117"/>
      <c r="M96" s="117"/>
      <c r="N96" s="117"/>
      <c r="O96" s="117"/>
      <c r="P96" s="117"/>
      <c r="Q96" s="117"/>
      <c r="R96" s="117"/>
      <c r="S96" s="117"/>
      <c r="T96" s="117"/>
      <c r="U96" s="117"/>
      <c r="V96" s="117"/>
      <c r="W96" s="117"/>
    </row>
    <row r="97" spans="1:23" s="8" customFormat="1" ht="12" customHeight="1" x14ac:dyDescent="0.2">
      <c r="A97" s="1339" t="s">
        <v>225</v>
      </c>
      <c r="B97" s="1340"/>
      <c r="C97" s="234" t="s">
        <v>219</v>
      </c>
      <c r="D97" s="234" t="s">
        <v>219</v>
      </c>
      <c r="E97" s="232">
        <v>19000</v>
      </c>
      <c r="J97" s="117"/>
      <c r="K97" s="117"/>
      <c r="L97" s="117"/>
      <c r="M97" s="117"/>
      <c r="N97" s="117"/>
      <c r="O97" s="117"/>
      <c r="P97" s="117"/>
      <c r="Q97" s="117"/>
      <c r="R97" s="117"/>
      <c r="S97" s="117"/>
      <c r="T97" s="117"/>
      <c r="U97" s="117"/>
      <c r="V97" s="117"/>
      <c r="W97" s="117"/>
    </row>
    <row r="98" spans="1:23" s="8" customFormat="1" ht="12" customHeight="1" x14ac:dyDescent="0.2">
      <c r="A98" s="1339" t="s">
        <v>226</v>
      </c>
      <c r="B98" s="1340"/>
      <c r="C98" s="234" t="s">
        <v>219</v>
      </c>
      <c r="D98" s="234" t="s">
        <v>219</v>
      </c>
      <c r="E98" s="232">
        <v>30000</v>
      </c>
      <c r="J98" s="117"/>
      <c r="K98" s="117"/>
      <c r="L98" s="117"/>
      <c r="M98" s="117"/>
      <c r="N98" s="117"/>
      <c r="O98" s="117"/>
      <c r="P98" s="117"/>
      <c r="Q98" s="117"/>
      <c r="R98" s="117"/>
      <c r="S98" s="117"/>
      <c r="T98" s="117"/>
      <c r="U98" s="117"/>
      <c r="V98" s="117"/>
      <c r="W98" s="117"/>
    </row>
    <row r="99" spans="1:23" s="8" customFormat="1" ht="12" customHeight="1" x14ac:dyDescent="0.2">
      <c r="A99" s="1341" t="s">
        <v>227</v>
      </c>
      <c r="B99" s="1342"/>
      <c r="C99" s="234" t="s">
        <v>219</v>
      </c>
      <c r="D99" s="234" t="s">
        <v>219</v>
      </c>
      <c r="E99" s="233">
        <v>-30000</v>
      </c>
      <c r="J99" s="117"/>
      <c r="K99" s="117"/>
      <c r="L99" s="117"/>
      <c r="M99" s="117"/>
      <c r="N99" s="117"/>
      <c r="O99" s="117"/>
      <c r="P99" s="117"/>
      <c r="Q99" s="117"/>
      <c r="R99" s="117"/>
      <c r="S99" s="117"/>
      <c r="T99" s="117"/>
      <c r="U99" s="117"/>
      <c r="V99" s="117"/>
      <c r="W99" s="117"/>
    </row>
    <row r="100" spans="1:23" s="8" customFormat="1" ht="12" customHeight="1" x14ac:dyDescent="0.2">
      <c r="A100" s="1339" t="s">
        <v>223</v>
      </c>
      <c r="B100" s="1340"/>
      <c r="C100" s="221" t="s">
        <v>219</v>
      </c>
      <c r="D100" s="230" t="s">
        <v>219</v>
      </c>
      <c r="E100" s="232">
        <v>-2348</v>
      </c>
      <c r="J100" s="117"/>
      <c r="K100" s="117"/>
      <c r="L100" s="117"/>
      <c r="M100" s="117"/>
      <c r="N100" s="117"/>
      <c r="O100" s="117"/>
      <c r="P100" s="117"/>
      <c r="Q100" s="117"/>
      <c r="R100" s="117"/>
      <c r="S100" s="117"/>
      <c r="T100" s="117"/>
      <c r="U100" s="117"/>
      <c r="V100" s="117"/>
      <c r="W100" s="117"/>
    </row>
    <row r="101" spans="1:23" s="8" customFormat="1" ht="12" customHeight="1" x14ac:dyDescent="0.2">
      <c r="A101" s="1341" t="s">
        <v>197</v>
      </c>
      <c r="B101" s="1342"/>
      <c r="C101" s="234" t="s">
        <v>219</v>
      </c>
      <c r="D101" s="234" t="s">
        <v>219</v>
      </c>
      <c r="E101" s="232">
        <v>1498</v>
      </c>
      <c r="J101" s="117"/>
      <c r="K101" s="117"/>
      <c r="L101" s="117"/>
      <c r="M101" s="117"/>
      <c r="N101" s="117"/>
      <c r="O101" s="117"/>
      <c r="P101" s="117"/>
      <c r="Q101" s="117"/>
      <c r="R101" s="117"/>
      <c r="S101" s="117"/>
      <c r="T101" s="117"/>
      <c r="U101" s="117"/>
      <c r="V101" s="117"/>
      <c r="W101" s="117"/>
    </row>
    <row r="102" spans="1:23" s="8" customFormat="1" ht="12" customHeight="1" x14ac:dyDescent="0.2">
      <c r="A102" s="1339" t="s">
        <v>198</v>
      </c>
      <c r="B102" s="1340"/>
      <c r="C102" s="230" t="s">
        <v>219</v>
      </c>
      <c r="D102" s="230" t="s">
        <v>219</v>
      </c>
      <c r="E102" s="232">
        <v>850</v>
      </c>
      <c r="F102" s="117"/>
      <c r="J102" s="117"/>
      <c r="K102" s="117"/>
      <c r="L102" s="117"/>
      <c r="M102" s="117"/>
      <c r="N102" s="117"/>
      <c r="O102" s="117"/>
      <c r="P102" s="117"/>
      <c r="Q102" s="117"/>
      <c r="R102" s="117"/>
      <c r="S102" s="117"/>
      <c r="T102" s="117"/>
      <c r="U102" s="117"/>
      <c r="V102" s="117"/>
      <c r="W102" s="117"/>
    </row>
    <row r="103" spans="1:23" s="8" customFormat="1" ht="10.199999999999999" x14ac:dyDescent="0.2">
      <c r="A103" s="236"/>
      <c r="B103" s="236"/>
      <c r="C103" s="237"/>
      <c r="D103" s="237"/>
      <c r="E103" s="238"/>
      <c r="J103" s="117"/>
      <c r="K103" s="117"/>
      <c r="L103" s="117"/>
      <c r="M103" s="117"/>
      <c r="N103" s="117"/>
      <c r="O103" s="117"/>
      <c r="P103" s="117"/>
      <c r="Q103" s="117"/>
      <c r="R103" s="117"/>
      <c r="S103" s="117"/>
      <c r="T103" s="117"/>
      <c r="U103" s="117"/>
      <c r="V103" s="117"/>
      <c r="W103" s="117"/>
    </row>
    <row r="104" spans="1:23" s="8" customFormat="1" ht="10.199999999999999" x14ac:dyDescent="0.2">
      <c r="A104" s="1300" t="s">
        <v>154</v>
      </c>
      <c r="B104" s="1300"/>
      <c r="C104" s="1300"/>
      <c r="D104" s="1300"/>
      <c r="E104" s="1300"/>
      <c r="F104" s="1300"/>
      <c r="G104" s="1300"/>
      <c r="H104" s="1300"/>
      <c r="I104" s="1300"/>
      <c r="J104" s="117"/>
      <c r="K104" s="117"/>
      <c r="L104" s="117"/>
      <c r="M104" s="117"/>
      <c r="N104" s="117"/>
      <c r="O104" s="117"/>
      <c r="P104" s="117"/>
      <c r="Q104" s="117"/>
      <c r="R104" s="117"/>
      <c r="S104" s="117"/>
      <c r="T104" s="117"/>
      <c r="U104" s="117"/>
      <c r="V104" s="117"/>
      <c r="W104" s="117"/>
    </row>
    <row r="105" spans="1:23" s="8" customFormat="1" ht="10.199999999999999" x14ac:dyDescent="0.2">
      <c r="J105" s="117"/>
      <c r="K105" s="117"/>
      <c r="L105" s="117"/>
      <c r="M105" s="117"/>
      <c r="N105" s="117"/>
      <c r="O105" s="117"/>
      <c r="P105" s="117"/>
      <c r="Q105" s="117"/>
      <c r="R105" s="117"/>
      <c r="S105" s="117"/>
      <c r="T105" s="117"/>
      <c r="U105" s="117"/>
      <c r="V105" s="117"/>
      <c r="W105" s="117"/>
    </row>
    <row r="106" spans="1:23" s="8" customFormat="1" ht="10.199999999999999" x14ac:dyDescent="0.2">
      <c r="A106" s="1297" t="s">
        <v>228</v>
      </c>
      <c r="B106" s="1298"/>
      <c r="C106" s="1298"/>
      <c r="D106" s="1298"/>
      <c r="E106" s="1298"/>
      <c r="F106" s="1298"/>
      <c r="G106" s="1298"/>
      <c r="H106" s="1298"/>
      <c r="I106" s="1299"/>
      <c r="J106" s="117"/>
      <c r="K106" s="117"/>
      <c r="L106" s="117"/>
      <c r="M106" s="117"/>
      <c r="N106" s="117"/>
      <c r="O106" s="117"/>
      <c r="P106" s="117"/>
      <c r="Q106" s="117"/>
      <c r="R106" s="117"/>
      <c r="S106" s="117"/>
      <c r="T106" s="117"/>
      <c r="U106" s="117"/>
      <c r="V106" s="117"/>
      <c r="W106" s="117"/>
    </row>
    <row r="107" spans="1:23" s="8" customFormat="1" ht="12.6" customHeight="1" x14ac:dyDescent="0.2">
      <c r="A107" s="1345"/>
      <c r="B107" s="1345"/>
      <c r="C107" s="1345"/>
      <c r="D107" s="1345"/>
      <c r="E107" s="1345"/>
      <c r="F107" s="1345"/>
      <c r="G107" s="1345"/>
      <c r="H107" s="1345"/>
      <c r="I107" s="1345"/>
      <c r="J107" s="117"/>
      <c r="K107" s="117"/>
      <c r="L107" s="117"/>
      <c r="M107" s="117"/>
      <c r="N107" s="117"/>
      <c r="O107" s="117"/>
      <c r="P107" s="117"/>
      <c r="Q107" s="117"/>
      <c r="R107" s="117"/>
      <c r="S107" s="117"/>
      <c r="T107" s="117"/>
      <c r="U107" s="117"/>
      <c r="V107" s="117"/>
      <c r="W107" s="117"/>
    </row>
    <row r="108" spans="1:23" s="8" customFormat="1" ht="10.199999999999999" customHeight="1" x14ac:dyDescent="0.2">
      <c r="J108" s="117"/>
      <c r="K108" s="117"/>
      <c r="L108" s="117"/>
      <c r="M108" s="117"/>
      <c r="N108" s="117"/>
      <c r="O108" s="117"/>
      <c r="P108" s="117"/>
      <c r="Q108" s="117"/>
      <c r="R108" s="117"/>
      <c r="S108" s="117"/>
      <c r="T108" s="117"/>
      <c r="U108" s="117"/>
      <c r="V108" s="117"/>
      <c r="W108" s="117"/>
    </row>
    <row r="109" spans="1:23" s="7" customFormat="1" ht="10.199999999999999" x14ac:dyDescent="0.2">
      <c r="A109" s="1248" t="s">
        <v>229</v>
      </c>
      <c r="B109" s="1248"/>
      <c r="C109" s="1248"/>
      <c r="D109" s="1248"/>
      <c r="E109" s="1248"/>
      <c r="F109" s="1248"/>
      <c r="G109" s="1248"/>
      <c r="H109" s="1248"/>
      <c r="I109" s="1248"/>
      <c r="J109" s="201"/>
      <c r="K109" s="201"/>
      <c r="L109" s="201"/>
      <c r="M109" s="201"/>
      <c r="N109" s="201"/>
      <c r="O109" s="201"/>
      <c r="P109" s="201"/>
      <c r="Q109" s="201"/>
      <c r="R109" s="201"/>
      <c r="S109" s="201"/>
      <c r="T109" s="201"/>
      <c r="U109" s="201"/>
      <c r="V109" s="201"/>
      <c r="W109" s="201"/>
    </row>
    <row r="110" spans="1:23" s="8" customFormat="1" ht="18" customHeight="1" x14ac:dyDescent="0.2">
      <c r="A110" s="239" t="s">
        <v>95</v>
      </c>
      <c r="J110" s="117"/>
      <c r="K110" s="117"/>
      <c r="L110" s="117"/>
      <c r="M110" s="117"/>
      <c r="N110" s="117"/>
      <c r="O110" s="117"/>
      <c r="P110" s="117"/>
      <c r="Q110" s="117"/>
      <c r="R110" s="117"/>
      <c r="S110" s="117"/>
      <c r="T110" s="117"/>
      <c r="U110" s="117"/>
      <c r="V110" s="117"/>
      <c r="W110" s="117"/>
    </row>
    <row r="111" spans="1:23" s="8" customFormat="1" ht="35.4" customHeight="1" x14ac:dyDescent="0.2">
      <c r="A111" s="1297" t="s">
        <v>230</v>
      </c>
      <c r="B111" s="1298"/>
      <c r="C111" s="1298"/>
      <c r="D111" s="1298"/>
      <c r="E111" s="1298"/>
      <c r="F111" s="1298"/>
      <c r="G111" s="1298"/>
      <c r="H111" s="1298"/>
      <c r="I111" s="1299"/>
      <c r="J111" s="117"/>
      <c r="K111" s="117"/>
      <c r="L111" s="117"/>
      <c r="M111" s="117"/>
      <c r="N111" s="117"/>
      <c r="O111" s="117"/>
      <c r="P111" s="117"/>
      <c r="Q111" s="117"/>
      <c r="R111" s="117"/>
      <c r="S111" s="117"/>
      <c r="T111" s="117"/>
      <c r="U111" s="117"/>
      <c r="V111" s="117"/>
      <c r="W111" s="117"/>
    </row>
    <row r="112" spans="1:23" s="8" customFormat="1" ht="27" customHeight="1" x14ac:dyDescent="0.2">
      <c r="A112" s="1345"/>
      <c r="B112" s="1345"/>
      <c r="C112" s="1345"/>
      <c r="D112" s="1345"/>
      <c r="E112" s="1345"/>
      <c r="F112" s="1345"/>
      <c r="G112" s="1345"/>
      <c r="H112" s="1345"/>
      <c r="I112" s="1345"/>
      <c r="J112" s="117"/>
      <c r="K112" s="117"/>
      <c r="L112" s="117"/>
      <c r="M112" s="117"/>
      <c r="N112" s="117"/>
      <c r="O112" s="117"/>
      <c r="P112" s="117"/>
      <c r="Q112" s="117"/>
      <c r="R112" s="117"/>
      <c r="S112" s="117"/>
      <c r="T112" s="117"/>
      <c r="U112" s="117"/>
      <c r="V112" s="117"/>
      <c r="W112" s="117"/>
    </row>
    <row r="113" spans="1:23" x14ac:dyDescent="0.25">
      <c r="A113" s="8" t="s">
        <v>231</v>
      </c>
      <c r="J113" s="200"/>
      <c r="K113" s="200"/>
      <c r="L113" s="200"/>
      <c r="M113" s="200"/>
      <c r="N113" s="200"/>
      <c r="O113" s="200"/>
      <c r="P113" s="200"/>
      <c r="Q113" s="200"/>
      <c r="R113" s="200"/>
      <c r="S113" s="200"/>
      <c r="T113" s="200"/>
      <c r="U113" s="200"/>
      <c r="V113" s="200"/>
      <c r="W113" s="200"/>
    </row>
    <row r="114" spans="1:23" x14ac:dyDescent="0.25">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row>
    <row r="115" spans="1:23" x14ac:dyDescent="0.25">
      <c r="A115" s="24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row>
    <row r="116" spans="1:23" x14ac:dyDescent="0.25">
      <c r="A116" s="24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row>
    <row r="117" spans="1:23" x14ac:dyDescent="0.25">
      <c r="A117" s="200"/>
      <c r="B117" s="200"/>
      <c r="C117" s="200"/>
      <c r="D117" s="200"/>
      <c r="E117" s="200"/>
      <c r="F117" s="200"/>
      <c r="G117" s="200"/>
      <c r="H117" s="200"/>
      <c r="I117" s="200"/>
    </row>
    <row r="118" spans="1:23" x14ac:dyDescent="0.25">
      <c r="A118" s="200"/>
      <c r="B118" s="200"/>
      <c r="C118" s="200"/>
      <c r="D118" s="200"/>
      <c r="E118" s="200"/>
      <c r="F118" s="200"/>
      <c r="G118" s="200"/>
      <c r="H118" s="200"/>
      <c r="I118" s="200"/>
    </row>
    <row r="119" spans="1:23" x14ac:dyDescent="0.25">
      <c r="A119" s="200"/>
      <c r="B119" s="200"/>
      <c r="C119" s="200"/>
      <c r="D119" s="200"/>
      <c r="E119" s="200"/>
      <c r="F119" s="200"/>
      <c r="G119" s="200"/>
      <c r="H119" s="200"/>
      <c r="I119" s="200"/>
    </row>
    <row r="120" spans="1:23" x14ac:dyDescent="0.25">
      <c r="A120" s="200"/>
      <c r="B120" s="200"/>
      <c r="C120" s="200"/>
      <c r="D120" s="200"/>
      <c r="E120" s="200"/>
      <c r="F120" s="200"/>
      <c r="G120" s="200"/>
      <c r="H120" s="200"/>
      <c r="I120" s="200"/>
    </row>
    <row r="121" spans="1:23" x14ac:dyDescent="0.25">
      <c r="A121" s="200"/>
      <c r="B121" s="200"/>
      <c r="C121" s="200"/>
      <c r="D121" s="200"/>
      <c r="E121" s="200"/>
      <c r="F121" s="200"/>
      <c r="G121" s="200"/>
      <c r="H121" s="200"/>
      <c r="I121" s="200"/>
    </row>
    <row r="122" spans="1:23" x14ac:dyDescent="0.25">
      <c r="A122" s="200"/>
      <c r="B122" s="200"/>
      <c r="C122" s="200"/>
      <c r="D122" s="200"/>
      <c r="E122" s="200"/>
      <c r="F122" s="200"/>
      <c r="G122" s="200"/>
      <c r="H122" s="200"/>
      <c r="I122" s="200"/>
    </row>
    <row r="123" spans="1:23" x14ac:dyDescent="0.25">
      <c r="A123" s="200"/>
      <c r="B123" s="200"/>
      <c r="C123" s="200"/>
      <c r="D123" s="200"/>
      <c r="E123" s="200"/>
      <c r="F123" s="200"/>
      <c r="G123" s="200"/>
      <c r="H123" s="200"/>
      <c r="I123" s="200"/>
    </row>
    <row r="124" spans="1:23" x14ac:dyDescent="0.25">
      <c r="A124" s="200"/>
      <c r="B124" s="200"/>
      <c r="C124" s="200"/>
      <c r="D124" s="200"/>
      <c r="E124" s="200"/>
      <c r="F124" s="200"/>
      <c r="G124" s="200"/>
      <c r="H124" s="200"/>
      <c r="I124" s="200"/>
    </row>
    <row r="125" spans="1:23" x14ac:dyDescent="0.25">
      <c r="A125" s="200"/>
      <c r="B125" s="200"/>
      <c r="C125" s="200"/>
      <c r="D125" s="200"/>
      <c r="E125" s="200"/>
      <c r="F125" s="200"/>
      <c r="G125" s="200"/>
      <c r="H125" s="200"/>
      <c r="I125" s="200"/>
    </row>
    <row r="126" spans="1:23" x14ac:dyDescent="0.25">
      <c r="A126" s="200"/>
      <c r="B126" s="200"/>
      <c r="C126" s="200"/>
      <c r="D126" s="200"/>
      <c r="E126" s="200"/>
      <c r="F126" s="200"/>
      <c r="G126" s="200"/>
      <c r="H126" s="200"/>
      <c r="I126" s="200"/>
    </row>
    <row r="127" spans="1:23" x14ac:dyDescent="0.25">
      <c r="A127" s="200"/>
      <c r="B127" s="200"/>
      <c r="C127" s="200"/>
      <c r="D127" s="200"/>
      <c r="E127" s="200"/>
      <c r="F127" s="200"/>
      <c r="G127" s="200"/>
      <c r="H127" s="200"/>
      <c r="I127" s="200"/>
    </row>
    <row r="128" spans="1:23" x14ac:dyDescent="0.25">
      <c r="A128" s="200"/>
      <c r="B128" s="200"/>
      <c r="C128" s="200"/>
      <c r="D128" s="200"/>
      <c r="E128" s="200"/>
      <c r="F128" s="200"/>
      <c r="G128" s="200"/>
      <c r="H128" s="200"/>
      <c r="I128" s="200"/>
    </row>
    <row r="129" spans="1:9" x14ac:dyDescent="0.25">
      <c r="A129" s="200"/>
      <c r="B129" s="200"/>
      <c r="C129" s="200"/>
      <c r="D129" s="200"/>
      <c r="E129" s="200"/>
      <c r="F129" s="200"/>
      <c r="G129" s="200"/>
      <c r="H129" s="200"/>
      <c r="I129" s="200"/>
    </row>
    <row r="130" spans="1:9" x14ac:dyDescent="0.25">
      <c r="A130" s="200"/>
      <c r="B130" s="200"/>
      <c r="C130" s="200"/>
      <c r="D130" s="200"/>
      <c r="E130" s="200"/>
      <c r="F130" s="200"/>
      <c r="G130" s="200"/>
      <c r="H130" s="200"/>
      <c r="I130" s="200"/>
    </row>
    <row r="131" spans="1:9" x14ac:dyDescent="0.25">
      <c r="A131" s="200"/>
      <c r="B131" s="200"/>
      <c r="C131" s="200"/>
      <c r="D131" s="200"/>
      <c r="E131" s="200"/>
      <c r="F131" s="200"/>
      <c r="G131" s="200"/>
      <c r="H131" s="200"/>
      <c r="I131" s="200"/>
    </row>
    <row r="132" spans="1:9" x14ac:dyDescent="0.25">
      <c r="A132" s="200"/>
      <c r="B132" s="200"/>
      <c r="C132" s="200"/>
      <c r="D132" s="200"/>
      <c r="E132" s="200"/>
      <c r="F132" s="200"/>
      <c r="G132" s="200"/>
      <c r="H132" s="200"/>
      <c r="I132" s="200"/>
    </row>
    <row r="133" spans="1:9" x14ac:dyDescent="0.25">
      <c r="A133" s="200"/>
      <c r="B133" s="200"/>
      <c r="C133" s="200"/>
      <c r="D133" s="200"/>
      <c r="E133" s="200"/>
      <c r="F133" s="200"/>
      <c r="G133" s="200"/>
      <c r="H133" s="200"/>
      <c r="I133" s="200"/>
    </row>
    <row r="134" spans="1:9" x14ac:dyDescent="0.25">
      <c r="A134" s="200"/>
      <c r="B134" s="200"/>
      <c r="C134" s="200"/>
      <c r="D134" s="200"/>
      <c r="E134" s="200"/>
      <c r="F134" s="200"/>
      <c r="G134" s="200"/>
      <c r="H134" s="200"/>
      <c r="I134" s="200"/>
    </row>
    <row r="135" spans="1:9" x14ac:dyDescent="0.25">
      <c r="A135" s="200"/>
      <c r="B135" s="200"/>
      <c r="C135" s="200"/>
      <c r="D135" s="200"/>
      <c r="E135" s="200"/>
      <c r="F135" s="200"/>
      <c r="G135" s="200"/>
      <c r="H135" s="200"/>
      <c r="I135" s="200"/>
    </row>
    <row r="136" spans="1:9" x14ac:dyDescent="0.25">
      <c r="A136" s="200"/>
      <c r="B136" s="200"/>
      <c r="C136" s="200"/>
      <c r="D136" s="200"/>
      <c r="E136" s="200"/>
      <c r="F136" s="200"/>
      <c r="G136" s="200"/>
      <c r="H136" s="200"/>
      <c r="I136" s="200"/>
    </row>
    <row r="137" spans="1:9" x14ac:dyDescent="0.25">
      <c r="A137" s="200"/>
      <c r="B137" s="200"/>
      <c r="C137" s="200"/>
      <c r="D137" s="200"/>
      <c r="E137" s="200"/>
      <c r="F137" s="200"/>
      <c r="G137" s="200"/>
      <c r="H137" s="200"/>
      <c r="I137" s="200"/>
    </row>
    <row r="138" spans="1:9" x14ac:dyDescent="0.25">
      <c r="A138" s="200"/>
      <c r="B138" s="200"/>
      <c r="C138" s="200"/>
      <c r="D138" s="200"/>
      <c r="E138" s="200"/>
      <c r="F138" s="200"/>
      <c r="G138" s="200"/>
      <c r="H138" s="200"/>
      <c r="I138" s="200"/>
    </row>
    <row r="139" spans="1:9" x14ac:dyDescent="0.25">
      <c r="A139" s="200"/>
      <c r="B139" s="200"/>
      <c r="C139" s="200"/>
      <c r="D139" s="200"/>
      <c r="E139" s="200"/>
      <c r="F139" s="200"/>
      <c r="G139" s="200"/>
      <c r="H139" s="200"/>
      <c r="I139" s="200"/>
    </row>
    <row r="140" spans="1:9" x14ac:dyDescent="0.25">
      <c r="A140" s="200"/>
      <c r="B140" s="200"/>
      <c r="C140" s="200"/>
      <c r="D140" s="200"/>
      <c r="E140" s="200"/>
      <c r="F140" s="200"/>
      <c r="G140" s="200"/>
      <c r="H140" s="200"/>
      <c r="I140" s="200"/>
    </row>
    <row r="141" spans="1:9" x14ac:dyDescent="0.25">
      <c r="A141" s="200"/>
      <c r="B141" s="200"/>
      <c r="C141" s="200"/>
      <c r="D141" s="200"/>
      <c r="E141" s="200"/>
      <c r="F141" s="200"/>
      <c r="G141" s="200"/>
      <c r="H141" s="200"/>
      <c r="I141" s="200"/>
    </row>
    <row r="142" spans="1:9" x14ac:dyDescent="0.25">
      <c r="A142" s="200"/>
      <c r="B142" s="200"/>
      <c r="C142" s="200"/>
      <c r="D142" s="200"/>
      <c r="E142" s="200"/>
      <c r="F142" s="200"/>
      <c r="G142" s="200"/>
      <c r="H142" s="200"/>
      <c r="I142" s="200"/>
    </row>
    <row r="143" spans="1:9" x14ac:dyDescent="0.25">
      <c r="A143" s="200"/>
      <c r="B143" s="200"/>
      <c r="C143" s="200"/>
      <c r="D143" s="200"/>
      <c r="E143" s="200"/>
      <c r="F143" s="200"/>
      <c r="G143" s="200"/>
      <c r="H143" s="200"/>
      <c r="I143" s="200"/>
    </row>
    <row r="144" spans="1:9" x14ac:dyDescent="0.25">
      <c r="A144" s="200"/>
      <c r="B144" s="200"/>
      <c r="C144" s="200"/>
      <c r="D144" s="200"/>
      <c r="E144" s="200"/>
      <c r="F144" s="200"/>
      <c r="G144" s="200"/>
      <c r="H144" s="200"/>
      <c r="I144" s="200"/>
    </row>
    <row r="145" spans="1:9" x14ac:dyDescent="0.25">
      <c r="A145" s="200"/>
      <c r="B145" s="200"/>
      <c r="C145" s="200"/>
      <c r="D145" s="200"/>
      <c r="E145" s="200"/>
      <c r="F145" s="200"/>
      <c r="G145" s="200"/>
      <c r="H145" s="200"/>
      <c r="I145" s="200"/>
    </row>
    <row r="146" spans="1:9" x14ac:dyDescent="0.25">
      <c r="A146" s="200"/>
      <c r="B146" s="200"/>
      <c r="C146" s="200"/>
      <c r="D146" s="200"/>
      <c r="E146" s="200"/>
      <c r="F146" s="200"/>
      <c r="G146" s="200"/>
      <c r="H146" s="200"/>
      <c r="I146" s="200"/>
    </row>
    <row r="147" spans="1:9" x14ac:dyDescent="0.25">
      <c r="A147" s="200"/>
      <c r="B147" s="200"/>
      <c r="C147" s="200"/>
      <c r="D147" s="200"/>
      <c r="E147" s="200"/>
      <c r="F147" s="200"/>
      <c r="G147" s="200"/>
      <c r="H147" s="200"/>
      <c r="I147" s="200"/>
    </row>
    <row r="148" spans="1:9" x14ac:dyDescent="0.25">
      <c r="A148" s="200"/>
      <c r="B148" s="200"/>
      <c r="C148" s="200"/>
      <c r="D148" s="200"/>
      <c r="E148" s="200"/>
      <c r="F148" s="200"/>
      <c r="G148" s="200"/>
      <c r="H148" s="200"/>
      <c r="I148" s="200"/>
    </row>
    <row r="149" spans="1:9" x14ac:dyDescent="0.25">
      <c r="A149" s="200"/>
      <c r="B149" s="200"/>
      <c r="C149" s="200"/>
      <c r="D149" s="200"/>
      <c r="E149" s="200"/>
      <c r="F149" s="200"/>
      <c r="G149" s="200"/>
      <c r="H149" s="200"/>
      <c r="I149" s="200"/>
    </row>
    <row r="150" spans="1:9" x14ac:dyDescent="0.25">
      <c r="A150" s="200"/>
      <c r="B150" s="200"/>
      <c r="C150" s="200"/>
      <c r="D150" s="200"/>
      <c r="E150" s="200"/>
      <c r="F150" s="200"/>
      <c r="G150" s="200"/>
      <c r="H150" s="200"/>
      <c r="I150" s="200"/>
    </row>
    <row r="151" spans="1:9" x14ac:dyDescent="0.25">
      <c r="A151" s="200"/>
      <c r="B151" s="200"/>
      <c r="C151" s="200"/>
      <c r="D151" s="200"/>
      <c r="E151" s="200"/>
      <c r="F151" s="200"/>
      <c r="G151" s="200"/>
      <c r="H151" s="200"/>
      <c r="I151" s="200"/>
    </row>
    <row r="152" spans="1:9" x14ac:dyDescent="0.25">
      <c r="A152" s="200"/>
      <c r="B152" s="200"/>
      <c r="C152" s="200"/>
      <c r="D152" s="200"/>
      <c r="E152" s="200"/>
      <c r="F152" s="200"/>
      <c r="G152" s="200"/>
      <c r="H152" s="200"/>
      <c r="I152" s="200"/>
    </row>
    <row r="153" spans="1:9" x14ac:dyDescent="0.25">
      <c r="A153" s="200"/>
      <c r="B153" s="200"/>
      <c r="C153" s="200"/>
      <c r="D153" s="200"/>
      <c r="E153" s="200"/>
      <c r="F153" s="200"/>
      <c r="G153" s="200"/>
      <c r="H153" s="200"/>
      <c r="I153" s="200"/>
    </row>
    <row r="154" spans="1:9" x14ac:dyDescent="0.25">
      <c r="A154" s="200"/>
      <c r="B154" s="200"/>
      <c r="C154" s="200"/>
      <c r="D154" s="200"/>
      <c r="E154" s="200"/>
      <c r="F154" s="200"/>
      <c r="G154" s="200"/>
      <c r="H154" s="200"/>
      <c r="I154" s="200"/>
    </row>
    <row r="155" spans="1:9" x14ac:dyDescent="0.25">
      <c r="A155" s="200"/>
      <c r="B155" s="200"/>
      <c r="C155" s="200"/>
      <c r="D155" s="200"/>
      <c r="E155" s="200"/>
      <c r="F155" s="200"/>
      <c r="G155" s="200"/>
      <c r="H155" s="200"/>
      <c r="I155" s="200"/>
    </row>
    <row r="156" spans="1:9" x14ac:dyDescent="0.25">
      <c r="A156" s="200"/>
      <c r="B156" s="200"/>
      <c r="C156" s="200"/>
      <c r="D156" s="200"/>
      <c r="E156" s="200"/>
      <c r="F156" s="200"/>
      <c r="G156" s="200"/>
      <c r="H156" s="200"/>
      <c r="I156" s="200"/>
    </row>
    <row r="157" spans="1:9" x14ac:dyDescent="0.25">
      <c r="A157" s="200"/>
      <c r="B157" s="200"/>
      <c r="C157" s="200"/>
      <c r="D157" s="200"/>
      <c r="E157" s="200"/>
      <c r="F157" s="200"/>
      <c r="G157" s="200"/>
      <c r="H157" s="200"/>
      <c r="I157" s="200"/>
    </row>
    <row r="158" spans="1:9" x14ac:dyDescent="0.25">
      <c r="A158" s="200"/>
      <c r="B158" s="200"/>
      <c r="C158" s="200"/>
      <c r="D158" s="200"/>
      <c r="E158" s="200"/>
      <c r="F158" s="200"/>
      <c r="G158" s="200"/>
      <c r="H158" s="200"/>
      <c r="I158" s="200"/>
    </row>
    <row r="159" spans="1:9" x14ac:dyDescent="0.25">
      <c r="A159" s="200"/>
      <c r="B159" s="200"/>
      <c r="C159" s="200"/>
      <c r="D159" s="200"/>
      <c r="E159" s="200"/>
      <c r="F159" s="200"/>
      <c r="G159" s="200"/>
      <c r="H159" s="200"/>
      <c r="I159" s="200"/>
    </row>
    <row r="160" spans="1:9" x14ac:dyDescent="0.25">
      <c r="A160" s="200"/>
      <c r="B160" s="200"/>
      <c r="C160" s="200"/>
      <c r="D160" s="200"/>
      <c r="E160" s="200"/>
      <c r="F160" s="200"/>
      <c r="G160" s="200"/>
      <c r="H160" s="200"/>
      <c r="I160" s="200"/>
    </row>
    <row r="161" spans="1:9" x14ac:dyDescent="0.25">
      <c r="A161" s="200"/>
      <c r="B161" s="200"/>
      <c r="C161" s="200"/>
      <c r="D161" s="200"/>
      <c r="E161" s="200"/>
      <c r="F161" s="200"/>
      <c r="G161" s="200"/>
      <c r="H161" s="200"/>
      <c r="I161" s="200"/>
    </row>
    <row r="162" spans="1:9" x14ac:dyDescent="0.25">
      <c r="A162" s="200"/>
      <c r="B162" s="200"/>
      <c r="C162" s="200"/>
      <c r="D162" s="200"/>
      <c r="E162" s="200"/>
      <c r="F162" s="200"/>
      <c r="G162" s="200"/>
      <c r="H162" s="200"/>
      <c r="I162" s="200"/>
    </row>
    <row r="163" spans="1:9" x14ac:dyDescent="0.25">
      <c r="A163" s="200"/>
      <c r="B163" s="200"/>
      <c r="C163" s="200"/>
      <c r="D163" s="200"/>
      <c r="E163" s="200"/>
      <c r="F163" s="200"/>
      <c r="G163" s="200"/>
      <c r="H163" s="200"/>
      <c r="I163" s="200"/>
    </row>
    <row r="164" spans="1:9" x14ac:dyDescent="0.25">
      <c r="A164" s="200"/>
      <c r="B164" s="200"/>
      <c r="C164" s="200"/>
      <c r="D164" s="200"/>
      <c r="E164" s="200"/>
      <c r="F164" s="200"/>
      <c r="G164" s="200"/>
      <c r="H164" s="200"/>
      <c r="I164" s="200"/>
    </row>
    <row r="165" spans="1:9" x14ac:dyDescent="0.25">
      <c r="A165" s="200"/>
      <c r="B165" s="200"/>
      <c r="C165" s="200"/>
      <c r="D165" s="200"/>
      <c r="E165" s="200"/>
      <c r="F165" s="200"/>
      <c r="G165" s="200"/>
      <c r="H165" s="200"/>
      <c r="I165" s="200"/>
    </row>
    <row r="166" spans="1:9" x14ac:dyDescent="0.25">
      <c r="A166" s="200"/>
      <c r="B166" s="200"/>
      <c r="C166" s="200"/>
      <c r="D166" s="200"/>
      <c r="E166" s="200"/>
      <c r="F166" s="200"/>
      <c r="G166" s="200"/>
      <c r="H166" s="200"/>
      <c r="I166" s="200"/>
    </row>
    <row r="167" spans="1:9" x14ac:dyDescent="0.25">
      <c r="A167" s="200"/>
      <c r="B167" s="200"/>
      <c r="C167" s="200"/>
      <c r="D167" s="200"/>
      <c r="E167" s="200"/>
      <c r="F167" s="200"/>
      <c r="G167" s="200"/>
      <c r="H167" s="200"/>
      <c r="I167" s="200"/>
    </row>
    <row r="168" spans="1:9" x14ac:dyDescent="0.25">
      <c r="A168" s="200"/>
      <c r="B168" s="200"/>
      <c r="C168" s="200"/>
      <c r="D168" s="200"/>
      <c r="E168" s="200"/>
      <c r="F168" s="200"/>
      <c r="G168" s="200"/>
      <c r="H168" s="200"/>
      <c r="I168" s="200"/>
    </row>
    <row r="169" spans="1:9" x14ac:dyDescent="0.25">
      <c r="A169" s="200"/>
      <c r="B169" s="200"/>
      <c r="C169" s="200"/>
      <c r="D169" s="200"/>
      <c r="E169" s="200"/>
      <c r="F169" s="200"/>
      <c r="G169" s="200"/>
      <c r="H169" s="200"/>
      <c r="I169" s="200"/>
    </row>
    <row r="170" spans="1:9" x14ac:dyDescent="0.25">
      <c r="A170" s="200"/>
      <c r="B170" s="200"/>
      <c r="C170" s="200"/>
      <c r="D170" s="200"/>
      <c r="E170" s="200"/>
      <c r="F170" s="200"/>
      <c r="G170" s="200"/>
      <c r="H170" s="200"/>
      <c r="I170" s="200"/>
    </row>
    <row r="171" spans="1:9" x14ac:dyDescent="0.25">
      <c r="A171" s="200"/>
      <c r="B171" s="200"/>
      <c r="C171" s="200"/>
      <c r="D171" s="200"/>
      <c r="E171" s="200"/>
      <c r="F171" s="200"/>
      <c r="G171" s="200"/>
      <c r="H171" s="200"/>
      <c r="I171" s="200"/>
    </row>
    <row r="172" spans="1:9" x14ac:dyDescent="0.25">
      <c r="A172" s="200"/>
      <c r="B172" s="200"/>
      <c r="C172" s="200"/>
      <c r="D172" s="200"/>
      <c r="E172" s="200"/>
      <c r="F172" s="200"/>
      <c r="G172" s="200"/>
      <c r="H172" s="200"/>
      <c r="I172" s="200"/>
    </row>
    <row r="173" spans="1:9" x14ac:dyDescent="0.25">
      <c r="A173" s="200"/>
      <c r="B173" s="200"/>
      <c r="C173" s="200"/>
      <c r="D173" s="200"/>
      <c r="E173" s="200"/>
      <c r="F173" s="200"/>
      <c r="G173" s="200"/>
      <c r="H173" s="200"/>
      <c r="I173" s="200"/>
    </row>
    <row r="174" spans="1:9" x14ac:dyDescent="0.25">
      <c r="A174" s="200"/>
      <c r="B174" s="200"/>
      <c r="C174" s="200"/>
      <c r="D174" s="200"/>
      <c r="E174" s="200"/>
      <c r="F174" s="200"/>
      <c r="G174" s="200"/>
      <c r="H174" s="200"/>
      <c r="I174" s="200"/>
    </row>
    <row r="175" spans="1:9" x14ac:dyDescent="0.25">
      <c r="A175" s="200"/>
      <c r="B175" s="200"/>
      <c r="C175" s="200"/>
      <c r="D175" s="200"/>
      <c r="E175" s="200"/>
      <c r="F175" s="200"/>
      <c r="G175" s="200"/>
      <c r="H175" s="200"/>
      <c r="I175" s="200"/>
    </row>
    <row r="176" spans="1:9" x14ac:dyDescent="0.25">
      <c r="A176" s="200"/>
      <c r="B176" s="200"/>
      <c r="C176" s="200"/>
      <c r="D176" s="200"/>
      <c r="E176" s="200"/>
      <c r="F176" s="200"/>
      <c r="G176" s="200"/>
      <c r="H176" s="200"/>
      <c r="I176" s="200"/>
    </row>
    <row r="177" spans="1:9" x14ac:dyDescent="0.25">
      <c r="A177" s="200"/>
      <c r="B177" s="200"/>
      <c r="C177" s="200"/>
      <c r="D177" s="200"/>
      <c r="E177" s="200"/>
      <c r="F177" s="200"/>
      <c r="G177" s="200"/>
      <c r="H177" s="200"/>
      <c r="I177" s="200"/>
    </row>
    <row r="178" spans="1:9" x14ac:dyDescent="0.25">
      <c r="A178" s="200"/>
      <c r="B178" s="200"/>
      <c r="C178" s="200"/>
      <c r="D178" s="200"/>
      <c r="E178" s="200"/>
      <c r="F178" s="200"/>
      <c r="G178" s="200"/>
      <c r="H178" s="200"/>
      <c r="I178" s="200"/>
    </row>
    <row r="179" spans="1:9" x14ac:dyDescent="0.25">
      <c r="A179" s="200"/>
      <c r="B179" s="200"/>
      <c r="C179" s="200"/>
      <c r="D179" s="200"/>
      <c r="E179" s="200"/>
      <c r="F179" s="200"/>
      <c r="G179" s="200"/>
      <c r="H179" s="200"/>
      <c r="I179" s="200"/>
    </row>
    <row r="180" spans="1:9" x14ac:dyDescent="0.25">
      <c r="A180" s="200"/>
      <c r="B180" s="200"/>
      <c r="C180" s="200"/>
      <c r="D180" s="200"/>
      <c r="E180" s="200"/>
      <c r="F180" s="200"/>
      <c r="G180" s="200"/>
      <c r="H180" s="200"/>
      <c r="I180" s="200"/>
    </row>
    <row r="181" spans="1:9" x14ac:dyDescent="0.25">
      <c r="A181" s="200"/>
      <c r="B181" s="200"/>
      <c r="C181" s="200"/>
      <c r="D181" s="200"/>
      <c r="E181" s="200"/>
      <c r="F181" s="200"/>
      <c r="G181" s="200"/>
      <c r="H181" s="200"/>
      <c r="I181" s="200"/>
    </row>
    <row r="182" spans="1:9" x14ac:dyDescent="0.25">
      <c r="A182" s="200"/>
      <c r="B182" s="200"/>
      <c r="C182" s="200"/>
      <c r="D182" s="200"/>
      <c r="E182" s="200"/>
      <c r="F182" s="200"/>
      <c r="G182" s="200"/>
      <c r="H182" s="200"/>
      <c r="I182" s="200"/>
    </row>
    <row r="183" spans="1:9" x14ac:dyDescent="0.25">
      <c r="A183" s="200"/>
      <c r="B183" s="200"/>
      <c r="C183" s="200"/>
      <c r="D183" s="200"/>
      <c r="E183" s="200"/>
      <c r="F183" s="200"/>
      <c r="G183" s="200"/>
      <c r="H183" s="200"/>
      <c r="I183" s="200"/>
    </row>
    <row r="184" spans="1:9" x14ac:dyDescent="0.25">
      <c r="A184" s="200"/>
      <c r="B184" s="200"/>
      <c r="C184" s="200"/>
      <c r="D184" s="200"/>
      <c r="E184" s="200"/>
      <c r="F184" s="200"/>
      <c r="G184" s="200"/>
      <c r="H184" s="200"/>
      <c r="I184" s="200"/>
    </row>
    <row r="185" spans="1:9" x14ac:dyDescent="0.25">
      <c r="A185" s="200"/>
      <c r="B185" s="200"/>
      <c r="C185" s="200"/>
      <c r="D185" s="200"/>
      <c r="E185" s="200"/>
      <c r="F185" s="200"/>
      <c r="G185" s="200"/>
      <c r="H185" s="200"/>
      <c r="I185" s="200"/>
    </row>
    <row r="186" spans="1:9" x14ac:dyDescent="0.25">
      <c r="A186" s="200"/>
      <c r="B186" s="200"/>
      <c r="C186" s="200"/>
      <c r="D186" s="200"/>
      <c r="E186" s="200"/>
      <c r="F186" s="200"/>
      <c r="G186" s="200"/>
      <c r="H186" s="200"/>
      <c r="I186" s="200"/>
    </row>
    <row r="187" spans="1:9" x14ac:dyDescent="0.25">
      <c r="A187" s="200"/>
      <c r="B187" s="200"/>
      <c r="C187" s="200"/>
      <c r="D187" s="200"/>
      <c r="E187" s="200"/>
      <c r="F187" s="200"/>
      <c r="G187" s="200"/>
      <c r="H187" s="200"/>
      <c r="I187" s="200"/>
    </row>
    <row r="188" spans="1:9" x14ac:dyDescent="0.25">
      <c r="A188" s="200"/>
      <c r="B188" s="200"/>
      <c r="C188" s="200"/>
      <c r="D188" s="200"/>
      <c r="E188" s="200"/>
      <c r="F188" s="200"/>
      <c r="G188" s="200"/>
      <c r="H188" s="200"/>
      <c r="I188" s="200"/>
    </row>
    <row r="189" spans="1:9" x14ac:dyDescent="0.25">
      <c r="A189" s="200"/>
      <c r="B189" s="200"/>
      <c r="C189" s="200"/>
      <c r="D189" s="200"/>
      <c r="E189" s="200"/>
      <c r="F189" s="200"/>
      <c r="G189" s="200"/>
      <c r="H189" s="200"/>
      <c r="I189" s="200"/>
    </row>
    <row r="190" spans="1:9" x14ac:dyDescent="0.25">
      <c r="A190" s="200"/>
      <c r="B190" s="200"/>
      <c r="C190" s="200"/>
      <c r="D190" s="200"/>
      <c r="E190" s="200"/>
      <c r="F190" s="200"/>
      <c r="G190" s="200"/>
      <c r="H190" s="200"/>
      <c r="I190" s="200"/>
    </row>
    <row r="191" spans="1:9" x14ac:dyDescent="0.25">
      <c r="A191" s="200"/>
      <c r="B191" s="200"/>
      <c r="C191" s="200"/>
      <c r="D191" s="200"/>
      <c r="E191" s="200"/>
      <c r="F191" s="200"/>
      <c r="G191" s="200"/>
      <c r="H191" s="200"/>
      <c r="I191" s="200"/>
    </row>
    <row r="192" spans="1:9" x14ac:dyDescent="0.25">
      <c r="A192" s="200"/>
      <c r="B192" s="200"/>
      <c r="C192" s="200"/>
      <c r="D192" s="200"/>
      <c r="E192" s="200"/>
      <c r="F192" s="200"/>
      <c r="G192" s="200"/>
      <c r="H192" s="200"/>
      <c r="I192" s="200"/>
    </row>
    <row r="193" spans="1:9" x14ac:dyDescent="0.25">
      <c r="A193" s="200"/>
      <c r="B193" s="200"/>
      <c r="C193" s="200"/>
      <c r="D193" s="200"/>
      <c r="E193" s="200"/>
      <c r="F193" s="200"/>
      <c r="G193" s="200"/>
      <c r="H193" s="200"/>
      <c r="I193" s="200"/>
    </row>
    <row r="194" spans="1:9" x14ac:dyDescent="0.25">
      <c r="A194" s="200"/>
      <c r="B194" s="200"/>
      <c r="C194" s="200"/>
      <c r="D194" s="200"/>
      <c r="E194" s="200"/>
      <c r="F194" s="200"/>
      <c r="G194" s="200"/>
      <c r="H194" s="200"/>
      <c r="I194" s="200"/>
    </row>
    <row r="195" spans="1:9" x14ac:dyDescent="0.25">
      <c r="A195" s="200"/>
      <c r="B195" s="200"/>
      <c r="C195" s="200"/>
      <c r="D195" s="200"/>
      <c r="E195" s="200"/>
      <c r="F195" s="200"/>
      <c r="G195" s="200"/>
      <c r="H195" s="200"/>
      <c r="I195" s="200"/>
    </row>
    <row r="196" spans="1:9" x14ac:dyDescent="0.25">
      <c r="A196" s="200"/>
      <c r="B196" s="200"/>
      <c r="C196" s="200"/>
      <c r="D196" s="200"/>
      <c r="E196" s="200"/>
      <c r="F196" s="200"/>
      <c r="G196" s="200"/>
      <c r="H196" s="200"/>
      <c r="I196" s="200"/>
    </row>
    <row r="197" spans="1:9" x14ac:dyDescent="0.25">
      <c r="A197" s="200"/>
      <c r="B197" s="200"/>
      <c r="C197" s="200"/>
      <c r="D197" s="200"/>
      <c r="E197" s="200"/>
      <c r="F197" s="200"/>
      <c r="G197" s="200"/>
      <c r="H197" s="200"/>
      <c r="I197" s="200"/>
    </row>
    <row r="198" spans="1:9" x14ac:dyDescent="0.25">
      <c r="A198" s="200"/>
      <c r="B198" s="200"/>
      <c r="C198" s="200"/>
      <c r="D198" s="200"/>
      <c r="E198" s="200"/>
      <c r="F198" s="200"/>
      <c r="G198" s="200"/>
      <c r="H198" s="200"/>
      <c r="I198" s="200"/>
    </row>
    <row r="199" spans="1:9" x14ac:dyDescent="0.25">
      <c r="A199" s="200"/>
      <c r="B199" s="200"/>
      <c r="C199" s="200"/>
      <c r="D199" s="200"/>
      <c r="E199" s="200"/>
      <c r="F199" s="200"/>
      <c r="G199" s="200"/>
      <c r="H199" s="200"/>
      <c r="I199" s="200"/>
    </row>
    <row r="200" spans="1:9" x14ac:dyDescent="0.25">
      <c r="A200" s="200"/>
      <c r="B200" s="200"/>
      <c r="C200" s="200"/>
      <c r="D200" s="200"/>
      <c r="E200" s="200"/>
      <c r="F200" s="200"/>
      <c r="G200" s="200"/>
      <c r="H200" s="200"/>
      <c r="I200" s="200"/>
    </row>
    <row r="201" spans="1:9" x14ac:dyDescent="0.25">
      <c r="A201" s="200"/>
      <c r="B201" s="200"/>
      <c r="C201" s="200"/>
      <c r="D201" s="200"/>
      <c r="E201" s="200"/>
      <c r="F201" s="200"/>
      <c r="G201" s="200"/>
      <c r="H201" s="200"/>
      <c r="I201" s="200"/>
    </row>
    <row r="202" spans="1:9" x14ac:dyDescent="0.25">
      <c r="A202" s="200"/>
      <c r="B202" s="200"/>
      <c r="C202" s="200"/>
      <c r="D202" s="200"/>
      <c r="E202" s="200"/>
      <c r="F202" s="200"/>
      <c r="G202" s="200"/>
      <c r="H202" s="200"/>
      <c r="I202" s="200"/>
    </row>
    <row r="203" spans="1:9" x14ac:dyDescent="0.25">
      <c r="A203" s="200"/>
      <c r="B203" s="200"/>
      <c r="C203" s="200"/>
      <c r="D203" s="200"/>
      <c r="E203" s="200"/>
      <c r="F203" s="200"/>
      <c r="G203" s="200"/>
      <c r="H203" s="200"/>
      <c r="I203" s="200"/>
    </row>
    <row r="204" spans="1:9" x14ac:dyDescent="0.25">
      <c r="A204" s="200"/>
      <c r="B204" s="200"/>
      <c r="C204" s="200"/>
      <c r="D204" s="200"/>
      <c r="E204" s="200"/>
      <c r="F204" s="200"/>
      <c r="G204" s="200"/>
      <c r="H204" s="200"/>
      <c r="I204" s="200"/>
    </row>
    <row r="205" spans="1:9" x14ac:dyDescent="0.25">
      <c r="A205" s="200"/>
      <c r="B205" s="200"/>
      <c r="C205" s="200"/>
      <c r="D205" s="200"/>
      <c r="E205" s="200"/>
      <c r="F205" s="200"/>
      <c r="G205" s="200"/>
      <c r="H205" s="200"/>
      <c r="I205" s="200"/>
    </row>
    <row r="206" spans="1:9" x14ac:dyDescent="0.25">
      <c r="A206" s="200"/>
      <c r="B206" s="200"/>
      <c r="C206" s="200"/>
      <c r="D206" s="200"/>
      <c r="E206" s="200"/>
      <c r="F206" s="200"/>
      <c r="G206" s="200"/>
      <c r="H206" s="200"/>
      <c r="I206" s="200"/>
    </row>
    <row r="207" spans="1:9" x14ac:dyDescent="0.25">
      <c r="A207" s="200"/>
      <c r="B207" s="200"/>
      <c r="C207" s="200"/>
      <c r="D207" s="200"/>
      <c r="E207" s="200"/>
      <c r="F207" s="200"/>
      <c r="G207" s="200"/>
      <c r="H207" s="200"/>
      <c r="I207" s="200"/>
    </row>
    <row r="208" spans="1:9" x14ac:dyDescent="0.25">
      <c r="A208" s="200"/>
      <c r="B208" s="200"/>
      <c r="C208" s="200"/>
      <c r="D208" s="200"/>
      <c r="E208" s="200"/>
      <c r="F208" s="200"/>
      <c r="G208" s="200"/>
      <c r="H208" s="200"/>
      <c r="I208" s="200"/>
    </row>
    <row r="209" spans="1:9" x14ac:dyDescent="0.25">
      <c r="A209" s="200"/>
      <c r="B209" s="200"/>
      <c r="C209" s="200"/>
      <c r="D209" s="200"/>
      <c r="E209" s="200"/>
      <c r="F209" s="200"/>
      <c r="G209" s="200"/>
      <c r="H209" s="200"/>
      <c r="I209" s="200"/>
    </row>
    <row r="210" spans="1:9" x14ac:dyDescent="0.25">
      <c r="A210" s="200"/>
      <c r="B210" s="200"/>
      <c r="C210" s="200"/>
      <c r="D210" s="200"/>
      <c r="E210" s="200"/>
      <c r="F210" s="200"/>
      <c r="G210" s="200"/>
      <c r="H210" s="200"/>
      <c r="I210" s="200"/>
    </row>
    <row r="211" spans="1:9" x14ac:dyDescent="0.25">
      <c r="A211" s="200"/>
      <c r="B211" s="200"/>
      <c r="C211" s="200"/>
      <c r="D211" s="200"/>
      <c r="E211" s="200"/>
      <c r="F211" s="200"/>
      <c r="G211" s="200"/>
      <c r="H211" s="200"/>
      <c r="I211" s="200"/>
    </row>
    <row r="212" spans="1:9" x14ac:dyDescent="0.25">
      <c r="A212" s="200"/>
      <c r="B212" s="200"/>
      <c r="C212" s="200"/>
      <c r="D212" s="200"/>
      <c r="E212" s="200"/>
      <c r="F212" s="200"/>
      <c r="G212" s="200"/>
      <c r="H212" s="200"/>
      <c r="I212" s="200"/>
    </row>
    <row r="213" spans="1:9" x14ac:dyDescent="0.25">
      <c r="A213" s="200"/>
      <c r="B213" s="200"/>
      <c r="C213" s="200"/>
      <c r="D213" s="200"/>
      <c r="E213" s="200"/>
      <c r="F213" s="200"/>
      <c r="G213" s="200"/>
      <c r="H213" s="200"/>
      <c r="I213" s="200"/>
    </row>
    <row r="214" spans="1:9" x14ac:dyDescent="0.25">
      <c r="A214" s="200"/>
      <c r="B214" s="200"/>
      <c r="C214" s="200"/>
      <c r="D214" s="200"/>
      <c r="E214" s="200"/>
      <c r="F214" s="200"/>
      <c r="G214" s="200"/>
      <c r="H214" s="200"/>
      <c r="I214" s="200"/>
    </row>
    <row r="215" spans="1:9" x14ac:dyDescent="0.25">
      <c r="A215" s="200"/>
      <c r="B215" s="200"/>
      <c r="C215" s="200"/>
      <c r="D215" s="200"/>
      <c r="E215" s="200"/>
      <c r="F215" s="200"/>
      <c r="G215" s="200"/>
      <c r="H215" s="200"/>
      <c r="I215" s="200"/>
    </row>
    <row r="216" spans="1:9" x14ac:dyDescent="0.25">
      <c r="A216" s="200"/>
      <c r="B216" s="200"/>
      <c r="C216" s="200"/>
      <c r="D216" s="200"/>
      <c r="E216" s="200"/>
      <c r="F216" s="200"/>
      <c r="G216" s="200"/>
      <c r="H216" s="200"/>
      <c r="I216" s="200"/>
    </row>
    <row r="217" spans="1:9" x14ac:dyDescent="0.25">
      <c r="A217" s="200"/>
      <c r="B217" s="200"/>
      <c r="C217" s="200"/>
      <c r="D217" s="200"/>
      <c r="E217" s="200"/>
      <c r="F217" s="200"/>
      <c r="G217" s="200"/>
      <c r="H217" s="200"/>
      <c r="I217" s="200"/>
    </row>
    <row r="218" spans="1:9" x14ac:dyDescent="0.25">
      <c r="A218" s="200"/>
      <c r="B218" s="200"/>
      <c r="C218" s="200"/>
      <c r="D218" s="200"/>
      <c r="E218" s="200"/>
      <c r="F218" s="200"/>
      <c r="G218" s="200"/>
      <c r="H218" s="200"/>
      <c r="I218" s="200"/>
    </row>
    <row r="219" spans="1:9" x14ac:dyDescent="0.25">
      <c r="A219" s="200"/>
      <c r="B219" s="200"/>
      <c r="C219" s="200"/>
      <c r="D219" s="200"/>
      <c r="E219" s="200"/>
      <c r="F219" s="200"/>
      <c r="G219" s="200"/>
      <c r="H219" s="200"/>
      <c r="I219" s="200"/>
    </row>
    <row r="220" spans="1:9" x14ac:dyDescent="0.25">
      <c r="A220" s="200"/>
      <c r="B220" s="200"/>
      <c r="C220" s="200"/>
      <c r="D220" s="200"/>
      <c r="E220" s="200"/>
      <c r="F220" s="200"/>
      <c r="G220" s="200"/>
      <c r="H220" s="200"/>
      <c r="I220" s="200"/>
    </row>
    <row r="221" spans="1:9" x14ac:dyDescent="0.25">
      <c r="A221" s="200"/>
      <c r="B221" s="200"/>
      <c r="C221" s="200"/>
      <c r="D221" s="200"/>
      <c r="E221" s="200"/>
      <c r="F221" s="200"/>
      <c r="G221" s="200"/>
      <c r="H221" s="200"/>
      <c r="I221" s="200"/>
    </row>
    <row r="222" spans="1:9" x14ac:dyDescent="0.25">
      <c r="A222" s="200"/>
      <c r="B222" s="200"/>
      <c r="C222" s="200"/>
      <c r="D222" s="200"/>
      <c r="E222" s="200"/>
      <c r="F222" s="200"/>
      <c r="G222" s="200"/>
      <c r="H222" s="200"/>
      <c r="I222" s="200"/>
    </row>
    <row r="223" spans="1:9" x14ac:dyDescent="0.25">
      <c r="A223" s="200"/>
      <c r="B223" s="200"/>
      <c r="C223" s="200"/>
      <c r="D223" s="200"/>
      <c r="E223" s="200"/>
      <c r="F223" s="200"/>
      <c r="G223" s="200"/>
      <c r="H223" s="200"/>
      <c r="I223" s="200"/>
    </row>
    <row r="224" spans="1:9" x14ac:dyDescent="0.25">
      <c r="A224" s="200"/>
      <c r="B224" s="200"/>
      <c r="C224" s="200"/>
      <c r="D224" s="200"/>
      <c r="E224" s="200"/>
      <c r="F224" s="200"/>
      <c r="G224" s="200"/>
      <c r="H224" s="200"/>
      <c r="I224" s="200"/>
    </row>
    <row r="225" spans="1:9" x14ac:dyDescent="0.25">
      <c r="A225" s="200"/>
      <c r="B225" s="200"/>
      <c r="C225" s="200"/>
      <c r="D225" s="200"/>
      <c r="E225" s="200"/>
      <c r="F225" s="200"/>
      <c r="G225" s="200"/>
      <c r="H225" s="200"/>
      <c r="I225" s="200"/>
    </row>
    <row r="226" spans="1:9" x14ac:dyDescent="0.25">
      <c r="A226" s="200"/>
      <c r="B226" s="200"/>
      <c r="C226" s="200"/>
      <c r="D226" s="200"/>
      <c r="E226" s="200"/>
      <c r="F226" s="200"/>
      <c r="G226" s="200"/>
      <c r="H226" s="200"/>
      <c r="I226" s="200"/>
    </row>
    <row r="227" spans="1:9" x14ac:dyDescent="0.25">
      <c r="A227" s="200"/>
      <c r="B227" s="200"/>
      <c r="C227" s="200"/>
      <c r="D227" s="200"/>
      <c r="E227" s="200"/>
      <c r="F227" s="200"/>
      <c r="G227" s="200"/>
      <c r="H227" s="200"/>
      <c r="I227" s="200"/>
    </row>
    <row r="228" spans="1:9" x14ac:dyDescent="0.25">
      <c r="A228" s="200"/>
      <c r="B228" s="200"/>
      <c r="C228" s="200"/>
      <c r="D228" s="200"/>
      <c r="E228" s="200"/>
      <c r="F228" s="200"/>
      <c r="G228" s="200"/>
      <c r="H228" s="200"/>
      <c r="I228" s="200"/>
    </row>
    <row r="229" spans="1:9" x14ac:dyDescent="0.25">
      <c r="A229" s="200"/>
      <c r="B229" s="200"/>
      <c r="C229" s="200"/>
      <c r="D229" s="200"/>
      <c r="E229" s="200"/>
      <c r="F229" s="200"/>
      <c r="G229" s="200"/>
      <c r="H229" s="200"/>
      <c r="I229" s="200"/>
    </row>
    <row r="230" spans="1:9" x14ac:dyDescent="0.25">
      <c r="A230" s="200"/>
      <c r="B230" s="200"/>
      <c r="C230" s="200"/>
      <c r="D230" s="200"/>
      <c r="E230" s="200"/>
      <c r="F230" s="200"/>
      <c r="G230" s="200"/>
      <c r="H230" s="200"/>
      <c r="I230" s="200"/>
    </row>
    <row r="231" spans="1:9" x14ac:dyDescent="0.25">
      <c r="A231" s="200"/>
      <c r="B231" s="200"/>
      <c r="C231" s="200"/>
      <c r="D231" s="200"/>
      <c r="E231" s="200"/>
      <c r="F231" s="200"/>
      <c r="G231" s="200"/>
      <c r="H231" s="200"/>
      <c r="I231" s="200"/>
    </row>
    <row r="232" spans="1:9" x14ac:dyDescent="0.25">
      <c r="A232" s="200"/>
      <c r="B232" s="200"/>
      <c r="C232" s="200"/>
      <c r="D232" s="200"/>
      <c r="E232" s="200"/>
      <c r="F232" s="200"/>
      <c r="G232" s="200"/>
      <c r="H232" s="200"/>
      <c r="I232" s="200"/>
    </row>
    <row r="233" spans="1:9" x14ac:dyDescent="0.25">
      <c r="A233" s="200"/>
      <c r="B233" s="200"/>
      <c r="C233" s="200"/>
      <c r="D233" s="200"/>
      <c r="E233" s="200"/>
      <c r="F233" s="200"/>
      <c r="G233" s="200"/>
      <c r="H233" s="200"/>
      <c r="I233" s="200"/>
    </row>
    <row r="234" spans="1:9" x14ac:dyDescent="0.25">
      <c r="A234" s="200"/>
      <c r="B234" s="200"/>
      <c r="C234" s="200"/>
      <c r="D234" s="200"/>
      <c r="E234" s="200"/>
      <c r="F234" s="200"/>
      <c r="G234" s="200"/>
      <c r="H234" s="200"/>
      <c r="I234" s="200"/>
    </row>
    <row r="235" spans="1:9" x14ac:dyDescent="0.25">
      <c r="A235" s="200"/>
      <c r="B235" s="200"/>
      <c r="C235" s="200"/>
      <c r="D235" s="200"/>
      <c r="E235" s="200"/>
      <c r="F235" s="200"/>
      <c r="G235" s="200"/>
      <c r="H235" s="200"/>
      <c r="I235" s="200"/>
    </row>
    <row r="236" spans="1:9" x14ac:dyDescent="0.25">
      <c r="A236" s="200"/>
      <c r="B236" s="200"/>
      <c r="C236" s="200"/>
      <c r="D236" s="200"/>
      <c r="E236" s="200"/>
      <c r="F236" s="200"/>
      <c r="G236" s="200"/>
      <c r="H236" s="200"/>
      <c r="I236" s="200"/>
    </row>
    <row r="237" spans="1:9" x14ac:dyDescent="0.25">
      <c r="A237" s="200"/>
      <c r="B237" s="200"/>
      <c r="C237" s="200"/>
      <c r="D237" s="200"/>
      <c r="E237" s="200"/>
      <c r="F237" s="200"/>
      <c r="G237" s="200"/>
      <c r="H237" s="200"/>
      <c r="I237" s="200"/>
    </row>
    <row r="238" spans="1:9" x14ac:dyDescent="0.25">
      <c r="A238" s="200"/>
      <c r="B238" s="200"/>
      <c r="C238" s="200"/>
      <c r="D238" s="200"/>
      <c r="E238" s="200"/>
      <c r="F238" s="200"/>
      <c r="G238" s="200"/>
      <c r="H238" s="200"/>
      <c r="I238" s="200"/>
    </row>
    <row r="239" spans="1:9" x14ac:dyDescent="0.25">
      <c r="A239" s="200"/>
      <c r="B239" s="200"/>
      <c r="C239" s="200"/>
      <c r="D239" s="200"/>
      <c r="E239" s="200"/>
      <c r="F239" s="200"/>
      <c r="G239" s="200"/>
      <c r="H239" s="200"/>
      <c r="I239" s="200"/>
    </row>
    <row r="240" spans="1:9" x14ac:dyDescent="0.25">
      <c r="A240" s="200"/>
      <c r="B240" s="200"/>
      <c r="C240" s="200"/>
      <c r="D240" s="200"/>
      <c r="E240" s="200"/>
      <c r="F240" s="200"/>
      <c r="G240" s="200"/>
      <c r="H240" s="200"/>
      <c r="I240" s="200"/>
    </row>
    <row r="241" spans="1:9" x14ac:dyDescent="0.25">
      <c r="A241" s="200"/>
      <c r="B241" s="200"/>
      <c r="C241" s="200"/>
      <c r="D241" s="200"/>
      <c r="E241" s="200"/>
      <c r="F241" s="200"/>
      <c r="G241" s="200"/>
      <c r="H241" s="200"/>
      <c r="I241" s="200"/>
    </row>
    <row r="242" spans="1:9" x14ac:dyDescent="0.25">
      <c r="A242" s="200"/>
      <c r="B242" s="200"/>
      <c r="C242" s="200"/>
      <c r="D242" s="200"/>
      <c r="E242" s="200"/>
      <c r="F242" s="200"/>
      <c r="G242" s="200"/>
      <c r="H242" s="200"/>
      <c r="I242" s="200"/>
    </row>
    <row r="243" spans="1:9" x14ac:dyDescent="0.25">
      <c r="A243" s="200"/>
      <c r="B243" s="200"/>
      <c r="C243" s="200"/>
      <c r="D243" s="200"/>
      <c r="E243" s="200"/>
      <c r="F243" s="200"/>
      <c r="G243" s="200"/>
      <c r="H243" s="200"/>
      <c r="I243" s="200"/>
    </row>
    <row r="244" spans="1:9" x14ac:dyDescent="0.25">
      <c r="A244" s="200"/>
      <c r="B244" s="200"/>
      <c r="C244" s="200"/>
      <c r="D244" s="200"/>
      <c r="E244" s="200"/>
      <c r="F244" s="200"/>
      <c r="G244" s="200"/>
      <c r="H244" s="200"/>
      <c r="I244" s="200"/>
    </row>
    <row r="245" spans="1:9" x14ac:dyDescent="0.25">
      <c r="A245" s="200"/>
      <c r="B245" s="200"/>
      <c r="C245" s="200"/>
      <c r="D245" s="200"/>
      <c r="E245" s="200"/>
      <c r="F245" s="200"/>
      <c r="G245" s="200"/>
      <c r="H245" s="200"/>
      <c r="I245" s="200"/>
    </row>
    <row r="246" spans="1:9" x14ac:dyDescent="0.25">
      <c r="A246" s="200"/>
      <c r="B246" s="200"/>
      <c r="C246" s="200"/>
      <c r="D246" s="200"/>
      <c r="E246" s="200"/>
      <c r="F246" s="200"/>
      <c r="G246" s="200"/>
      <c r="H246" s="200"/>
      <c r="I246" s="200"/>
    </row>
    <row r="247" spans="1:9" x14ac:dyDescent="0.25">
      <c r="A247" s="200"/>
      <c r="B247" s="200"/>
      <c r="C247" s="200"/>
      <c r="D247" s="200"/>
      <c r="E247" s="200"/>
      <c r="F247" s="200"/>
      <c r="G247" s="200"/>
      <c r="H247" s="200"/>
      <c r="I247" s="200"/>
    </row>
    <row r="248" spans="1:9" x14ac:dyDescent="0.25">
      <c r="A248" s="200"/>
      <c r="B248" s="200"/>
      <c r="C248" s="200"/>
      <c r="D248" s="200"/>
      <c r="E248" s="200"/>
      <c r="F248" s="200"/>
      <c r="G248" s="200"/>
      <c r="H248" s="200"/>
      <c r="I248" s="200"/>
    </row>
    <row r="249" spans="1:9" x14ac:dyDescent="0.25">
      <c r="A249" s="200"/>
      <c r="B249" s="200"/>
      <c r="C249" s="200"/>
      <c r="D249" s="200"/>
      <c r="E249" s="200"/>
      <c r="F249" s="200"/>
      <c r="G249" s="200"/>
      <c r="H249" s="200"/>
      <c r="I249" s="200"/>
    </row>
    <row r="250" spans="1:9" x14ac:dyDescent="0.25">
      <c r="A250" s="200"/>
      <c r="B250" s="200"/>
      <c r="C250" s="200"/>
      <c r="D250" s="200"/>
      <c r="E250" s="200"/>
      <c r="F250" s="200"/>
      <c r="G250" s="200"/>
      <c r="H250" s="200"/>
      <c r="I250" s="200"/>
    </row>
    <row r="251" spans="1:9" x14ac:dyDescent="0.25">
      <c r="A251" s="200"/>
      <c r="B251" s="200"/>
      <c r="C251" s="200"/>
      <c r="D251" s="200"/>
      <c r="E251" s="200"/>
      <c r="F251" s="200"/>
      <c r="G251" s="200"/>
      <c r="H251" s="200"/>
      <c r="I251" s="200"/>
    </row>
    <row r="252" spans="1:9" x14ac:dyDescent="0.25">
      <c r="A252" s="200"/>
      <c r="B252" s="200"/>
      <c r="C252" s="200"/>
      <c r="D252" s="200"/>
      <c r="E252" s="200"/>
      <c r="F252" s="200"/>
      <c r="G252" s="200"/>
      <c r="H252" s="200"/>
      <c r="I252" s="200"/>
    </row>
    <row r="253" spans="1:9" x14ac:dyDescent="0.25">
      <c r="A253" s="200"/>
      <c r="B253" s="200"/>
      <c r="C253" s="200"/>
      <c r="D253" s="200"/>
      <c r="E253" s="200"/>
      <c r="F253" s="200"/>
      <c r="G253" s="200"/>
      <c r="H253" s="200"/>
      <c r="I253" s="200"/>
    </row>
    <row r="254" spans="1:9" x14ac:dyDescent="0.25">
      <c r="A254" s="200"/>
      <c r="B254" s="200"/>
      <c r="C254" s="200"/>
      <c r="D254" s="200"/>
      <c r="E254" s="200"/>
      <c r="F254" s="200"/>
      <c r="G254" s="200"/>
      <c r="H254" s="200"/>
      <c r="I254" s="200"/>
    </row>
    <row r="255" spans="1:9" x14ac:dyDescent="0.25">
      <c r="A255" s="200"/>
      <c r="B255" s="200"/>
      <c r="C255" s="200"/>
      <c r="D255" s="200"/>
      <c r="E255" s="200"/>
      <c r="F255" s="200"/>
      <c r="G255" s="200"/>
      <c r="H255" s="200"/>
      <c r="I255" s="200"/>
    </row>
    <row r="256" spans="1:9" x14ac:dyDescent="0.25">
      <c r="A256" s="200"/>
      <c r="B256" s="200"/>
      <c r="C256" s="200"/>
      <c r="D256" s="200"/>
      <c r="E256" s="200"/>
      <c r="F256" s="200"/>
      <c r="G256" s="200"/>
      <c r="H256" s="200"/>
      <c r="I256" s="200"/>
    </row>
    <row r="257" spans="1:9" x14ac:dyDescent="0.25">
      <c r="A257" s="200"/>
      <c r="B257" s="200"/>
      <c r="C257" s="200"/>
      <c r="D257" s="200"/>
      <c r="E257" s="200"/>
      <c r="F257" s="200"/>
      <c r="G257" s="200"/>
      <c r="H257" s="200"/>
      <c r="I257" s="200"/>
    </row>
    <row r="258" spans="1:9" x14ac:dyDescent="0.25">
      <c r="A258" s="200"/>
      <c r="B258" s="200"/>
      <c r="C258" s="200"/>
      <c r="D258" s="200"/>
      <c r="E258" s="200"/>
      <c r="F258" s="200"/>
      <c r="G258" s="200"/>
      <c r="H258" s="200"/>
      <c r="I258" s="200"/>
    </row>
    <row r="259" spans="1:9" x14ac:dyDescent="0.25">
      <c r="A259" s="200"/>
      <c r="B259" s="200"/>
      <c r="C259" s="200"/>
      <c r="D259" s="200"/>
      <c r="E259" s="200"/>
      <c r="F259" s="200"/>
      <c r="G259" s="200"/>
      <c r="H259" s="200"/>
      <c r="I259" s="200"/>
    </row>
    <row r="260" spans="1:9" x14ac:dyDescent="0.25">
      <c r="A260" s="200"/>
      <c r="B260" s="200"/>
      <c r="C260" s="200"/>
      <c r="D260" s="200"/>
      <c r="E260" s="200"/>
      <c r="F260" s="200"/>
      <c r="G260" s="200"/>
      <c r="H260" s="200"/>
      <c r="I260" s="200"/>
    </row>
    <row r="261" spans="1:9" x14ac:dyDescent="0.25">
      <c r="A261" s="200"/>
      <c r="B261" s="200"/>
      <c r="C261" s="200"/>
      <c r="D261" s="200"/>
      <c r="E261" s="200"/>
      <c r="F261" s="200"/>
      <c r="G261" s="200"/>
      <c r="H261" s="200"/>
      <c r="I261" s="200"/>
    </row>
    <row r="262" spans="1:9" x14ac:dyDescent="0.25">
      <c r="A262" s="200"/>
      <c r="B262" s="200"/>
      <c r="C262" s="200"/>
      <c r="D262" s="200"/>
      <c r="E262" s="200"/>
      <c r="F262" s="200"/>
      <c r="G262" s="200"/>
      <c r="H262" s="200"/>
      <c r="I262" s="200"/>
    </row>
    <row r="263" spans="1:9" x14ac:dyDescent="0.25">
      <c r="A263" s="200"/>
      <c r="B263" s="200"/>
      <c r="C263" s="200"/>
      <c r="D263" s="200"/>
      <c r="E263" s="200"/>
      <c r="F263" s="200"/>
      <c r="G263" s="200"/>
      <c r="H263" s="200"/>
      <c r="I263" s="200"/>
    </row>
    <row r="264" spans="1:9" x14ac:dyDescent="0.25">
      <c r="A264" s="200"/>
      <c r="B264" s="200"/>
      <c r="C264" s="200"/>
      <c r="D264" s="200"/>
      <c r="E264" s="200"/>
      <c r="F264" s="200"/>
      <c r="G264" s="200"/>
      <c r="H264" s="200"/>
      <c r="I264" s="200"/>
    </row>
    <row r="265" spans="1:9" x14ac:dyDescent="0.25">
      <c r="A265" s="200"/>
      <c r="B265" s="200"/>
      <c r="C265" s="200"/>
      <c r="D265" s="200"/>
      <c r="E265" s="200"/>
      <c r="F265" s="200"/>
      <c r="G265" s="200"/>
      <c r="H265" s="200"/>
      <c r="I265" s="200"/>
    </row>
    <row r="266" spans="1:9" x14ac:dyDescent="0.25">
      <c r="A266" s="200"/>
      <c r="B266" s="200"/>
      <c r="C266" s="200"/>
      <c r="D266" s="200"/>
      <c r="E266" s="200"/>
      <c r="F266" s="200"/>
      <c r="G266" s="200"/>
      <c r="H266" s="200"/>
      <c r="I266" s="200"/>
    </row>
    <row r="267" spans="1:9" x14ac:dyDescent="0.25">
      <c r="A267" s="200"/>
      <c r="B267" s="200"/>
      <c r="C267" s="200"/>
      <c r="D267" s="200"/>
      <c r="E267" s="200"/>
      <c r="F267" s="200"/>
      <c r="G267" s="200"/>
      <c r="H267" s="200"/>
      <c r="I267" s="200"/>
    </row>
    <row r="268" spans="1:9" x14ac:dyDescent="0.25">
      <c r="A268" s="200"/>
      <c r="B268" s="200"/>
      <c r="C268" s="200"/>
      <c r="D268" s="200"/>
      <c r="E268" s="200"/>
      <c r="F268" s="200"/>
      <c r="G268" s="200"/>
      <c r="H268" s="200"/>
      <c r="I268" s="200"/>
    </row>
    <row r="269" spans="1:9" x14ac:dyDescent="0.25">
      <c r="A269" s="200"/>
      <c r="B269" s="200"/>
      <c r="C269" s="200"/>
      <c r="D269" s="200"/>
      <c r="E269" s="200"/>
      <c r="F269" s="200"/>
      <c r="G269" s="200"/>
      <c r="H269" s="200"/>
      <c r="I269" s="200"/>
    </row>
    <row r="270" spans="1:9" x14ac:dyDescent="0.25">
      <c r="A270" s="200"/>
      <c r="B270" s="200"/>
      <c r="C270" s="200"/>
      <c r="D270" s="200"/>
      <c r="E270" s="200"/>
      <c r="F270" s="200"/>
      <c r="G270" s="200"/>
      <c r="H270" s="200"/>
      <c r="I270" s="200"/>
    </row>
    <row r="271" spans="1:9" x14ac:dyDescent="0.25">
      <c r="A271" s="200"/>
      <c r="B271" s="200"/>
      <c r="C271" s="200"/>
      <c r="D271" s="200"/>
      <c r="E271" s="200"/>
      <c r="F271" s="200"/>
      <c r="G271" s="200"/>
      <c r="H271" s="200"/>
      <c r="I271" s="200"/>
    </row>
    <row r="272" spans="1:9" x14ac:dyDescent="0.25">
      <c r="A272" s="200"/>
      <c r="B272" s="200"/>
      <c r="C272" s="200"/>
      <c r="D272" s="200"/>
      <c r="E272" s="200"/>
      <c r="F272" s="200"/>
      <c r="G272" s="200"/>
      <c r="H272" s="200"/>
      <c r="I272" s="200"/>
    </row>
    <row r="273" spans="1:9" x14ac:dyDescent="0.25">
      <c r="A273" s="200"/>
      <c r="B273" s="200"/>
      <c r="C273" s="200"/>
      <c r="D273" s="200"/>
      <c r="E273" s="200"/>
      <c r="F273" s="200"/>
      <c r="G273" s="200"/>
      <c r="H273" s="200"/>
      <c r="I273" s="200"/>
    </row>
    <row r="274" spans="1:9" x14ac:dyDescent="0.25">
      <c r="A274" s="200"/>
      <c r="B274" s="200"/>
      <c r="C274" s="200"/>
      <c r="D274" s="200"/>
      <c r="E274" s="200"/>
      <c r="F274" s="200"/>
      <c r="G274" s="200"/>
      <c r="H274" s="200"/>
      <c r="I274" s="200"/>
    </row>
    <row r="275" spans="1:9" x14ac:dyDescent="0.25">
      <c r="A275" s="200"/>
      <c r="B275" s="200"/>
      <c r="C275" s="200"/>
      <c r="D275" s="200"/>
      <c r="E275" s="200"/>
      <c r="F275" s="200"/>
      <c r="G275" s="200"/>
      <c r="H275" s="200"/>
      <c r="I275" s="200"/>
    </row>
    <row r="276" spans="1:9" x14ac:dyDescent="0.25">
      <c r="A276" s="200"/>
      <c r="B276" s="200"/>
      <c r="C276" s="200"/>
      <c r="D276" s="200"/>
      <c r="E276" s="200"/>
      <c r="F276" s="200"/>
      <c r="G276" s="200"/>
      <c r="H276" s="200"/>
      <c r="I276" s="200"/>
    </row>
    <row r="277" spans="1:9" x14ac:dyDescent="0.25">
      <c r="A277" s="200"/>
      <c r="B277" s="200"/>
      <c r="C277" s="200"/>
      <c r="D277" s="200"/>
      <c r="E277" s="200"/>
      <c r="F277" s="200"/>
      <c r="G277" s="200"/>
      <c r="H277" s="200"/>
      <c r="I277" s="200"/>
    </row>
    <row r="278" spans="1:9" x14ac:dyDescent="0.25">
      <c r="A278" s="200"/>
      <c r="B278" s="200"/>
      <c r="C278" s="200"/>
      <c r="D278" s="200"/>
      <c r="E278" s="200"/>
      <c r="F278" s="200"/>
      <c r="G278" s="200"/>
      <c r="H278" s="200"/>
      <c r="I278" s="200"/>
    </row>
    <row r="279" spans="1:9" x14ac:dyDescent="0.25">
      <c r="A279" s="200"/>
      <c r="B279" s="200"/>
      <c r="C279" s="200"/>
      <c r="D279" s="200"/>
      <c r="E279" s="200"/>
      <c r="F279" s="200"/>
      <c r="G279" s="200"/>
      <c r="H279" s="200"/>
      <c r="I279" s="200"/>
    </row>
    <row r="280" spans="1:9" x14ac:dyDescent="0.25">
      <c r="A280" s="200"/>
      <c r="B280" s="200"/>
      <c r="C280" s="200"/>
      <c r="D280" s="200"/>
      <c r="E280" s="200"/>
      <c r="F280" s="200"/>
      <c r="G280" s="200"/>
      <c r="H280" s="200"/>
      <c r="I280" s="200"/>
    </row>
    <row r="281" spans="1:9" x14ac:dyDescent="0.25">
      <c r="A281" s="200"/>
      <c r="B281" s="200"/>
      <c r="C281" s="200"/>
      <c r="D281" s="200"/>
      <c r="E281" s="200"/>
      <c r="F281" s="200"/>
      <c r="G281" s="200"/>
      <c r="H281" s="200"/>
      <c r="I281" s="200"/>
    </row>
    <row r="282" spans="1:9" x14ac:dyDescent="0.25">
      <c r="A282" s="200"/>
      <c r="B282" s="200"/>
      <c r="C282" s="200"/>
      <c r="D282" s="200"/>
      <c r="E282" s="200"/>
      <c r="F282" s="200"/>
      <c r="G282" s="200"/>
      <c r="H282" s="200"/>
      <c r="I282" s="200"/>
    </row>
    <row r="283" spans="1:9" x14ac:dyDescent="0.25">
      <c r="A283" s="200"/>
      <c r="B283" s="200"/>
      <c r="C283" s="200"/>
      <c r="D283" s="200"/>
      <c r="E283" s="200"/>
      <c r="F283" s="200"/>
      <c r="G283" s="200"/>
      <c r="H283" s="200"/>
      <c r="I283" s="200"/>
    </row>
    <row r="284" spans="1:9" x14ac:dyDescent="0.25">
      <c r="A284" s="200"/>
      <c r="B284" s="200"/>
      <c r="C284" s="200"/>
      <c r="D284" s="200"/>
      <c r="E284" s="200"/>
      <c r="F284" s="200"/>
      <c r="G284" s="200"/>
      <c r="H284" s="200"/>
      <c r="I284" s="200"/>
    </row>
    <row r="285" spans="1:9" x14ac:dyDescent="0.25">
      <c r="A285" s="200"/>
      <c r="B285" s="200"/>
      <c r="C285" s="200"/>
      <c r="D285" s="200"/>
      <c r="E285" s="200"/>
      <c r="F285" s="200"/>
      <c r="G285" s="200"/>
      <c r="H285" s="200"/>
      <c r="I285" s="200"/>
    </row>
    <row r="286" spans="1:9" x14ac:dyDescent="0.25">
      <c r="A286" s="200"/>
      <c r="B286" s="200"/>
      <c r="C286" s="200"/>
      <c r="D286" s="200"/>
      <c r="E286" s="200"/>
      <c r="F286" s="200"/>
      <c r="G286" s="200"/>
      <c r="H286" s="200"/>
      <c r="I286" s="200"/>
    </row>
    <row r="287" spans="1:9" x14ac:dyDescent="0.25">
      <c r="A287" s="200"/>
      <c r="B287" s="200"/>
      <c r="C287" s="200"/>
      <c r="D287" s="200"/>
      <c r="E287" s="200"/>
      <c r="F287" s="200"/>
      <c r="G287" s="200"/>
      <c r="H287" s="200"/>
      <c r="I287" s="200"/>
    </row>
    <row r="288" spans="1:9" x14ac:dyDescent="0.25">
      <c r="A288" s="200"/>
      <c r="B288" s="200"/>
      <c r="C288" s="200"/>
      <c r="D288" s="200"/>
      <c r="E288" s="200"/>
      <c r="F288" s="200"/>
      <c r="G288" s="200"/>
      <c r="H288" s="200"/>
      <c r="I288" s="200"/>
    </row>
    <row r="289" spans="1:9" x14ac:dyDescent="0.25">
      <c r="A289" s="200"/>
      <c r="B289" s="200"/>
      <c r="C289" s="200"/>
      <c r="D289" s="200"/>
      <c r="E289" s="200"/>
      <c r="F289" s="200"/>
      <c r="G289" s="200"/>
      <c r="H289" s="200"/>
      <c r="I289" s="200"/>
    </row>
    <row r="290" spans="1:9" x14ac:dyDescent="0.25">
      <c r="A290" s="200"/>
      <c r="B290" s="200"/>
      <c r="C290" s="200"/>
      <c r="D290" s="200"/>
      <c r="E290" s="200"/>
      <c r="F290" s="200"/>
      <c r="G290" s="200"/>
      <c r="H290" s="200"/>
      <c r="I290" s="200"/>
    </row>
    <row r="291" spans="1:9" x14ac:dyDescent="0.25">
      <c r="A291" s="200"/>
      <c r="B291" s="200"/>
      <c r="C291" s="200"/>
      <c r="D291" s="200"/>
      <c r="E291" s="200"/>
      <c r="F291" s="200"/>
      <c r="G291" s="200"/>
      <c r="H291" s="200"/>
      <c r="I291" s="200"/>
    </row>
    <row r="292" spans="1:9" x14ac:dyDescent="0.25">
      <c r="A292" s="200"/>
      <c r="B292" s="200"/>
      <c r="C292" s="200"/>
      <c r="D292" s="200"/>
      <c r="E292" s="200"/>
      <c r="F292" s="200"/>
      <c r="G292" s="200"/>
      <c r="H292" s="200"/>
      <c r="I292" s="200"/>
    </row>
    <row r="293" spans="1:9" x14ac:dyDescent="0.25">
      <c r="A293" s="200"/>
      <c r="B293" s="200"/>
      <c r="C293" s="200"/>
      <c r="D293" s="200"/>
      <c r="E293" s="200"/>
      <c r="F293" s="200"/>
      <c r="G293" s="200"/>
      <c r="H293" s="200"/>
      <c r="I293" s="200"/>
    </row>
    <row r="294" spans="1:9" x14ac:dyDescent="0.25">
      <c r="A294" s="200"/>
      <c r="B294" s="200"/>
      <c r="C294" s="200"/>
      <c r="D294" s="200"/>
      <c r="E294" s="200"/>
      <c r="F294" s="200"/>
      <c r="G294" s="200"/>
      <c r="H294" s="200"/>
      <c r="I294" s="200"/>
    </row>
    <row r="295" spans="1:9" x14ac:dyDescent="0.25">
      <c r="A295" s="200"/>
      <c r="B295" s="200"/>
      <c r="C295" s="200"/>
      <c r="D295" s="200"/>
      <c r="E295" s="200"/>
      <c r="F295" s="200"/>
      <c r="G295" s="200"/>
      <c r="H295" s="200"/>
      <c r="I295" s="200"/>
    </row>
    <row r="296" spans="1:9" x14ac:dyDescent="0.25">
      <c r="A296" s="200"/>
      <c r="B296" s="200"/>
      <c r="C296" s="200"/>
      <c r="D296" s="200"/>
      <c r="E296" s="200"/>
      <c r="F296" s="200"/>
      <c r="G296" s="200"/>
      <c r="H296" s="200"/>
      <c r="I296" s="200"/>
    </row>
    <row r="297" spans="1:9" x14ac:dyDescent="0.25">
      <c r="A297" s="200"/>
      <c r="B297" s="200"/>
      <c r="C297" s="200"/>
      <c r="D297" s="200"/>
      <c r="E297" s="200"/>
      <c r="F297" s="200"/>
      <c r="G297" s="200"/>
      <c r="H297" s="200"/>
      <c r="I297" s="200"/>
    </row>
    <row r="298" spans="1:9" x14ac:dyDescent="0.25">
      <c r="A298" s="200"/>
      <c r="B298" s="200"/>
      <c r="C298" s="200"/>
      <c r="D298" s="200"/>
      <c r="E298" s="200"/>
      <c r="F298" s="200"/>
      <c r="G298" s="200"/>
      <c r="H298" s="200"/>
      <c r="I298" s="200"/>
    </row>
    <row r="299" spans="1:9" x14ac:dyDescent="0.25">
      <c r="A299" s="200"/>
      <c r="B299" s="200"/>
      <c r="C299" s="200"/>
      <c r="D299" s="200"/>
      <c r="E299" s="200"/>
      <c r="F299" s="200"/>
      <c r="G299" s="200"/>
      <c r="H299" s="200"/>
      <c r="I299" s="200"/>
    </row>
    <row r="300" spans="1:9" x14ac:dyDescent="0.25">
      <c r="A300" s="200"/>
      <c r="B300" s="200"/>
      <c r="C300" s="200"/>
      <c r="D300" s="200"/>
      <c r="E300" s="200"/>
      <c r="F300" s="200"/>
      <c r="G300" s="200"/>
      <c r="H300" s="200"/>
      <c r="I300" s="200"/>
    </row>
    <row r="301" spans="1:9" x14ac:dyDescent="0.25">
      <c r="A301" s="200"/>
      <c r="B301" s="200"/>
      <c r="C301" s="200"/>
      <c r="D301" s="200"/>
      <c r="E301" s="200"/>
      <c r="F301" s="200"/>
      <c r="G301" s="200"/>
      <c r="H301" s="200"/>
      <c r="I301" s="200"/>
    </row>
    <row r="302" spans="1:9" x14ac:dyDescent="0.25">
      <c r="A302" s="200"/>
      <c r="B302" s="200"/>
      <c r="C302" s="200"/>
      <c r="D302" s="200"/>
      <c r="E302" s="200"/>
      <c r="F302" s="200"/>
      <c r="G302" s="200"/>
      <c r="H302" s="200"/>
      <c r="I302" s="200"/>
    </row>
    <row r="303" spans="1:9" x14ac:dyDescent="0.25">
      <c r="A303" s="200"/>
      <c r="B303" s="200"/>
      <c r="C303" s="200"/>
      <c r="D303" s="200"/>
      <c r="E303" s="200"/>
      <c r="F303" s="200"/>
      <c r="G303" s="200"/>
      <c r="H303" s="200"/>
      <c r="I303" s="200"/>
    </row>
    <row r="304" spans="1:9" x14ac:dyDescent="0.25">
      <c r="A304" s="200"/>
      <c r="B304" s="200"/>
      <c r="C304" s="200"/>
      <c r="D304" s="200"/>
      <c r="E304" s="200"/>
      <c r="F304" s="200"/>
      <c r="G304" s="200"/>
      <c r="H304" s="200"/>
      <c r="I304" s="200"/>
    </row>
    <row r="305" spans="1:9" x14ac:dyDescent="0.25">
      <c r="A305" s="200"/>
      <c r="B305" s="200"/>
      <c r="C305" s="200"/>
      <c r="D305" s="200"/>
      <c r="E305" s="200"/>
      <c r="F305" s="200"/>
      <c r="G305" s="200"/>
      <c r="H305" s="200"/>
      <c r="I305" s="200"/>
    </row>
    <row r="306" spans="1:9" x14ac:dyDescent="0.25">
      <c r="A306" s="200"/>
      <c r="B306" s="200"/>
      <c r="C306" s="200"/>
      <c r="D306" s="200"/>
      <c r="E306" s="200"/>
      <c r="F306" s="200"/>
      <c r="G306" s="200"/>
      <c r="H306" s="200"/>
      <c r="I306" s="200"/>
    </row>
    <row r="307" spans="1:9" x14ac:dyDescent="0.25">
      <c r="A307" s="200"/>
      <c r="B307" s="200"/>
      <c r="C307" s="200"/>
      <c r="D307" s="200"/>
      <c r="E307" s="200"/>
      <c r="F307" s="200"/>
      <c r="G307" s="200"/>
      <c r="H307" s="200"/>
      <c r="I307" s="200"/>
    </row>
    <row r="308" spans="1:9" x14ac:dyDescent="0.25">
      <c r="A308" s="200"/>
      <c r="B308" s="200"/>
      <c r="C308" s="200"/>
      <c r="D308" s="200"/>
      <c r="E308" s="200"/>
      <c r="F308" s="200"/>
      <c r="G308" s="200"/>
      <c r="H308" s="200"/>
      <c r="I308" s="200"/>
    </row>
    <row r="309" spans="1:9" x14ac:dyDescent="0.25">
      <c r="A309" s="200"/>
      <c r="B309" s="200"/>
      <c r="C309" s="200"/>
      <c r="D309" s="200"/>
      <c r="E309" s="200"/>
      <c r="F309" s="200"/>
      <c r="G309" s="200"/>
      <c r="H309" s="200"/>
      <c r="I309" s="200"/>
    </row>
    <row r="310" spans="1:9" x14ac:dyDescent="0.25">
      <c r="A310" s="200"/>
      <c r="B310" s="200"/>
      <c r="C310" s="200"/>
      <c r="D310" s="200"/>
      <c r="E310" s="200"/>
      <c r="F310" s="200"/>
      <c r="G310" s="200"/>
      <c r="H310" s="200"/>
      <c r="I310" s="200"/>
    </row>
    <row r="311" spans="1:9" x14ac:dyDescent="0.25">
      <c r="A311" s="200"/>
      <c r="B311" s="200"/>
      <c r="C311" s="200"/>
      <c r="D311" s="200"/>
      <c r="E311" s="200"/>
      <c r="F311" s="200"/>
      <c r="G311" s="200"/>
      <c r="H311" s="200"/>
      <c r="I311" s="200"/>
    </row>
    <row r="312" spans="1:9" x14ac:dyDescent="0.25">
      <c r="A312" s="200"/>
      <c r="B312" s="200"/>
      <c r="C312" s="200"/>
      <c r="D312" s="200"/>
      <c r="E312" s="200"/>
      <c r="F312" s="200"/>
      <c r="G312" s="200"/>
      <c r="H312" s="200"/>
      <c r="I312" s="200"/>
    </row>
    <row r="313" spans="1:9" x14ac:dyDescent="0.25">
      <c r="A313" s="200"/>
      <c r="B313" s="200"/>
      <c r="C313" s="200"/>
      <c r="D313" s="200"/>
      <c r="E313" s="200"/>
      <c r="F313" s="200"/>
      <c r="G313" s="200"/>
      <c r="H313" s="200"/>
      <c r="I313" s="200"/>
    </row>
    <row r="314" spans="1:9" x14ac:dyDescent="0.25">
      <c r="A314" s="200"/>
      <c r="B314" s="200"/>
      <c r="C314" s="200"/>
      <c r="D314" s="200"/>
      <c r="E314" s="200"/>
      <c r="F314" s="200"/>
      <c r="G314" s="200"/>
      <c r="H314" s="200"/>
      <c r="I314" s="200"/>
    </row>
    <row r="315" spans="1:9" x14ac:dyDescent="0.25">
      <c r="A315" s="200"/>
      <c r="B315" s="200"/>
      <c r="C315" s="200"/>
      <c r="D315" s="200"/>
      <c r="E315" s="200"/>
      <c r="F315" s="200"/>
      <c r="G315" s="200"/>
      <c r="H315" s="200"/>
      <c r="I315" s="200"/>
    </row>
    <row r="316" spans="1:9" x14ac:dyDescent="0.25">
      <c r="A316" s="200"/>
      <c r="B316" s="200"/>
      <c r="C316" s="200"/>
      <c r="D316" s="200"/>
      <c r="E316" s="200"/>
      <c r="F316" s="200"/>
      <c r="G316" s="200"/>
      <c r="H316" s="200"/>
      <c r="I316" s="200"/>
    </row>
    <row r="317" spans="1:9" x14ac:dyDescent="0.25">
      <c r="A317" s="200"/>
      <c r="B317" s="200"/>
      <c r="C317" s="200"/>
      <c r="D317" s="200"/>
      <c r="E317" s="200"/>
      <c r="F317" s="200"/>
      <c r="G317" s="200"/>
      <c r="H317" s="200"/>
      <c r="I317" s="200"/>
    </row>
    <row r="318" spans="1:9" x14ac:dyDescent="0.25">
      <c r="A318" s="200"/>
      <c r="B318" s="200"/>
      <c r="C318" s="200"/>
      <c r="D318" s="200"/>
      <c r="E318" s="200"/>
      <c r="F318" s="200"/>
      <c r="G318" s="200"/>
      <c r="H318" s="200"/>
      <c r="I318" s="200"/>
    </row>
    <row r="319" spans="1:9" x14ac:dyDescent="0.25">
      <c r="A319" s="200"/>
      <c r="B319" s="200"/>
      <c r="C319" s="200"/>
      <c r="D319" s="200"/>
      <c r="E319" s="200"/>
      <c r="F319" s="200"/>
      <c r="G319" s="200"/>
      <c r="H319" s="200"/>
      <c r="I319" s="200"/>
    </row>
    <row r="320" spans="1:9" x14ac:dyDescent="0.25">
      <c r="A320" s="200"/>
      <c r="B320" s="200"/>
      <c r="C320" s="200"/>
      <c r="D320" s="200"/>
      <c r="E320" s="200"/>
      <c r="F320" s="200"/>
      <c r="G320" s="200"/>
      <c r="H320" s="200"/>
      <c r="I320" s="200"/>
    </row>
    <row r="321" spans="1:9" x14ac:dyDescent="0.25">
      <c r="A321" s="200"/>
      <c r="B321" s="200"/>
      <c r="C321" s="200"/>
      <c r="D321" s="200"/>
      <c r="E321" s="200"/>
      <c r="F321" s="200"/>
      <c r="G321" s="200"/>
      <c r="H321" s="200"/>
      <c r="I321" s="200"/>
    </row>
    <row r="322" spans="1:9" x14ac:dyDescent="0.25">
      <c r="A322" s="200"/>
      <c r="B322" s="200"/>
      <c r="C322" s="200"/>
      <c r="D322" s="200"/>
      <c r="E322" s="200"/>
      <c r="F322" s="200"/>
      <c r="G322" s="200"/>
      <c r="H322" s="200"/>
      <c r="I322" s="200"/>
    </row>
    <row r="323" spans="1:9" x14ac:dyDescent="0.25">
      <c r="A323" s="200"/>
      <c r="B323" s="200"/>
      <c r="C323" s="200"/>
      <c r="D323" s="200"/>
      <c r="E323" s="200"/>
      <c r="F323" s="200"/>
      <c r="G323" s="200"/>
      <c r="H323" s="200"/>
      <c r="I323" s="200"/>
    </row>
    <row r="324" spans="1:9" x14ac:dyDescent="0.25">
      <c r="A324" s="200"/>
      <c r="B324" s="200"/>
      <c r="C324" s="200"/>
      <c r="D324" s="200"/>
      <c r="E324" s="200"/>
      <c r="F324" s="200"/>
      <c r="G324" s="200"/>
      <c r="H324" s="200"/>
      <c r="I324" s="200"/>
    </row>
    <row r="325" spans="1:9" x14ac:dyDescent="0.25">
      <c r="A325" s="200"/>
      <c r="B325" s="200"/>
      <c r="C325" s="200"/>
      <c r="D325" s="200"/>
      <c r="E325" s="200"/>
      <c r="F325" s="200"/>
      <c r="G325" s="200"/>
      <c r="H325" s="200"/>
      <c r="I325" s="200"/>
    </row>
    <row r="326" spans="1:9" x14ac:dyDescent="0.25">
      <c r="A326" s="200"/>
      <c r="B326" s="200"/>
      <c r="C326" s="200"/>
      <c r="D326" s="200"/>
      <c r="E326" s="200"/>
      <c r="F326" s="200"/>
      <c r="G326" s="200"/>
      <c r="H326" s="200"/>
      <c r="I326" s="200"/>
    </row>
    <row r="327" spans="1:9" x14ac:dyDescent="0.25">
      <c r="A327" s="200"/>
      <c r="B327" s="200"/>
      <c r="C327" s="200"/>
      <c r="D327" s="200"/>
      <c r="E327" s="200"/>
      <c r="F327" s="200"/>
      <c r="G327" s="200"/>
      <c r="H327" s="200"/>
      <c r="I327" s="200"/>
    </row>
    <row r="328" spans="1:9" x14ac:dyDescent="0.25">
      <c r="A328" s="200"/>
      <c r="B328" s="200"/>
      <c r="C328" s="200"/>
      <c r="D328" s="200"/>
      <c r="E328" s="200"/>
      <c r="F328" s="200"/>
      <c r="G328" s="200"/>
      <c r="H328" s="200"/>
      <c r="I328" s="200"/>
    </row>
    <row r="329" spans="1:9" x14ac:dyDescent="0.25">
      <c r="A329" s="200"/>
      <c r="B329" s="200"/>
      <c r="C329" s="200"/>
      <c r="D329" s="200"/>
      <c r="E329" s="200"/>
      <c r="F329" s="200"/>
      <c r="G329" s="200"/>
      <c r="H329" s="200"/>
      <c r="I329" s="200"/>
    </row>
    <row r="330" spans="1:9" x14ac:dyDescent="0.25">
      <c r="A330" s="200"/>
      <c r="B330" s="200"/>
      <c r="C330" s="200"/>
      <c r="D330" s="200"/>
      <c r="E330" s="200"/>
      <c r="F330" s="200"/>
      <c r="G330" s="200"/>
      <c r="H330" s="200"/>
      <c r="I330" s="200"/>
    </row>
    <row r="331" spans="1:9" x14ac:dyDescent="0.25">
      <c r="A331" s="200"/>
      <c r="B331" s="200"/>
      <c r="C331" s="200"/>
      <c r="D331" s="200"/>
      <c r="E331" s="200"/>
      <c r="F331" s="200"/>
      <c r="G331" s="200"/>
      <c r="H331" s="200"/>
      <c r="I331" s="200"/>
    </row>
    <row r="332" spans="1:9" x14ac:dyDescent="0.25">
      <c r="A332" s="200"/>
      <c r="B332" s="200"/>
      <c r="C332" s="200"/>
      <c r="D332" s="200"/>
      <c r="E332" s="200"/>
      <c r="F332" s="200"/>
      <c r="G332" s="200"/>
      <c r="H332" s="200"/>
      <c r="I332" s="200"/>
    </row>
    <row r="333" spans="1:9" x14ac:dyDescent="0.25">
      <c r="A333" s="200"/>
      <c r="B333" s="200"/>
      <c r="C333" s="200"/>
      <c r="D333" s="200"/>
      <c r="E333" s="200"/>
      <c r="F333" s="200"/>
      <c r="G333" s="200"/>
      <c r="H333" s="200"/>
      <c r="I333" s="200"/>
    </row>
    <row r="334" spans="1:9" x14ac:dyDescent="0.25">
      <c r="A334" s="200"/>
      <c r="B334" s="200"/>
      <c r="C334" s="200"/>
      <c r="D334" s="200"/>
      <c r="E334" s="200"/>
      <c r="F334" s="200"/>
      <c r="G334" s="200"/>
      <c r="H334" s="200"/>
      <c r="I334" s="200"/>
    </row>
    <row r="335" spans="1:9" x14ac:dyDescent="0.25">
      <c r="A335" s="200"/>
      <c r="B335" s="200"/>
      <c r="C335" s="200"/>
      <c r="D335" s="200"/>
      <c r="E335" s="200"/>
      <c r="F335" s="200"/>
      <c r="G335" s="200"/>
      <c r="H335" s="200"/>
      <c r="I335" s="200"/>
    </row>
    <row r="336" spans="1:9" x14ac:dyDescent="0.25">
      <c r="A336" s="200"/>
      <c r="B336" s="200"/>
      <c r="C336" s="200"/>
      <c r="D336" s="200"/>
      <c r="E336" s="200"/>
      <c r="F336" s="200"/>
      <c r="G336" s="200"/>
      <c r="H336" s="200"/>
      <c r="I336" s="200"/>
    </row>
    <row r="337" spans="1:9" x14ac:dyDescent="0.25">
      <c r="A337" s="200"/>
      <c r="B337" s="200"/>
      <c r="C337" s="200"/>
      <c r="D337" s="200"/>
      <c r="E337" s="200"/>
      <c r="F337" s="200"/>
      <c r="G337" s="200"/>
      <c r="H337" s="200"/>
      <c r="I337" s="200"/>
    </row>
    <row r="338" spans="1:9" x14ac:dyDescent="0.25">
      <c r="A338" s="200"/>
      <c r="B338" s="200"/>
      <c r="C338" s="200"/>
      <c r="D338" s="200"/>
      <c r="E338" s="200"/>
      <c r="F338" s="200"/>
      <c r="G338" s="200"/>
      <c r="H338" s="200"/>
      <c r="I338" s="200"/>
    </row>
    <row r="339" spans="1:9" x14ac:dyDescent="0.25">
      <c r="A339" s="200"/>
      <c r="B339" s="200"/>
      <c r="C339" s="200"/>
      <c r="D339" s="200"/>
      <c r="E339" s="200"/>
      <c r="F339" s="200"/>
      <c r="G339" s="200"/>
      <c r="H339" s="200"/>
      <c r="I339" s="200"/>
    </row>
    <row r="340" spans="1:9" x14ac:dyDescent="0.25">
      <c r="A340" s="200"/>
      <c r="B340" s="200"/>
      <c r="C340" s="200"/>
      <c r="D340" s="200"/>
      <c r="E340" s="200"/>
      <c r="F340" s="200"/>
      <c r="G340" s="200"/>
      <c r="H340" s="200"/>
      <c r="I340" s="200"/>
    </row>
    <row r="341" spans="1:9" x14ac:dyDescent="0.25">
      <c r="A341" s="200"/>
      <c r="B341" s="200"/>
      <c r="C341" s="200"/>
      <c r="D341" s="200"/>
      <c r="E341" s="200"/>
      <c r="F341" s="200"/>
      <c r="G341" s="200"/>
      <c r="H341" s="200"/>
      <c r="I341" s="200"/>
    </row>
    <row r="342" spans="1:9" x14ac:dyDescent="0.25">
      <c r="A342" s="200"/>
      <c r="B342" s="200"/>
      <c r="C342" s="200"/>
      <c r="D342" s="200"/>
      <c r="E342" s="200"/>
      <c r="F342" s="200"/>
      <c r="G342" s="200"/>
      <c r="H342" s="200"/>
      <c r="I342" s="200"/>
    </row>
    <row r="343" spans="1:9" x14ac:dyDescent="0.25">
      <c r="A343" s="200"/>
      <c r="B343" s="200"/>
      <c r="C343" s="200"/>
      <c r="D343" s="200"/>
      <c r="E343" s="200"/>
      <c r="F343" s="200"/>
      <c r="G343" s="200"/>
      <c r="H343" s="200"/>
      <c r="I343" s="200"/>
    </row>
    <row r="344" spans="1:9" x14ac:dyDescent="0.25">
      <c r="A344" s="200"/>
      <c r="B344" s="200"/>
      <c r="C344" s="200"/>
      <c r="D344" s="200"/>
      <c r="E344" s="200"/>
      <c r="F344" s="200"/>
      <c r="G344" s="200"/>
      <c r="H344" s="200"/>
      <c r="I344" s="200"/>
    </row>
    <row r="345" spans="1:9" x14ac:dyDescent="0.25">
      <c r="A345" s="200"/>
      <c r="B345" s="200"/>
      <c r="C345" s="200"/>
      <c r="D345" s="200"/>
      <c r="E345" s="200"/>
      <c r="F345" s="200"/>
      <c r="G345" s="200"/>
      <c r="H345" s="200"/>
      <c r="I345" s="200"/>
    </row>
    <row r="346" spans="1:9" x14ac:dyDescent="0.25">
      <c r="A346" s="200"/>
      <c r="B346" s="200"/>
      <c r="C346" s="200"/>
      <c r="D346" s="200"/>
      <c r="E346" s="200"/>
      <c r="F346" s="200"/>
      <c r="G346" s="200"/>
      <c r="H346" s="200"/>
      <c r="I346" s="200"/>
    </row>
    <row r="347" spans="1:9" x14ac:dyDescent="0.25">
      <c r="A347" s="200"/>
      <c r="B347" s="200"/>
      <c r="C347" s="200"/>
      <c r="D347" s="200"/>
      <c r="E347" s="200"/>
      <c r="F347" s="200"/>
      <c r="G347" s="200"/>
      <c r="H347" s="200"/>
      <c r="I347" s="200"/>
    </row>
    <row r="348" spans="1:9" x14ac:dyDescent="0.25">
      <c r="A348" s="200"/>
      <c r="B348" s="200"/>
      <c r="C348" s="200"/>
      <c r="D348" s="200"/>
      <c r="E348" s="200"/>
      <c r="F348" s="200"/>
      <c r="G348" s="200"/>
      <c r="H348" s="200"/>
      <c r="I348" s="200"/>
    </row>
    <row r="349" spans="1:9" x14ac:dyDescent="0.25">
      <c r="A349" s="200"/>
      <c r="B349" s="200"/>
      <c r="C349" s="200"/>
      <c r="D349" s="200"/>
      <c r="E349" s="200"/>
      <c r="F349" s="200"/>
      <c r="G349" s="200"/>
      <c r="H349" s="200"/>
      <c r="I349" s="200"/>
    </row>
    <row r="350" spans="1:9" x14ac:dyDescent="0.25">
      <c r="A350" s="200"/>
      <c r="B350" s="200"/>
      <c r="C350" s="200"/>
      <c r="D350" s="200"/>
      <c r="E350" s="200"/>
      <c r="F350" s="200"/>
      <c r="G350" s="200"/>
      <c r="H350" s="200"/>
      <c r="I350" s="200"/>
    </row>
    <row r="351" spans="1:9" x14ac:dyDescent="0.25">
      <c r="A351" s="200"/>
      <c r="B351" s="200"/>
      <c r="C351" s="200"/>
      <c r="D351" s="200"/>
      <c r="E351" s="200"/>
      <c r="F351" s="200"/>
      <c r="G351" s="200"/>
      <c r="H351" s="200"/>
      <c r="I351" s="200"/>
    </row>
    <row r="352" spans="1:9" x14ac:dyDescent="0.25">
      <c r="A352" s="200"/>
      <c r="B352" s="200"/>
      <c r="C352" s="200"/>
      <c r="D352" s="200"/>
      <c r="E352" s="200"/>
      <c r="F352" s="200"/>
      <c r="G352" s="200"/>
      <c r="H352" s="200"/>
      <c r="I352" s="200"/>
    </row>
    <row r="353" spans="1:9" x14ac:dyDescent="0.25">
      <c r="A353" s="200"/>
      <c r="B353" s="200"/>
      <c r="C353" s="200"/>
      <c r="D353" s="200"/>
      <c r="E353" s="200"/>
      <c r="F353" s="200"/>
      <c r="G353" s="200"/>
      <c r="H353" s="200"/>
      <c r="I353" s="200"/>
    </row>
    <row r="354" spans="1:9" x14ac:dyDescent="0.25">
      <c r="A354" s="200"/>
      <c r="B354" s="200"/>
      <c r="C354" s="200"/>
      <c r="D354" s="200"/>
      <c r="E354" s="200"/>
      <c r="F354" s="200"/>
      <c r="G354" s="200"/>
      <c r="H354" s="200"/>
      <c r="I354" s="200"/>
    </row>
    <row r="355" spans="1:9" x14ac:dyDescent="0.25">
      <c r="A355" s="200"/>
      <c r="B355" s="200"/>
      <c r="C355" s="200"/>
      <c r="D355" s="200"/>
      <c r="E355" s="200"/>
      <c r="F355" s="200"/>
      <c r="G355" s="200"/>
      <c r="H355" s="200"/>
      <c r="I355" s="200"/>
    </row>
    <row r="356" spans="1:9" x14ac:dyDescent="0.25">
      <c r="A356" s="200"/>
      <c r="B356" s="200"/>
      <c r="C356" s="200"/>
      <c r="D356" s="200"/>
      <c r="E356" s="200"/>
      <c r="F356" s="200"/>
      <c r="G356" s="200"/>
      <c r="H356" s="200"/>
      <c r="I356" s="200"/>
    </row>
    <row r="357" spans="1:9" x14ac:dyDescent="0.25">
      <c r="A357" s="200"/>
      <c r="B357" s="200"/>
      <c r="C357" s="200"/>
      <c r="D357" s="200"/>
      <c r="E357" s="200"/>
      <c r="F357" s="200"/>
      <c r="G357" s="200"/>
      <c r="H357" s="200"/>
      <c r="I357" s="200"/>
    </row>
    <row r="358" spans="1:9" x14ac:dyDescent="0.25">
      <c r="A358" s="200"/>
      <c r="B358" s="200"/>
      <c r="C358" s="200"/>
      <c r="D358" s="200"/>
      <c r="E358" s="200"/>
      <c r="F358" s="200"/>
      <c r="G358" s="200"/>
      <c r="H358" s="200"/>
      <c r="I358" s="200"/>
    </row>
    <row r="359" spans="1:9" x14ac:dyDescent="0.25">
      <c r="A359" s="200"/>
      <c r="B359" s="200"/>
      <c r="C359" s="200"/>
      <c r="D359" s="200"/>
      <c r="E359" s="200"/>
      <c r="F359" s="200"/>
      <c r="G359" s="200"/>
      <c r="H359" s="200"/>
      <c r="I359" s="200"/>
    </row>
    <row r="360" spans="1:9" x14ac:dyDescent="0.25">
      <c r="A360" s="200"/>
      <c r="B360" s="200"/>
      <c r="C360" s="200"/>
      <c r="D360" s="200"/>
      <c r="E360" s="200"/>
      <c r="F360" s="200"/>
      <c r="G360" s="200"/>
      <c r="H360" s="200"/>
      <c r="I360" s="200"/>
    </row>
    <row r="361" spans="1:9" x14ac:dyDescent="0.25">
      <c r="A361" s="200"/>
      <c r="B361" s="200"/>
      <c r="C361" s="200"/>
      <c r="D361" s="200"/>
      <c r="E361" s="200"/>
      <c r="F361" s="200"/>
      <c r="G361" s="200"/>
      <c r="H361" s="200"/>
      <c r="I361" s="200"/>
    </row>
    <row r="362" spans="1:9" x14ac:dyDescent="0.25">
      <c r="A362" s="200"/>
      <c r="B362" s="200"/>
      <c r="C362" s="200"/>
      <c r="D362" s="200"/>
      <c r="E362" s="200"/>
      <c r="F362" s="200"/>
      <c r="G362" s="200"/>
      <c r="H362" s="200"/>
      <c r="I362" s="200"/>
    </row>
    <row r="363" spans="1:9" x14ac:dyDescent="0.25">
      <c r="A363" s="200"/>
      <c r="B363" s="200"/>
      <c r="C363" s="200"/>
      <c r="D363" s="200"/>
      <c r="E363" s="200"/>
      <c r="F363" s="200"/>
      <c r="G363" s="200"/>
      <c r="H363" s="200"/>
      <c r="I363" s="200"/>
    </row>
    <row r="364" spans="1:9" x14ac:dyDescent="0.25">
      <c r="A364" s="200"/>
      <c r="B364" s="200"/>
      <c r="C364" s="200"/>
      <c r="D364" s="200"/>
      <c r="E364" s="200"/>
      <c r="F364" s="200"/>
      <c r="G364" s="200"/>
      <c r="H364" s="200"/>
      <c r="I364" s="200"/>
    </row>
    <row r="365" spans="1:9" x14ac:dyDescent="0.25">
      <c r="A365" s="200"/>
      <c r="B365" s="200"/>
      <c r="C365" s="200"/>
      <c r="D365" s="200"/>
      <c r="E365" s="200"/>
      <c r="F365" s="200"/>
      <c r="G365" s="200"/>
      <c r="H365" s="200"/>
      <c r="I365" s="200"/>
    </row>
    <row r="366" spans="1:9" x14ac:dyDescent="0.25">
      <c r="A366" s="200"/>
      <c r="B366" s="200"/>
      <c r="C366" s="200"/>
      <c r="D366" s="200"/>
      <c r="E366" s="200"/>
      <c r="F366" s="200"/>
      <c r="G366" s="200"/>
      <c r="H366" s="200"/>
      <c r="I366" s="200"/>
    </row>
    <row r="367" spans="1:9" x14ac:dyDescent="0.25">
      <c r="A367" s="200"/>
      <c r="B367" s="200"/>
      <c r="C367" s="200"/>
      <c r="D367" s="200"/>
      <c r="E367" s="200"/>
      <c r="F367" s="200"/>
      <c r="G367" s="200"/>
      <c r="H367" s="200"/>
      <c r="I367" s="200"/>
    </row>
    <row r="368" spans="1:9" x14ac:dyDescent="0.25">
      <c r="A368" s="200"/>
      <c r="B368" s="200"/>
      <c r="C368" s="200"/>
      <c r="D368" s="200"/>
      <c r="E368" s="200"/>
      <c r="F368" s="200"/>
      <c r="G368" s="200"/>
      <c r="H368" s="200"/>
      <c r="I368" s="200"/>
    </row>
    <row r="369" spans="1:9" x14ac:dyDescent="0.25">
      <c r="A369" s="200"/>
      <c r="B369" s="200"/>
      <c r="C369" s="200"/>
      <c r="D369" s="200"/>
      <c r="E369" s="200"/>
      <c r="F369" s="200"/>
      <c r="G369" s="200"/>
      <c r="H369" s="200"/>
      <c r="I369" s="200"/>
    </row>
    <row r="370" spans="1:9" x14ac:dyDescent="0.25">
      <c r="A370" s="200"/>
      <c r="B370" s="200"/>
      <c r="C370" s="200"/>
      <c r="D370" s="200"/>
      <c r="E370" s="200"/>
      <c r="F370" s="200"/>
      <c r="G370" s="200"/>
      <c r="H370" s="200"/>
      <c r="I370" s="200"/>
    </row>
    <row r="371" spans="1:9" x14ac:dyDescent="0.25">
      <c r="A371" s="200"/>
      <c r="B371" s="200"/>
      <c r="C371" s="200"/>
      <c r="D371" s="200"/>
      <c r="E371" s="200"/>
      <c r="F371" s="200"/>
      <c r="G371" s="200"/>
      <c r="H371" s="200"/>
      <c r="I371" s="200"/>
    </row>
    <row r="372" spans="1:9" x14ac:dyDescent="0.25">
      <c r="A372" s="200"/>
      <c r="B372" s="200"/>
      <c r="C372" s="200"/>
      <c r="D372" s="200"/>
      <c r="E372" s="200"/>
      <c r="F372" s="200"/>
      <c r="G372" s="200"/>
      <c r="H372" s="200"/>
      <c r="I372" s="200"/>
    </row>
    <row r="373" spans="1:9" x14ac:dyDescent="0.25">
      <c r="A373" s="200"/>
      <c r="B373" s="200"/>
      <c r="C373" s="200"/>
      <c r="D373" s="200"/>
      <c r="E373" s="200"/>
      <c r="F373" s="200"/>
      <c r="G373" s="200"/>
      <c r="H373" s="200"/>
      <c r="I373" s="200"/>
    </row>
    <row r="374" spans="1:9" x14ac:dyDescent="0.25">
      <c r="A374" s="200"/>
      <c r="B374" s="200"/>
      <c r="C374" s="200"/>
      <c r="D374" s="200"/>
      <c r="E374" s="200"/>
      <c r="F374" s="200"/>
      <c r="G374" s="200"/>
      <c r="H374" s="200"/>
      <c r="I374" s="200"/>
    </row>
    <row r="375" spans="1:9" x14ac:dyDescent="0.25">
      <c r="A375" s="200"/>
      <c r="B375" s="200"/>
      <c r="C375" s="200"/>
      <c r="D375" s="200"/>
      <c r="E375" s="200"/>
      <c r="F375" s="200"/>
      <c r="G375" s="200"/>
      <c r="H375" s="200"/>
      <c r="I375" s="200"/>
    </row>
    <row r="376" spans="1:9" x14ac:dyDescent="0.25">
      <c r="A376" s="200"/>
      <c r="B376" s="200"/>
      <c r="C376" s="200"/>
      <c r="D376" s="200"/>
      <c r="E376" s="200"/>
      <c r="F376" s="200"/>
      <c r="G376" s="200"/>
      <c r="H376" s="200"/>
      <c r="I376" s="200"/>
    </row>
    <row r="377" spans="1:9" x14ac:dyDescent="0.25">
      <c r="A377" s="200"/>
      <c r="B377" s="200"/>
      <c r="C377" s="200"/>
      <c r="D377" s="200"/>
      <c r="E377" s="200"/>
      <c r="F377" s="200"/>
      <c r="G377" s="200"/>
      <c r="H377" s="200"/>
      <c r="I377" s="200"/>
    </row>
    <row r="378" spans="1:9" x14ac:dyDescent="0.25">
      <c r="A378" s="200"/>
      <c r="B378" s="200"/>
      <c r="C378" s="200"/>
      <c r="D378" s="200"/>
      <c r="E378" s="200"/>
      <c r="F378" s="200"/>
      <c r="G378" s="200"/>
      <c r="H378" s="200"/>
      <c r="I378" s="200"/>
    </row>
    <row r="379" spans="1:9" x14ac:dyDescent="0.25">
      <c r="A379" s="200"/>
      <c r="B379" s="200"/>
      <c r="C379" s="200"/>
      <c r="D379" s="200"/>
      <c r="E379" s="200"/>
      <c r="F379" s="200"/>
      <c r="G379" s="200"/>
      <c r="H379" s="200"/>
      <c r="I379" s="200"/>
    </row>
    <row r="380" spans="1:9" x14ac:dyDescent="0.25">
      <c r="A380" s="200"/>
      <c r="B380" s="200"/>
      <c r="C380" s="200"/>
      <c r="D380" s="200"/>
      <c r="E380" s="200"/>
      <c r="F380" s="200"/>
      <c r="G380" s="200"/>
      <c r="H380" s="200"/>
      <c r="I380" s="200"/>
    </row>
    <row r="381" spans="1:9" x14ac:dyDescent="0.25">
      <c r="A381" s="200"/>
      <c r="B381" s="200"/>
      <c r="C381" s="200"/>
      <c r="D381" s="200"/>
      <c r="E381" s="200"/>
      <c r="F381" s="200"/>
      <c r="G381" s="200"/>
      <c r="H381" s="200"/>
      <c r="I381" s="200"/>
    </row>
    <row r="382" spans="1:9" x14ac:dyDescent="0.25">
      <c r="A382" s="200"/>
      <c r="B382" s="200"/>
      <c r="C382" s="200"/>
      <c r="D382" s="200"/>
      <c r="E382" s="200"/>
      <c r="F382" s="200"/>
      <c r="G382" s="200"/>
      <c r="H382" s="200"/>
      <c r="I382" s="200"/>
    </row>
    <row r="383" spans="1:9" x14ac:dyDescent="0.25">
      <c r="A383" s="200"/>
      <c r="B383" s="200"/>
      <c r="C383" s="200"/>
      <c r="D383" s="200"/>
      <c r="E383" s="200"/>
      <c r="F383" s="200"/>
      <c r="G383" s="200"/>
      <c r="H383" s="200"/>
      <c r="I383" s="200"/>
    </row>
    <row r="384" spans="1:9" x14ac:dyDescent="0.25">
      <c r="A384" s="200"/>
      <c r="B384" s="200"/>
      <c r="C384" s="200"/>
      <c r="D384" s="200"/>
      <c r="E384" s="200"/>
      <c r="F384" s="200"/>
      <c r="G384" s="200"/>
      <c r="H384" s="200"/>
      <c r="I384" s="200"/>
    </row>
    <row r="385" spans="1:9" x14ac:dyDescent="0.25">
      <c r="A385" s="200"/>
      <c r="B385" s="200"/>
      <c r="C385" s="200"/>
      <c r="D385" s="200"/>
      <c r="E385" s="200"/>
      <c r="F385" s="200"/>
      <c r="G385" s="200"/>
      <c r="H385" s="200"/>
      <c r="I385" s="200"/>
    </row>
    <row r="386" spans="1:9" x14ac:dyDescent="0.25">
      <c r="A386" s="200"/>
      <c r="B386" s="200"/>
      <c r="C386" s="200"/>
      <c r="D386" s="200"/>
      <c r="E386" s="200"/>
      <c r="F386" s="200"/>
      <c r="G386" s="200"/>
      <c r="H386" s="200"/>
      <c r="I386" s="200"/>
    </row>
    <row r="387" spans="1:9" x14ac:dyDescent="0.25">
      <c r="A387" s="200"/>
      <c r="B387" s="200"/>
      <c r="C387" s="200"/>
      <c r="D387" s="200"/>
      <c r="E387" s="200"/>
      <c r="F387" s="200"/>
      <c r="G387" s="200"/>
      <c r="H387" s="200"/>
      <c r="I387" s="200"/>
    </row>
    <row r="388" spans="1:9" x14ac:dyDescent="0.25">
      <c r="A388" s="200"/>
      <c r="B388" s="200"/>
      <c r="C388" s="200"/>
      <c r="D388" s="200"/>
      <c r="E388" s="200"/>
      <c r="F388" s="200"/>
      <c r="G388" s="200"/>
      <c r="H388" s="200"/>
      <c r="I388" s="200"/>
    </row>
    <row r="389" spans="1:9" x14ac:dyDescent="0.25">
      <c r="A389" s="200"/>
      <c r="B389" s="200"/>
      <c r="C389" s="200"/>
      <c r="D389" s="200"/>
      <c r="E389" s="200"/>
      <c r="F389" s="200"/>
      <c r="G389" s="200"/>
      <c r="H389" s="200"/>
      <c r="I389" s="200"/>
    </row>
    <row r="390" spans="1:9" x14ac:dyDescent="0.25">
      <c r="A390" s="200"/>
      <c r="B390" s="200"/>
      <c r="C390" s="200"/>
      <c r="D390" s="200"/>
      <c r="E390" s="200"/>
      <c r="F390" s="200"/>
      <c r="G390" s="200"/>
      <c r="H390" s="200"/>
      <c r="I390" s="200"/>
    </row>
    <row r="391" spans="1:9" x14ac:dyDescent="0.25">
      <c r="A391" s="200"/>
      <c r="B391" s="200"/>
      <c r="C391" s="200"/>
      <c r="D391" s="200"/>
      <c r="E391" s="200"/>
      <c r="F391" s="200"/>
      <c r="G391" s="200"/>
      <c r="H391" s="200"/>
      <c r="I391" s="200"/>
    </row>
    <row r="392" spans="1:9" x14ac:dyDescent="0.25">
      <c r="A392" s="200"/>
      <c r="B392" s="200"/>
      <c r="C392" s="200"/>
      <c r="D392" s="200"/>
      <c r="E392" s="200"/>
      <c r="F392" s="200"/>
      <c r="G392" s="200"/>
      <c r="H392" s="200"/>
      <c r="I392" s="200"/>
    </row>
    <row r="393" spans="1:9" x14ac:dyDescent="0.25">
      <c r="A393" s="200"/>
      <c r="B393" s="200"/>
      <c r="C393" s="200"/>
      <c r="D393" s="200"/>
      <c r="E393" s="200"/>
      <c r="F393" s="200"/>
      <c r="G393" s="200"/>
      <c r="H393" s="200"/>
      <c r="I393" s="200"/>
    </row>
    <row r="394" spans="1:9" x14ac:dyDescent="0.25">
      <c r="A394" s="200"/>
      <c r="B394" s="200"/>
      <c r="C394" s="200"/>
      <c r="D394" s="200"/>
      <c r="E394" s="200"/>
      <c r="F394" s="200"/>
      <c r="G394" s="200"/>
      <c r="H394" s="200"/>
      <c r="I394" s="200"/>
    </row>
    <row r="395" spans="1:9" x14ac:dyDescent="0.25">
      <c r="A395" s="200"/>
      <c r="B395" s="200"/>
      <c r="C395" s="200"/>
      <c r="D395" s="200"/>
      <c r="E395" s="200"/>
      <c r="F395" s="200"/>
      <c r="G395" s="200"/>
      <c r="H395" s="200"/>
      <c r="I395" s="200"/>
    </row>
    <row r="396" spans="1:9" x14ac:dyDescent="0.25">
      <c r="A396" s="200"/>
      <c r="B396" s="200"/>
      <c r="C396" s="200"/>
      <c r="D396" s="200"/>
      <c r="E396" s="200"/>
      <c r="F396" s="200"/>
      <c r="G396" s="200"/>
      <c r="H396" s="200"/>
      <c r="I396" s="200"/>
    </row>
    <row r="397" spans="1:9" x14ac:dyDescent="0.25">
      <c r="A397" s="200"/>
      <c r="B397" s="200"/>
      <c r="C397" s="200"/>
      <c r="D397" s="200"/>
      <c r="E397" s="200"/>
      <c r="F397" s="200"/>
      <c r="G397" s="200"/>
      <c r="H397" s="200"/>
      <c r="I397" s="200"/>
    </row>
    <row r="398" spans="1:9" x14ac:dyDescent="0.25">
      <c r="A398" s="200"/>
      <c r="B398" s="200"/>
      <c r="C398" s="200"/>
      <c r="D398" s="200"/>
      <c r="E398" s="200"/>
      <c r="F398" s="200"/>
      <c r="G398" s="200"/>
      <c r="H398" s="200"/>
      <c r="I398" s="200"/>
    </row>
    <row r="399" spans="1:9" x14ac:dyDescent="0.25">
      <c r="A399" s="200"/>
      <c r="B399" s="200"/>
      <c r="C399" s="200"/>
      <c r="D399" s="200"/>
      <c r="E399" s="200"/>
      <c r="F399" s="200"/>
      <c r="G399" s="200"/>
      <c r="H399" s="200"/>
      <c r="I399" s="200"/>
    </row>
    <row r="400" spans="1:9" x14ac:dyDescent="0.25">
      <c r="A400" s="200"/>
      <c r="B400" s="200"/>
      <c r="C400" s="200"/>
      <c r="D400" s="200"/>
      <c r="E400" s="200"/>
      <c r="F400" s="200"/>
      <c r="G400" s="200"/>
      <c r="H400" s="200"/>
      <c r="I400" s="200"/>
    </row>
    <row r="401" spans="1:9" x14ac:dyDescent="0.25">
      <c r="A401" s="200"/>
      <c r="B401" s="200"/>
      <c r="C401" s="200"/>
      <c r="D401" s="200"/>
      <c r="E401" s="200"/>
      <c r="F401" s="200"/>
      <c r="G401" s="200"/>
      <c r="H401" s="200"/>
      <c r="I401" s="200"/>
    </row>
    <row r="402" spans="1:9" x14ac:dyDescent="0.25">
      <c r="A402" s="200"/>
      <c r="B402" s="200"/>
      <c r="C402" s="200"/>
      <c r="D402" s="200"/>
      <c r="E402" s="200"/>
      <c r="F402" s="200"/>
      <c r="G402" s="200"/>
      <c r="H402" s="200"/>
      <c r="I402" s="200"/>
    </row>
    <row r="403" spans="1:9" x14ac:dyDescent="0.25">
      <c r="A403" s="200"/>
      <c r="B403" s="200"/>
      <c r="C403" s="200"/>
      <c r="D403" s="200"/>
      <c r="E403" s="200"/>
      <c r="F403" s="200"/>
      <c r="G403" s="200"/>
      <c r="H403" s="200"/>
      <c r="I403" s="200"/>
    </row>
    <row r="404" spans="1:9" x14ac:dyDescent="0.25">
      <c r="A404" s="200"/>
      <c r="B404" s="200"/>
      <c r="C404" s="200"/>
      <c r="D404" s="200"/>
      <c r="E404" s="200"/>
      <c r="F404" s="200"/>
      <c r="G404" s="200"/>
      <c r="H404" s="200"/>
      <c r="I404" s="200"/>
    </row>
    <row r="405" spans="1:9" x14ac:dyDescent="0.25">
      <c r="A405" s="200"/>
      <c r="B405" s="200"/>
      <c r="C405" s="200"/>
      <c r="D405" s="200"/>
      <c r="E405" s="200"/>
      <c r="F405" s="200"/>
      <c r="G405" s="200"/>
      <c r="H405" s="200"/>
      <c r="I405" s="200"/>
    </row>
    <row r="406" spans="1:9" x14ac:dyDescent="0.25">
      <c r="A406" s="200"/>
      <c r="B406" s="200"/>
      <c r="C406" s="200"/>
      <c r="D406" s="200"/>
      <c r="E406" s="200"/>
      <c r="F406" s="200"/>
      <c r="G406" s="200"/>
      <c r="H406" s="200"/>
      <c r="I406" s="200"/>
    </row>
    <row r="407" spans="1:9" x14ac:dyDescent="0.25">
      <c r="A407" s="200"/>
      <c r="B407" s="200"/>
      <c r="C407" s="200"/>
      <c r="D407" s="200"/>
      <c r="E407" s="200"/>
      <c r="F407" s="200"/>
      <c r="G407" s="200"/>
      <c r="H407" s="200"/>
      <c r="I407" s="200"/>
    </row>
    <row r="408" spans="1:9" x14ac:dyDescent="0.25">
      <c r="A408" s="200"/>
      <c r="B408" s="200"/>
      <c r="C408" s="200"/>
      <c r="D408" s="200"/>
      <c r="E408" s="200"/>
      <c r="F408" s="200"/>
      <c r="G408" s="200"/>
      <c r="H408" s="200"/>
      <c r="I408" s="200"/>
    </row>
    <row r="409" spans="1:9" x14ac:dyDescent="0.25">
      <c r="A409" s="200"/>
      <c r="B409" s="200"/>
      <c r="C409" s="200"/>
      <c r="D409" s="200"/>
      <c r="E409" s="200"/>
      <c r="F409" s="200"/>
      <c r="G409" s="200"/>
      <c r="H409" s="200"/>
      <c r="I409" s="200"/>
    </row>
    <row r="410" spans="1:9" x14ac:dyDescent="0.25">
      <c r="A410" s="200"/>
      <c r="B410" s="200"/>
      <c r="C410" s="200"/>
      <c r="D410" s="200"/>
      <c r="E410" s="200"/>
      <c r="F410" s="200"/>
      <c r="G410" s="200"/>
      <c r="H410" s="200"/>
      <c r="I410" s="200"/>
    </row>
    <row r="411" spans="1:9" x14ac:dyDescent="0.25">
      <c r="A411" s="200"/>
      <c r="B411" s="200"/>
      <c r="C411" s="200"/>
      <c r="D411" s="200"/>
      <c r="E411" s="200"/>
      <c r="F411" s="200"/>
      <c r="G411" s="200"/>
      <c r="H411" s="200"/>
      <c r="I411" s="200"/>
    </row>
    <row r="412" spans="1:9" x14ac:dyDescent="0.25">
      <c r="A412" s="200"/>
      <c r="B412" s="200"/>
      <c r="C412" s="200"/>
      <c r="D412" s="200"/>
      <c r="E412" s="200"/>
      <c r="F412" s="200"/>
      <c r="G412" s="200"/>
      <c r="H412" s="200"/>
      <c r="I412" s="200"/>
    </row>
    <row r="413" spans="1:9" x14ac:dyDescent="0.25">
      <c r="A413" s="200"/>
      <c r="B413" s="200"/>
      <c r="C413" s="200"/>
      <c r="D413" s="200"/>
      <c r="E413" s="200"/>
      <c r="F413" s="200"/>
      <c r="G413" s="200"/>
      <c r="H413" s="200"/>
      <c r="I413" s="200"/>
    </row>
    <row r="414" spans="1:9" x14ac:dyDescent="0.25">
      <c r="A414" s="200"/>
      <c r="B414" s="200"/>
      <c r="C414" s="200"/>
      <c r="D414" s="200"/>
      <c r="E414" s="200"/>
      <c r="F414" s="200"/>
      <c r="G414" s="200"/>
      <c r="H414" s="200"/>
      <c r="I414" s="200"/>
    </row>
    <row r="415" spans="1:9" x14ac:dyDescent="0.25">
      <c r="A415" s="200"/>
      <c r="B415" s="200"/>
      <c r="C415" s="200"/>
      <c r="D415" s="200"/>
      <c r="E415" s="200"/>
      <c r="F415" s="200"/>
      <c r="G415" s="200"/>
      <c r="H415" s="200"/>
      <c r="I415" s="200"/>
    </row>
    <row r="416" spans="1:9" x14ac:dyDescent="0.25">
      <c r="A416" s="200"/>
      <c r="B416" s="200"/>
      <c r="C416" s="200"/>
      <c r="D416" s="200"/>
      <c r="E416" s="200"/>
      <c r="F416" s="200"/>
      <c r="G416" s="200"/>
      <c r="H416" s="200"/>
      <c r="I416" s="200"/>
    </row>
    <row r="417" spans="1:9" x14ac:dyDescent="0.25">
      <c r="A417" s="200"/>
      <c r="B417" s="200"/>
      <c r="C417" s="200"/>
      <c r="D417" s="200"/>
      <c r="E417" s="200"/>
      <c r="F417" s="200"/>
      <c r="G417" s="200"/>
      <c r="H417" s="200"/>
      <c r="I417" s="200"/>
    </row>
    <row r="418" spans="1:9" x14ac:dyDescent="0.25">
      <c r="A418" s="200"/>
      <c r="B418" s="200"/>
      <c r="C418" s="200"/>
      <c r="D418" s="200"/>
      <c r="E418" s="200"/>
      <c r="F418" s="200"/>
      <c r="G418" s="200"/>
      <c r="H418" s="200"/>
      <c r="I418" s="200"/>
    </row>
    <row r="419" spans="1:9" x14ac:dyDescent="0.25">
      <c r="A419" s="200"/>
      <c r="B419" s="200"/>
      <c r="C419" s="200"/>
      <c r="D419" s="200"/>
      <c r="E419" s="200"/>
      <c r="F419" s="200"/>
      <c r="G419" s="200"/>
      <c r="H419" s="200"/>
      <c r="I419" s="200"/>
    </row>
    <row r="420" spans="1:9" x14ac:dyDescent="0.25">
      <c r="A420" s="200"/>
      <c r="B420" s="200"/>
      <c r="C420" s="200"/>
      <c r="D420" s="200"/>
      <c r="E420" s="200"/>
      <c r="F420" s="200"/>
      <c r="G420" s="200"/>
      <c r="H420" s="200"/>
      <c r="I420" s="200"/>
    </row>
    <row r="421" spans="1:9" x14ac:dyDescent="0.25">
      <c r="A421" s="200"/>
      <c r="B421" s="200"/>
      <c r="C421" s="200"/>
      <c r="D421" s="200"/>
      <c r="E421" s="200"/>
      <c r="F421" s="200"/>
      <c r="G421" s="200"/>
      <c r="H421" s="200"/>
      <c r="I421" s="200"/>
    </row>
    <row r="422" spans="1:9" x14ac:dyDescent="0.25">
      <c r="A422" s="200"/>
      <c r="B422" s="200"/>
      <c r="C422" s="200"/>
      <c r="D422" s="200"/>
      <c r="E422" s="200"/>
      <c r="F422" s="200"/>
      <c r="G422" s="200"/>
      <c r="H422" s="200"/>
      <c r="I422" s="200"/>
    </row>
    <row r="423" spans="1:9" x14ac:dyDescent="0.25">
      <c r="A423" s="200"/>
      <c r="B423" s="200"/>
      <c r="C423" s="200"/>
      <c r="D423" s="200"/>
      <c r="E423" s="200"/>
      <c r="F423" s="200"/>
      <c r="G423" s="200"/>
      <c r="H423" s="200"/>
      <c r="I423" s="200"/>
    </row>
    <row r="424" spans="1:9" x14ac:dyDescent="0.25">
      <c r="A424" s="200"/>
      <c r="B424" s="200"/>
      <c r="C424" s="200"/>
      <c r="D424" s="200"/>
      <c r="E424" s="200"/>
      <c r="F424" s="200"/>
      <c r="G424" s="200"/>
      <c r="H424" s="200"/>
      <c r="I424" s="200"/>
    </row>
    <row r="425" spans="1:9" x14ac:dyDescent="0.25">
      <c r="A425" s="200"/>
      <c r="B425" s="200"/>
      <c r="C425" s="200"/>
      <c r="D425" s="200"/>
      <c r="E425" s="200"/>
      <c r="F425" s="200"/>
      <c r="G425" s="200"/>
      <c r="H425" s="200"/>
      <c r="I425" s="200"/>
    </row>
    <row r="426" spans="1:9" x14ac:dyDescent="0.25">
      <c r="A426" s="200"/>
      <c r="B426" s="200"/>
      <c r="C426" s="200"/>
      <c r="D426" s="200"/>
      <c r="E426" s="200"/>
      <c r="F426" s="200"/>
      <c r="G426" s="200"/>
      <c r="H426" s="200"/>
      <c r="I426" s="200"/>
    </row>
    <row r="427" spans="1:9" x14ac:dyDescent="0.25">
      <c r="A427" s="200"/>
      <c r="B427" s="200"/>
      <c r="C427" s="200"/>
      <c r="D427" s="200"/>
      <c r="E427" s="200"/>
      <c r="F427" s="200"/>
      <c r="G427" s="200"/>
      <c r="H427" s="200"/>
      <c r="I427" s="200"/>
    </row>
    <row r="428" spans="1:9" x14ac:dyDescent="0.25">
      <c r="A428" s="200"/>
      <c r="B428" s="200"/>
      <c r="C428" s="200"/>
      <c r="D428" s="200"/>
      <c r="E428" s="200"/>
      <c r="F428" s="200"/>
      <c r="G428" s="200"/>
      <c r="H428" s="200"/>
      <c r="I428" s="200"/>
    </row>
    <row r="429" spans="1:9" x14ac:dyDescent="0.25">
      <c r="A429" s="200"/>
      <c r="B429" s="200"/>
      <c r="C429" s="200"/>
      <c r="D429" s="200"/>
      <c r="E429" s="200"/>
      <c r="F429" s="200"/>
      <c r="G429" s="200"/>
      <c r="H429" s="200"/>
      <c r="I429" s="200"/>
    </row>
    <row r="430" spans="1:9" x14ac:dyDescent="0.25">
      <c r="A430" s="200"/>
      <c r="B430" s="200"/>
      <c r="C430" s="200"/>
      <c r="D430" s="200"/>
      <c r="E430" s="200"/>
      <c r="F430" s="200"/>
      <c r="G430" s="200"/>
      <c r="H430" s="200"/>
      <c r="I430" s="200"/>
    </row>
    <row r="431" spans="1:9" x14ac:dyDescent="0.25">
      <c r="A431" s="200"/>
      <c r="B431" s="200"/>
      <c r="C431" s="200"/>
      <c r="D431" s="200"/>
      <c r="E431" s="200"/>
      <c r="F431" s="200"/>
      <c r="G431" s="200"/>
      <c r="H431" s="200"/>
      <c r="I431" s="200"/>
    </row>
    <row r="432" spans="1:9" x14ac:dyDescent="0.25">
      <c r="A432" s="200"/>
      <c r="B432" s="200"/>
      <c r="C432" s="200"/>
      <c r="D432" s="200"/>
      <c r="E432" s="200"/>
      <c r="F432" s="200"/>
      <c r="G432" s="200"/>
      <c r="H432" s="200"/>
      <c r="I432" s="200"/>
    </row>
    <row r="433" spans="1:9" x14ac:dyDescent="0.25">
      <c r="A433" s="200"/>
      <c r="B433" s="200"/>
      <c r="C433" s="200"/>
      <c r="D433" s="200"/>
      <c r="E433" s="200"/>
      <c r="F433" s="200"/>
      <c r="G433" s="200"/>
      <c r="H433" s="200"/>
      <c r="I433" s="200"/>
    </row>
    <row r="434" spans="1:9" x14ac:dyDescent="0.25">
      <c r="A434" s="200"/>
      <c r="B434" s="200"/>
      <c r="C434" s="200"/>
      <c r="D434" s="200"/>
      <c r="E434" s="200"/>
      <c r="F434" s="200"/>
      <c r="G434" s="200"/>
      <c r="H434" s="200"/>
      <c r="I434" s="200"/>
    </row>
    <row r="435" spans="1:9" x14ac:dyDescent="0.25">
      <c r="A435" s="200"/>
      <c r="B435" s="200"/>
      <c r="C435" s="200"/>
      <c r="D435" s="200"/>
      <c r="E435" s="200"/>
      <c r="F435" s="200"/>
      <c r="G435" s="200"/>
      <c r="H435" s="200"/>
      <c r="I435" s="200"/>
    </row>
    <row r="436" spans="1:9" x14ac:dyDescent="0.25">
      <c r="A436" s="200"/>
      <c r="B436" s="200"/>
      <c r="C436" s="200"/>
      <c r="D436" s="200"/>
      <c r="E436" s="200"/>
      <c r="F436" s="200"/>
      <c r="G436" s="200"/>
      <c r="H436" s="200"/>
      <c r="I436" s="200"/>
    </row>
    <row r="437" spans="1:9" x14ac:dyDescent="0.25">
      <c r="A437" s="200"/>
      <c r="B437" s="200"/>
      <c r="C437" s="200"/>
      <c r="D437" s="200"/>
      <c r="E437" s="200"/>
      <c r="F437" s="200"/>
      <c r="G437" s="200"/>
      <c r="H437" s="200"/>
      <c r="I437" s="200"/>
    </row>
    <row r="438" spans="1:9" x14ac:dyDescent="0.25">
      <c r="A438" s="200"/>
      <c r="B438" s="200"/>
      <c r="C438" s="200"/>
      <c r="D438" s="200"/>
      <c r="E438" s="200"/>
      <c r="F438" s="200"/>
      <c r="G438" s="200"/>
      <c r="H438" s="200"/>
      <c r="I438" s="200"/>
    </row>
    <row r="439" spans="1:9" x14ac:dyDescent="0.25">
      <c r="A439" s="200"/>
      <c r="B439" s="200"/>
      <c r="C439" s="200"/>
      <c r="D439" s="200"/>
      <c r="E439" s="200"/>
      <c r="F439" s="200"/>
      <c r="G439" s="200"/>
      <c r="H439" s="200"/>
      <c r="I439" s="200"/>
    </row>
    <row r="440" spans="1:9" x14ac:dyDescent="0.25">
      <c r="A440" s="200"/>
      <c r="B440" s="200"/>
      <c r="C440" s="200"/>
      <c r="D440" s="200"/>
      <c r="E440" s="200"/>
      <c r="F440" s="200"/>
      <c r="G440" s="200"/>
      <c r="H440" s="200"/>
      <c r="I440" s="200"/>
    </row>
    <row r="441" spans="1:9" x14ac:dyDescent="0.25">
      <c r="A441" s="200"/>
      <c r="B441" s="200"/>
      <c r="C441" s="200"/>
      <c r="D441" s="200"/>
      <c r="E441" s="200"/>
      <c r="F441" s="200"/>
      <c r="G441" s="200"/>
      <c r="H441" s="200"/>
      <c r="I441" s="200"/>
    </row>
    <row r="442" spans="1:9" x14ac:dyDescent="0.25">
      <c r="A442" s="200"/>
      <c r="B442" s="200"/>
      <c r="C442" s="200"/>
      <c r="D442" s="200"/>
      <c r="E442" s="200"/>
      <c r="F442" s="200"/>
      <c r="G442" s="200"/>
      <c r="H442" s="200"/>
      <c r="I442" s="200"/>
    </row>
    <row r="443" spans="1:9" x14ac:dyDescent="0.25">
      <c r="A443" s="200"/>
      <c r="B443" s="200"/>
      <c r="C443" s="200"/>
      <c r="D443" s="200"/>
      <c r="E443" s="200"/>
      <c r="F443" s="200"/>
      <c r="G443" s="200"/>
      <c r="H443" s="200"/>
      <c r="I443" s="200"/>
    </row>
    <row r="444" spans="1:9" x14ac:dyDescent="0.25">
      <c r="A444" s="200"/>
      <c r="B444" s="200"/>
      <c r="C444" s="200"/>
      <c r="D444" s="200"/>
      <c r="E444" s="200"/>
      <c r="F444" s="200"/>
      <c r="G444" s="200"/>
      <c r="H444" s="200"/>
      <c r="I444" s="200"/>
    </row>
    <row r="445" spans="1:9" x14ac:dyDescent="0.25">
      <c r="A445" s="200"/>
      <c r="B445" s="200"/>
      <c r="C445" s="200"/>
      <c r="D445" s="200"/>
      <c r="E445" s="200"/>
      <c r="F445" s="200"/>
      <c r="G445" s="200"/>
      <c r="H445" s="200"/>
      <c r="I445" s="200"/>
    </row>
    <row r="446" spans="1:9" x14ac:dyDescent="0.25">
      <c r="A446" s="200"/>
      <c r="B446" s="200"/>
      <c r="C446" s="200"/>
      <c r="D446" s="200"/>
      <c r="E446" s="200"/>
      <c r="F446" s="200"/>
      <c r="G446" s="200"/>
      <c r="H446" s="200"/>
      <c r="I446" s="200"/>
    </row>
    <row r="447" spans="1:9" x14ac:dyDescent="0.25">
      <c r="A447" s="200"/>
      <c r="B447" s="200"/>
      <c r="C447" s="200"/>
      <c r="D447" s="200"/>
      <c r="E447" s="200"/>
      <c r="F447" s="200"/>
      <c r="G447" s="200"/>
      <c r="H447" s="200"/>
      <c r="I447" s="200"/>
    </row>
    <row r="448" spans="1:9" x14ac:dyDescent="0.25">
      <c r="A448" s="200"/>
      <c r="B448" s="200"/>
      <c r="C448" s="200"/>
      <c r="D448" s="200"/>
      <c r="E448" s="200"/>
      <c r="F448" s="200"/>
      <c r="G448" s="200"/>
      <c r="H448" s="200"/>
      <c r="I448" s="200"/>
    </row>
    <row r="449" spans="1:9" x14ac:dyDescent="0.25">
      <c r="A449" s="200"/>
      <c r="B449" s="200"/>
      <c r="C449" s="200"/>
      <c r="D449" s="200"/>
      <c r="E449" s="200"/>
      <c r="F449" s="200"/>
      <c r="G449" s="200"/>
      <c r="H449" s="200"/>
      <c r="I449" s="200"/>
    </row>
    <row r="450" spans="1:9" x14ac:dyDescent="0.25">
      <c r="A450" s="200"/>
      <c r="B450" s="200"/>
      <c r="C450" s="200"/>
      <c r="D450" s="200"/>
      <c r="E450" s="200"/>
      <c r="F450" s="200"/>
      <c r="G450" s="200"/>
      <c r="H450" s="200"/>
      <c r="I450" s="200"/>
    </row>
    <row r="451" spans="1:9" x14ac:dyDescent="0.25">
      <c r="A451" s="200"/>
      <c r="B451" s="200"/>
      <c r="C451" s="200"/>
      <c r="D451" s="200"/>
      <c r="E451" s="200"/>
      <c r="F451" s="200"/>
      <c r="G451" s="200"/>
      <c r="H451" s="200"/>
      <c r="I451" s="200"/>
    </row>
    <row r="452" spans="1:9" x14ac:dyDescent="0.25">
      <c r="A452" s="200"/>
      <c r="B452" s="200"/>
      <c r="C452" s="200"/>
      <c r="D452" s="200"/>
      <c r="E452" s="200"/>
      <c r="F452" s="200"/>
      <c r="G452" s="200"/>
      <c r="H452" s="200"/>
      <c r="I452" s="200"/>
    </row>
    <row r="453" spans="1:9" x14ac:dyDescent="0.25">
      <c r="A453" s="200"/>
      <c r="B453" s="200"/>
      <c r="C453" s="200"/>
      <c r="D453" s="200"/>
      <c r="E453" s="200"/>
      <c r="F453" s="200"/>
      <c r="G453" s="200"/>
      <c r="H453" s="200"/>
      <c r="I453" s="200"/>
    </row>
    <row r="454" spans="1:9" x14ac:dyDescent="0.25">
      <c r="A454" s="200"/>
      <c r="B454" s="200"/>
      <c r="C454" s="200"/>
      <c r="D454" s="200"/>
      <c r="E454" s="200"/>
      <c r="F454" s="200"/>
      <c r="G454" s="200"/>
      <c r="H454" s="200"/>
      <c r="I454" s="200"/>
    </row>
    <row r="455" spans="1:9" x14ac:dyDescent="0.25">
      <c r="A455" s="200"/>
      <c r="B455" s="200"/>
      <c r="C455" s="200"/>
      <c r="D455" s="200"/>
      <c r="E455" s="200"/>
      <c r="F455" s="200"/>
      <c r="G455" s="200"/>
      <c r="H455" s="200"/>
      <c r="I455" s="200"/>
    </row>
    <row r="456" spans="1:9" x14ac:dyDescent="0.25">
      <c r="A456" s="200"/>
      <c r="B456" s="200"/>
      <c r="C456" s="200"/>
      <c r="D456" s="200"/>
      <c r="E456" s="200"/>
      <c r="F456" s="200"/>
      <c r="G456" s="200"/>
      <c r="H456" s="200"/>
      <c r="I456" s="200"/>
    </row>
    <row r="457" spans="1:9" x14ac:dyDescent="0.25">
      <c r="A457" s="200"/>
      <c r="B457" s="200"/>
      <c r="C457" s="200"/>
      <c r="D457" s="200"/>
      <c r="E457" s="200"/>
      <c r="F457" s="200"/>
      <c r="G457" s="200"/>
      <c r="H457" s="200"/>
      <c r="I457" s="200"/>
    </row>
    <row r="458" spans="1:9" x14ac:dyDescent="0.25">
      <c r="A458" s="200"/>
      <c r="B458" s="200"/>
      <c r="C458" s="200"/>
      <c r="D458" s="200"/>
      <c r="E458" s="200"/>
      <c r="F458" s="200"/>
      <c r="G458" s="200"/>
      <c r="H458" s="200"/>
      <c r="I458" s="200"/>
    </row>
    <row r="459" spans="1:9" x14ac:dyDescent="0.25">
      <c r="A459" s="200"/>
      <c r="B459" s="200"/>
      <c r="C459" s="200"/>
      <c r="D459" s="200"/>
      <c r="E459" s="200"/>
      <c r="F459" s="200"/>
      <c r="G459" s="200"/>
      <c r="H459" s="200"/>
      <c r="I459" s="200"/>
    </row>
    <row r="460" spans="1:9" x14ac:dyDescent="0.25">
      <c r="A460" s="200"/>
      <c r="B460" s="200"/>
      <c r="C460" s="200"/>
      <c r="D460" s="200"/>
      <c r="E460" s="200"/>
      <c r="F460" s="200"/>
      <c r="G460" s="200"/>
      <c r="H460" s="200"/>
      <c r="I460" s="200"/>
    </row>
    <row r="461" spans="1:9" x14ac:dyDescent="0.25">
      <c r="A461" s="200"/>
      <c r="B461" s="200"/>
      <c r="C461" s="200"/>
      <c r="D461" s="200"/>
      <c r="E461" s="200"/>
      <c r="F461" s="200"/>
      <c r="G461" s="200"/>
      <c r="H461" s="200"/>
      <c r="I461" s="200"/>
    </row>
    <row r="462" spans="1:9" x14ac:dyDescent="0.25">
      <c r="A462" s="200"/>
      <c r="B462" s="200"/>
      <c r="C462" s="200"/>
      <c r="D462" s="200"/>
      <c r="E462" s="200"/>
      <c r="F462" s="200"/>
      <c r="G462" s="200"/>
      <c r="H462" s="200"/>
      <c r="I462" s="200"/>
    </row>
    <row r="463" spans="1:9" x14ac:dyDescent="0.25">
      <c r="A463" s="200"/>
      <c r="B463" s="200"/>
      <c r="C463" s="200"/>
      <c r="D463" s="200"/>
      <c r="E463" s="200"/>
      <c r="F463" s="200"/>
      <c r="G463" s="200"/>
      <c r="H463" s="200"/>
      <c r="I463" s="200"/>
    </row>
    <row r="464" spans="1:9" x14ac:dyDescent="0.25">
      <c r="A464" s="200"/>
      <c r="B464" s="200"/>
      <c r="C464" s="200"/>
      <c r="D464" s="200"/>
      <c r="E464" s="200"/>
      <c r="F464" s="200"/>
      <c r="G464" s="200"/>
      <c r="H464" s="200"/>
      <c r="I464" s="200"/>
    </row>
    <row r="465" spans="1:9" x14ac:dyDescent="0.25">
      <c r="A465" s="200"/>
      <c r="B465" s="200"/>
      <c r="C465" s="200"/>
      <c r="D465" s="200"/>
      <c r="E465" s="200"/>
      <c r="F465" s="200"/>
      <c r="G465" s="200"/>
      <c r="H465" s="200"/>
      <c r="I465" s="200"/>
    </row>
    <row r="466" spans="1:9" x14ac:dyDescent="0.25">
      <c r="A466" s="200"/>
      <c r="B466" s="200"/>
      <c r="C466" s="200"/>
      <c r="D466" s="200"/>
      <c r="E466" s="200"/>
      <c r="F466" s="200"/>
      <c r="G466" s="200"/>
      <c r="H466" s="200"/>
      <c r="I466" s="200"/>
    </row>
    <row r="467" spans="1:9" x14ac:dyDescent="0.25">
      <c r="A467" s="200"/>
      <c r="B467" s="200"/>
      <c r="C467" s="200"/>
      <c r="D467" s="200"/>
      <c r="E467" s="200"/>
      <c r="F467" s="200"/>
      <c r="G467" s="200"/>
      <c r="H467" s="200"/>
      <c r="I467" s="200"/>
    </row>
    <row r="468" spans="1:9" x14ac:dyDescent="0.25">
      <c r="A468" s="200"/>
      <c r="B468" s="200"/>
      <c r="C468" s="200"/>
      <c r="D468" s="200"/>
      <c r="E468" s="200"/>
      <c r="F468" s="200"/>
      <c r="G468" s="200"/>
      <c r="H468" s="200"/>
      <c r="I468" s="200"/>
    </row>
    <row r="469" spans="1:9" x14ac:dyDescent="0.25">
      <c r="A469" s="200"/>
      <c r="B469" s="200"/>
      <c r="C469" s="200"/>
      <c r="D469" s="200"/>
      <c r="E469" s="200"/>
      <c r="F469" s="200"/>
      <c r="G469" s="200"/>
      <c r="H469" s="200"/>
      <c r="I469" s="200"/>
    </row>
    <row r="470" spans="1:9" x14ac:dyDescent="0.25">
      <c r="A470" s="200"/>
      <c r="B470" s="200"/>
      <c r="C470" s="200"/>
      <c r="D470" s="200"/>
      <c r="E470" s="200"/>
      <c r="F470" s="200"/>
      <c r="G470" s="200"/>
      <c r="H470" s="200"/>
      <c r="I470" s="200"/>
    </row>
    <row r="471" spans="1:9" x14ac:dyDescent="0.25">
      <c r="A471" s="200"/>
      <c r="B471" s="200"/>
      <c r="C471" s="200"/>
      <c r="D471" s="200"/>
      <c r="E471" s="200"/>
      <c r="F471" s="200"/>
      <c r="G471" s="200"/>
      <c r="H471" s="200"/>
      <c r="I471" s="200"/>
    </row>
    <row r="472" spans="1:9" x14ac:dyDescent="0.25">
      <c r="A472" s="200"/>
      <c r="B472" s="200"/>
      <c r="C472" s="200"/>
      <c r="D472" s="200"/>
      <c r="E472" s="200"/>
      <c r="F472" s="200"/>
      <c r="G472" s="200"/>
      <c r="H472" s="200"/>
      <c r="I472" s="200"/>
    </row>
    <row r="473" spans="1:9" x14ac:dyDescent="0.25">
      <c r="A473" s="200"/>
      <c r="B473" s="200"/>
      <c r="C473" s="200"/>
      <c r="D473" s="200"/>
      <c r="E473" s="200"/>
      <c r="F473" s="200"/>
      <c r="G473" s="200"/>
      <c r="H473" s="200"/>
      <c r="I473" s="200"/>
    </row>
    <row r="474" spans="1:9" x14ac:dyDescent="0.25">
      <c r="A474" s="200"/>
      <c r="B474" s="200"/>
      <c r="C474" s="200"/>
      <c r="D474" s="200"/>
      <c r="E474" s="200"/>
      <c r="F474" s="200"/>
      <c r="G474" s="200"/>
      <c r="H474" s="200"/>
      <c r="I474" s="200"/>
    </row>
    <row r="475" spans="1:9" x14ac:dyDescent="0.25">
      <c r="A475" s="200"/>
      <c r="B475" s="200"/>
      <c r="C475" s="200"/>
      <c r="D475" s="200"/>
      <c r="E475" s="200"/>
      <c r="F475" s="200"/>
      <c r="G475" s="200"/>
      <c r="H475" s="200"/>
      <c r="I475" s="200"/>
    </row>
    <row r="476" spans="1:9" x14ac:dyDescent="0.25">
      <c r="A476" s="200"/>
      <c r="B476" s="200"/>
      <c r="C476" s="200"/>
      <c r="D476" s="200"/>
      <c r="E476" s="200"/>
      <c r="F476" s="200"/>
      <c r="G476" s="200"/>
      <c r="H476" s="200"/>
      <c r="I476" s="200"/>
    </row>
    <row r="477" spans="1:9" x14ac:dyDescent="0.25">
      <c r="A477" s="200"/>
      <c r="B477" s="200"/>
      <c r="C477" s="200"/>
      <c r="D477" s="200"/>
      <c r="E477" s="200"/>
      <c r="F477" s="200"/>
      <c r="G477" s="200"/>
      <c r="H477" s="200"/>
      <c r="I477" s="200"/>
    </row>
    <row r="478" spans="1:9" x14ac:dyDescent="0.25">
      <c r="A478" s="200"/>
      <c r="B478" s="200"/>
      <c r="C478" s="200"/>
      <c r="D478" s="200"/>
      <c r="E478" s="200"/>
      <c r="F478" s="200"/>
      <c r="G478" s="200"/>
      <c r="H478" s="200"/>
      <c r="I478" s="200"/>
    </row>
    <row r="479" spans="1:9" x14ac:dyDescent="0.25">
      <c r="A479" s="200"/>
      <c r="B479" s="200"/>
      <c r="C479" s="200"/>
      <c r="D479" s="200"/>
      <c r="E479" s="200"/>
      <c r="F479" s="200"/>
      <c r="G479" s="200"/>
      <c r="H479" s="200"/>
      <c r="I479" s="200"/>
    </row>
    <row r="480" spans="1:9" x14ac:dyDescent="0.25">
      <c r="A480" s="200"/>
      <c r="B480" s="200"/>
      <c r="C480" s="200"/>
      <c r="D480" s="200"/>
      <c r="E480" s="200"/>
      <c r="F480" s="200"/>
      <c r="G480" s="200"/>
      <c r="H480" s="200"/>
      <c r="I480" s="200"/>
    </row>
    <row r="481" spans="1:9" x14ac:dyDescent="0.25">
      <c r="A481" s="200"/>
      <c r="B481" s="200"/>
      <c r="C481" s="200"/>
      <c r="D481" s="200"/>
      <c r="E481" s="200"/>
      <c r="F481" s="200"/>
      <c r="G481" s="200"/>
      <c r="H481" s="200"/>
      <c r="I481" s="200"/>
    </row>
    <row r="482" spans="1:9" x14ac:dyDescent="0.25">
      <c r="A482" s="200"/>
      <c r="B482" s="200"/>
      <c r="C482" s="200"/>
      <c r="D482" s="200"/>
      <c r="E482" s="200"/>
      <c r="F482" s="200"/>
      <c r="G482" s="200"/>
      <c r="H482" s="200"/>
      <c r="I482" s="200"/>
    </row>
    <row r="483" spans="1:9" x14ac:dyDescent="0.25">
      <c r="A483" s="200"/>
      <c r="B483" s="200"/>
      <c r="C483" s="200"/>
      <c r="D483" s="200"/>
      <c r="E483" s="200"/>
      <c r="F483" s="200"/>
      <c r="G483" s="200"/>
      <c r="H483" s="200"/>
      <c r="I483" s="200"/>
    </row>
    <row r="484" spans="1:9" x14ac:dyDescent="0.25">
      <c r="A484" s="200"/>
      <c r="B484" s="200"/>
      <c r="C484" s="200"/>
      <c r="D484" s="200"/>
      <c r="E484" s="200"/>
      <c r="F484" s="200"/>
      <c r="G484" s="200"/>
      <c r="H484" s="200"/>
      <c r="I484" s="200"/>
    </row>
    <row r="485" spans="1:9" x14ac:dyDescent="0.25">
      <c r="A485" s="200"/>
      <c r="B485" s="200"/>
      <c r="C485" s="200"/>
      <c r="D485" s="200"/>
      <c r="E485" s="200"/>
      <c r="F485" s="200"/>
      <c r="G485" s="200"/>
      <c r="H485" s="200"/>
      <c r="I485" s="200"/>
    </row>
    <row r="486" spans="1:9" x14ac:dyDescent="0.25">
      <c r="A486" s="200"/>
      <c r="B486" s="200"/>
      <c r="C486" s="200"/>
      <c r="D486" s="200"/>
      <c r="E486" s="200"/>
      <c r="F486" s="200"/>
      <c r="G486" s="200"/>
      <c r="H486" s="200"/>
      <c r="I486" s="200"/>
    </row>
    <row r="487" spans="1:9" x14ac:dyDescent="0.25">
      <c r="A487" s="200"/>
      <c r="B487" s="200"/>
      <c r="C487" s="200"/>
      <c r="D487" s="200"/>
      <c r="E487" s="200"/>
      <c r="F487" s="200"/>
      <c r="G487" s="200"/>
      <c r="H487" s="200"/>
      <c r="I487" s="200"/>
    </row>
    <row r="488" spans="1:9" x14ac:dyDescent="0.25">
      <c r="A488" s="200"/>
      <c r="B488" s="200"/>
      <c r="C488" s="200"/>
      <c r="D488" s="200"/>
      <c r="E488" s="200"/>
      <c r="F488" s="200"/>
      <c r="G488" s="200"/>
      <c r="H488" s="200"/>
      <c r="I488" s="200"/>
    </row>
    <row r="489" spans="1:9" x14ac:dyDescent="0.25">
      <c r="A489" s="200"/>
      <c r="B489" s="200"/>
      <c r="C489" s="200"/>
      <c r="D489" s="200"/>
      <c r="E489" s="200"/>
      <c r="F489" s="200"/>
      <c r="G489" s="200"/>
      <c r="H489" s="200"/>
      <c r="I489" s="200"/>
    </row>
    <row r="490" spans="1:9" x14ac:dyDescent="0.25">
      <c r="A490" s="200"/>
      <c r="B490" s="200"/>
      <c r="C490" s="200"/>
      <c r="D490" s="200"/>
      <c r="E490" s="200"/>
      <c r="F490" s="200"/>
      <c r="G490" s="200"/>
      <c r="H490" s="200"/>
      <c r="I490" s="200"/>
    </row>
    <row r="491" spans="1:9" x14ac:dyDescent="0.25">
      <c r="A491" s="200"/>
      <c r="B491" s="200"/>
      <c r="C491" s="200"/>
      <c r="D491" s="200"/>
      <c r="E491" s="200"/>
      <c r="F491" s="200"/>
      <c r="G491" s="200"/>
      <c r="H491" s="200"/>
      <c r="I491" s="200"/>
    </row>
    <row r="492" spans="1:9" x14ac:dyDescent="0.25">
      <c r="A492" s="200"/>
      <c r="B492" s="200"/>
      <c r="C492" s="200"/>
      <c r="D492" s="200"/>
      <c r="E492" s="200"/>
      <c r="F492" s="200"/>
      <c r="G492" s="200"/>
      <c r="H492" s="200"/>
      <c r="I492" s="200"/>
    </row>
    <row r="493" spans="1:9" x14ac:dyDescent="0.25">
      <c r="A493" s="200"/>
      <c r="B493" s="200"/>
      <c r="C493" s="200"/>
      <c r="D493" s="200"/>
      <c r="E493" s="200"/>
      <c r="F493" s="200"/>
      <c r="G493" s="200"/>
      <c r="H493" s="200"/>
      <c r="I493" s="200"/>
    </row>
    <row r="494" spans="1:9" x14ac:dyDescent="0.25">
      <c r="A494" s="200"/>
      <c r="B494" s="200"/>
      <c r="C494" s="200"/>
      <c r="D494" s="200"/>
      <c r="E494" s="200"/>
      <c r="F494" s="200"/>
      <c r="G494" s="200"/>
      <c r="H494" s="200"/>
      <c r="I494" s="200"/>
    </row>
    <row r="495" spans="1:9" x14ac:dyDescent="0.25">
      <c r="A495" s="200"/>
      <c r="B495" s="200"/>
      <c r="C495" s="200"/>
      <c r="D495" s="200"/>
      <c r="E495" s="200"/>
      <c r="F495" s="200"/>
      <c r="G495" s="200"/>
      <c r="H495" s="200"/>
      <c r="I495" s="200"/>
    </row>
    <row r="496" spans="1:9" x14ac:dyDescent="0.25">
      <c r="A496" s="200"/>
      <c r="B496" s="200"/>
      <c r="C496" s="200"/>
      <c r="D496" s="200"/>
      <c r="E496" s="200"/>
      <c r="F496" s="200"/>
      <c r="G496" s="200"/>
      <c r="H496" s="200"/>
      <c r="I496" s="200"/>
    </row>
    <row r="497" spans="1:9" x14ac:dyDescent="0.25">
      <c r="A497" s="200"/>
      <c r="B497" s="200"/>
      <c r="C497" s="200"/>
      <c r="D497" s="200"/>
      <c r="E497" s="200"/>
      <c r="F497" s="200"/>
      <c r="G497" s="200"/>
      <c r="H497" s="200"/>
      <c r="I497" s="200"/>
    </row>
    <row r="498" spans="1:9" x14ac:dyDescent="0.25">
      <c r="A498" s="200"/>
      <c r="B498" s="200"/>
      <c r="C498" s="200"/>
      <c r="D498" s="200"/>
      <c r="E498" s="200"/>
      <c r="F498" s="200"/>
      <c r="G498" s="200"/>
      <c r="H498" s="200"/>
      <c r="I498" s="200"/>
    </row>
    <row r="499" spans="1:9" x14ac:dyDescent="0.25">
      <c r="A499" s="200"/>
      <c r="B499" s="200"/>
      <c r="C499" s="200"/>
      <c r="D499" s="200"/>
      <c r="E499" s="200"/>
      <c r="F499" s="200"/>
      <c r="G499" s="200"/>
      <c r="H499" s="200"/>
      <c r="I499" s="200"/>
    </row>
    <row r="500" spans="1:9" x14ac:dyDescent="0.25">
      <c r="A500" s="200"/>
      <c r="B500" s="200"/>
      <c r="C500" s="200"/>
      <c r="D500" s="200"/>
      <c r="E500" s="200"/>
      <c r="F500" s="200"/>
      <c r="G500" s="200"/>
      <c r="H500" s="200"/>
      <c r="I500" s="200"/>
    </row>
    <row r="501" spans="1:9" x14ac:dyDescent="0.25">
      <c r="A501" s="200"/>
      <c r="B501" s="200"/>
      <c r="C501" s="200"/>
      <c r="D501" s="200"/>
      <c r="E501" s="200"/>
      <c r="F501" s="200"/>
      <c r="G501" s="200"/>
      <c r="H501" s="200"/>
      <c r="I501" s="200"/>
    </row>
    <row r="502" spans="1:9" x14ac:dyDescent="0.25">
      <c r="A502" s="200"/>
      <c r="B502" s="200"/>
      <c r="C502" s="200"/>
      <c r="D502" s="200"/>
      <c r="E502" s="200"/>
      <c r="F502" s="200"/>
      <c r="G502" s="200"/>
      <c r="H502" s="200"/>
      <c r="I502" s="200"/>
    </row>
    <row r="503" spans="1:9" x14ac:dyDescent="0.25">
      <c r="A503" s="200"/>
      <c r="B503" s="200"/>
      <c r="C503" s="200"/>
      <c r="D503" s="200"/>
      <c r="E503" s="200"/>
      <c r="F503" s="200"/>
      <c r="G503" s="200"/>
      <c r="H503" s="200"/>
      <c r="I503" s="200"/>
    </row>
    <row r="504" spans="1:9" x14ac:dyDescent="0.25">
      <c r="A504" s="200"/>
      <c r="B504" s="200"/>
      <c r="C504" s="200"/>
      <c r="D504" s="200"/>
      <c r="E504" s="200"/>
      <c r="F504" s="200"/>
      <c r="G504" s="200"/>
      <c r="H504" s="200"/>
      <c r="I504" s="200"/>
    </row>
    <row r="505" spans="1:9" x14ac:dyDescent="0.25">
      <c r="A505" s="200"/>
      <c r="B505" s="200"/>
      <c r="C505" s="200"/>
      <c r="D505" s="200"/>
      <c r="E505" s="200"/>
      <c r="F505" s="200"/>
      <c r="G505" s="200"/>
      <c r="H505" s="200"/>
      <c r="I505" s="200"/>
    </row>
    <row r="506" spans="1:9" x14ac:dyDescent="0.25">
      <c r="A506" s="200"/>
      <c r="B506" s="200"/>
      <c r="C506" s="200"/>
      <c r="D506" s="200"/>
      <c r="E506" s="200"/>
      <c r="F506" s="200"/>
      <c r="G506" s="200"/>
      <c r="H506" s="200"/>
      <c r="I506" s="200"/>
    </row>
    <row r="507" spans="1:9" x14ac:dyDescent="0.25">
      <c r="A507" s="200"/>
      <c r="B507" s="200"/>
      <c r="C507" s="200"/>
      <c r="D507" s="200"/>
      <c r="E507" s="200"/>
      <c r="F507" s="200"/>
      <c r="G507" s="200"/>
      <c r="H507" s="200"/>
      <c r="I507" s="200"/>
    </row>
    <row r="508" spans="1:9" x14ac:dyDescent="0.25">
      <c r="A508" s="200"/>
      <c r="B508" s="200"/>
      <c r="C508" s="200"/>
      <c r="D508" s="200"/>
      <c r="E508" s="200"/>
      <c r="F508" s="200"/>
      <c r="G508" s="200"/>
      <c r="H508" s="200"/>
      <c r="I508" s="200"/>
    </row>
    <row r="509" spans="1:9" x14ac:dyDescent="0.25">
      <c r="A509" s="200"/>
      <c r="B509" s="200"/>
      <c r="C509" s="200"/>
      <c r="D509" s="200"/>
      <c r="E509" s="200"/>
      <c r="F509" s="200"/>
      <c r="G509" s="200"/>
      <c r="H509" s="200"/>
      <c r="I509" s="200"/>
    </row>
    <row r="510" spans="1:9" x14ac:dyDescent="0.25">
      <c r="A510" s="200"/>
      <c r="B510" s="200"/>
      <c r="C510" s="200"/>
      <c r="D510" s="200"/>
      <c r="E510" s="200"/>
      <c r="F510" s="200"/>
      <c r="G510" s="200"/>
      <c r="H510" s="200"/>
      <c r="I510" s="200"/>
    </row>
    <row r="511" spans="1:9" x14ac:dyDescent="0.25">
      <c r="A511" s="200"/>
      <c r="B511" s="200"/>
      <c r="C511" s="200"/>
      <c r="D511" s="200"/>
      <c r="E511" s="200"/>
      <c r="F511" s="200"/>
      <c r="G511" s="200"/>
      <c r="H511" s="200"/>
      <c r="I511" s="200"/>
    </row>
    <row r="512" spans="1:9" x14ac:dyDescent="0.25">
      <c r="A512" s="200"/>
      <c r="B512" s="200"/>
      <c r="C512" s="200"/>
      <c r="D512" s="200"/>
      <c r="E512" s="200"/>
      <c r="F512" s="200"/>
      <c r="G512" s="200"/>
      <c r="H512" s="200"/>
      <c r="I512" s="200"/>
    </row>
    <row r="513" spans="1:9" x14ac:dyDescent="0.25">
      <c r="A513" s="200"/>
      <c r="B513" s="200"/>
      <c r="C513" s="200"/>
      <c r="D513" s="200"/>
      <c r="E513" s="200"/>
      <c r="F513" s="200"/>
      <c r="G513" s="200"/>
      <c r="H513" s="200"/>
      <c r="I513" s="200"/>
    </row>
    <row r="514" spans="1:9" x14ac:dyDescent="0.25">
      <c r="A514" s="200"/>
      <c r="B514" s="200"/>
      <c r="C514" s="200"/>
      <c r="D514" s="200"/>
      <c r="E514" s="200"/>
      <c r="F514" s="200"/>
      <c r="G514" s="200"/>
      <c r="H514" s="200"/>
      <c r="I514" s="200"/>
    </row>
    <row r="515" spans="1:9" x14ac:dyDescent="0.25">
      <c r="A515" s="200"/>
      <c r="B515" s="200"/>
      <c r="C515" s="200"/>
      <c r="D515" s="200"/>
      <c r="E515" s="200"/>
      <c r="F515" s="200"/>
      <c r="G515" s="200"/>
      <c r="H515" s="200"/>
      <c r="I515" s="200"/>
    </row>
    <row r="516" spans="1:9" x14ac:dyDescent="0.25">
      <c r="A516" s="200"/>
      <c r="B516" s="200"/>
      <c r="C516" s="200"/>
      <c r="D516" s="200"/>
      <c r="E516" s="200"/>
      <c r="F516" s="200"/>
      <c r="G516" s="200"/>
      <c r="H516" s="200"/>
      <c r="I516" s="200"/>
    </row>
    <row r="517" spans="1:9" x14ac:dyDescent="0.25">
      <c r="A517" s="200"/>
      <c r="B517" s="200"/>
      <c r="C517" s="200"/>
      <c r="D517" s="200"/>
      <c r="E517" s="200"/>
      <c r="F517" s="200"/>
      <c r="G517" s="200"/>
      <c r="H517" s="200"/>
      <c r="I517" s="200"/>
    </row>
    <row r="518" spans="1:9" x14ac:dyDescent="0.25">
      <c r="A518" s="200"/>
      <c r="B518" s="200"/>
      <c r="C518" s="200"/>
      <c r="D518" s="200"/>
      <c r="E518" s="200"/>
      <c r="F518" s="200"/>
      <c r="G518" s="200"/>
      <c r="H518" s="200"/>
      <c r="I518" s="200"/>
    </row>
    <row r="519" spans="1:9" x14ac:dyDescent="0.25">
      <c r="A519" s="200"/>
      <c r="B519" s="200"/>
      <c r="C519" s="200"/>
      <c r="D519" s="200"/>
      <c r="E519" s="200"/>
      <c r="F519" s="200"/>
      <c r="G519" s="200"/>
      <c r="H519" s="200"/>
      <c r="I519" s="200"/>
    </row>
    <row r="520" spans="1:9" x14ac:dyDescent="0.25">
      <c r="A520" s="200"/>
      <c r="B520" s="200"/>
      <c r="C520" s="200"/>
      <c r="D520" s="200"/>
      <c r="E520" s="200"/>
      <c r="F520" s="200"/>
      <c r="G520" s="200"/>
      <c r="H520" s="200"/>
      <c r="I520" s="200"/>
    </row>
    <row r="521" spans="1:9" x14ac:dyDescent="0.25">
      <c r="A521" s="200"/>
      <c r="B521" s="200"/>
      <c r="C521" s="200"/>
      <c r="D521" s="200"/>
      <c r="E521" s="200"/>
      <c r="F521" s="200"/>
      <c r="G521" s="200"/>
      <c r="H521" s="200"/>
      <c r="I521" s="200"/>
    </row>
    <row r="522" spans="1:9" x14ac:dyDescent="0.25">
      <c r="A522" s="200"/>
      <c r="B522" s="200"/>
      <c r="C522" s="200"/>
      <c r="D522" s="200"/>
      <c r="E522" s="200"/>
      <c r="F522" s="200"/>
      <c r="G522" s="200"/>
      <c r="H522" s="200"/>
      <c r="I522" s="200"/>
    </row>
    <row r="523" spans="1:9" x14ac:dyDescent="0.25">
      <c r="A523" s="200"/>
      <c r="B523" s="200"/>
      <c r="C523" s="200"/>
      <c r="D523" s="200"/>
      <c r="E523" s="200"/>
      <c r="F523" s="200"/>
      <c r="G523" s="200"/>
      <c r="H523" s="200"/>
      <c r="I523" s="200"/>
    </row>
    <row r="524" spans="1:9" x14ac:dyDescent="0.25">
      <c r="A524" s="200"/>
      <c r="B524" s="200"/>
      <c r="C524" s="200"/>
      <c r="D524" s="200"/>
      <c r="E524" s="200"/>
      <c r="F524" s="200"/>
      <c r="G524" s="200"/>
      <c r="H524" s="200"/>
      <c r="I524" s="200"/>
    </row>
    <row r="525" spans="1:9" x14ac:dyDescent="0.25">
      <c r="A525" s="200"/>
      <c r="B525" s="200"/>
      <c r="C525" s="200"/>
      <c r="D525" s="200"/>
      <c r="E525" s="200"/>
      <c r="F525" s="200"/>
      <c r="G525" s="200"/>
      <c r="H525" s="200"/>
      <c r="I525" s="200"/>
    </row>
    <row r="526" spans="1:9" x14ac:dyDescent="0.25">
      <c r="A526" s="200"/>
      <c r="B526" s="200"/>
      <c r="C526" s="200"/>
      <c r="D526" s="200"/>
      <c r="E526" s="200"/>
      <c r="F526" s="200"/>
      <c r="G526" s="200"/>
      <c r="H526" s="200"/>
      <c r="I526" s="200"/>
    </row>
    <row r="527" spans="1:9" x14ac:dyDescent="0.25">
      <c r="A527" s="200"/>
      <c r="B527" s="200"/>
      <c r="C527" s="200"/>
      <c r="D527" s="200"/>
      <c r="E527" s="200"/>
      <c r="F527" s="200"/>
      <c r="G527" s="200"/>
      <c r="H527" s="200"/>
      <c r="I527" s="200"/>
    </row>
    <row r="528" spans="1:9" x14ac:dyDescent="0.25">
      <c r="A528" s="200"/>
      <c r="B528" s="200"/>
      <c r="C528" s="200"/>
      <c r="D528" s="200"/>
      <c r="E528" s="200"/>
      <c r="F528" s="200"/>
      <c r="G528" s="200"/>
      <c r="H528" s="200"/>
      <c r="I528" s="200"/>
    </row>
    <row r="529" spans="1:9" x14ac:dyDescent="0.25">
      <c r="A529" s="200"/>
      <c r="B529" s="200"/>
      <c r="C529" s="200"/>
      <c r="D529" s="200"/>
      <c r="E529" s="200"/>
      <c r="F529" s="200"/>
      <c r="G529" s="200"/>
      <c r="H529" s="200"/>
      <c r="I529" s="200"/>
    </row>
    <row r="530" spans="1:9" x14ac:dyDescent="0.25">
      <c r="A530" s="200"/>
      <c r="B530" s="200"/>
      <c r="C530" s="200"/>
      <c r="D530" s="200"/>
      <c r="E530" s="200"/>
      <c r="F530" s="200"/>
      <c r="G530" s="200"/>
      <c r="H530" s="200"/>
      <c r="I530" s="200"/>
    </row>
    <row r="531" spans="1:9" x14ac:dyDescent="0.25">
      <c r="A531" s="200"/>
      <c r="B531" s="200"/>
      <c r="C531" s="200"/>
      <c r="D531" s="200"/>
      <c r="E531" s="200"/>
      <c r="F531" s="200"/>
      <c r="G531" s="200"/>
      <c r="H531" s="200"/>
      <c r="I531" s="200"/>
    </row>
    <row r="532" spans="1:9" x14ac:dyDescent="0.25">
      <c r="A532" s="200"/>
      <c r="B532" s="200"/>
      <c r="C532" s="200"/>
      <c r="D532" s="200"/>
      <c r="E532" s="200"/>
      <c r="F532" s="200"/>
      <c r="G532" s="200"/>
      <c r="H532" s="200"/>
      <c r="I532" s="200"/>
    </row>
    <row r="533" spans="1:9" x14ac:dyDescent="0.25">
      <c r="A533" s="200"/>
      <c r="B533" s="200"/>
      <c r="C533" s="200"/>
      <c r="D533" s="200"/>
      <c r="E533" s="200"/>
      <c r="F533" s="200"/>
      <c r="G533" s="200"/>
      <c r="H533" s="200"/>
      <c r="I533" s="200"/>
    </row>
    <row r="534" spans="1:9" x14ac:dyDescent="0.25">
      <c r="A534" s="200"/>
      <c r="B534" s="200"/>
      <c r="C534" s="200"/>
      <c r="D534" s="200"/>
      <c r="E534" s="200"/>
      <c r="F534" s="200"/>
      <c r="G534" s="200"/>
      <c r="H534" s="200"/>
      <c r="I534" s="200"/>
    </row>
    <row r="535" spans="1:9" x14ac:dyDescent="0.25">
      <c r="A535" s="200"/>
      <c r="B535" s="200"/>
      <c r="C535" s="200"/>
      <c r="D535" s="200"/>
      <c r="E535" s="200"/>
      <c r="F535" s="200"/>
      <c r="G535" s="200"/>
      <c r="H535" s="200"/>
      <c r="I535" s="200"/>
    </row>
    <row r="536" spans="1:9" x14ac:dyDescent="0.25">
      <c r="A536" s="200"/>
      <c r="B536" s="200"/>
      <c r="C536" s="200"/>
      <c r="D536" s="200"/>
      <c r="E536" s="200"/>
      <c r="F536" s="200"/>
      <c r="G536" s="200"/>
      <c r="H536" s="200"/>
      <c r="I536" s="200"/>
    </row>
    <row r="537" spans="1:9" x14ac:dyDescent="0.25">
      <c r="A537" s="200"/>
      <c r="B537" s="200"/>
      <c r="C537" s="200"/>
      <c r="D537" s="200"/>
      <c r="E537" s="200"/>
      <c r="F537" s="200"/>
      <c r="G537" s="200"/>
      <c r="H537" s="200"/>
      <c r="I537" s="200"/>
    </row>
    <row r="538" spans="1:9" x14ac:dyDescent="0.25">
      <c r="A538" s="200"/>
      <c r="B538" s="200"/>
      <c r="C538" s="200"/>
      <c r="D538" s="200"/>
      <c r="E538" s="200"/>
      <c r="F538" s="200"/>
      <c r="G538" s="200"/>
      <c r="H538" s="200"/>
      <c r="I538" s="200"/>
    </row>
    <row r="539" spans="1:9" x14ac:dyDescent="0.25">
      <c r="A539" s="200"/>
      <c r="B539" s="200"/>
      <c r="C539" s="200"/>
      <c r="D539" s="200"/>
      <c r="E539" s="200"/>
      <c r="F539" s="200"/>
      <c r="G539" s="200"/>
      <c r="H539" s="200"/>
      <c r="I539" s="200"/>
    </row>
    <row r="540" spans="1:9" x14ac:dyDescent="0.25">
      <c r="A540" s="200"/>
      <c r="B540" s="200"/>
      <c r="C540" s="200"/>
      <c r="D540" s="200"/>
      <c r="E540" s="200"/>
      <c r="F540" s="200"/>
      <c r="G540" s="200"/>
      <c r="H540" s="200"/>
      <c r="I540" s="200"/>
    </row>
    <row r="541" spans="1:9" x14ac:dyDescent="0.25">
      <c r="A541" s="200"/>
      <c r="B541" s="200"/>
      <c r="C541" s="200"/>
      <c r="D541" s="200"/>
      <c r="E541" s="200"/>
      <c r="F541" s="200"/>
      <c r="G541" s="200"/>
      <c r="H541" s="200"/>
      <c r="I541" s="200"/>
    </row>
    <row r="542" spans="1:9" x14ac:dyDescent="0.25">
      <c r="A542" s="200"/>
      <c r="B542" s="200"/>
      <c r="C542" s="200"/>
      <c r="D542" s="200"/>
      <c r="E542" s="200"/>
      <c r="F542" s="200"/>
      <c r="G542" s="200"/>
      <c r="H542" s="200"/>
      <c r="I542" s="200"/>
    </row>
    <row r="543" spans="1:9" x14ac:dyDescent="0.25">
      <c r="A543" s="200"/>
      <c r="B543" s="200"/>
      <c r="C543" s="200"/>
      <c r="D543" s="200"/>
      <c r="E543" s="200"/>
      <c r="F543" s="200"/>
      <c r="G543" s="200"/>
      <c r="H543" s="200"/>
      <c r="I543" s="200"/>
    </row>
    <row r="544" spans="1:9" x14ac:dyDescent="0.25">
      <c r="A544" s="200"/>
      <c r="B544" s="200"/>
      <c r="C544" s="200"/>
      <c r="D544" s="200"/>
      <c r="E544" s="200"/>
      <c r="F544" s="200"/>
      <c r="G544" s="200"/>
      <c r="H544" s="200"/>
      <c r="I544" s="200"/>
    </row>
    <row r="545" spans="1:9" x14ac:dyDescent="0.25">
      <c r="A545" s="200"/>
      <c r="B545" s="200"/>
      <c r="C545" s="200"/>
      <c r="D545" s="200"/>
      <c r="E545" s="200"/>
      <c r="F545" s="200"/>
      <c r="G545" s="200"/>
      <c r="H545" s="200"/>
      <c r="I545" s="200"/>
    </row>
    <row r="546" spans="1:9" x14ac:dyDescent="0.25">
      <c r="A546" s="200"/>
      <c r="B546" s="200"/>
      <c r="C546" s="200"/>
      <c r="D546" s="200"/>
      <c r="E546" s="200"/>
      <c r="F546" s="200"/>
      <c r="G546" s="200"/>
      <c r="H546" s="200"/>
      <c r="I546" s="200"/>
    </row>
    <row r="547" spans="1:9" x14ac:dyDescent="0.25">
      <c r="A547" s="200"/>
      <c r="B547" s="200"/>
      <c r="C547" s="200"/>
      <c r="D547" s="200"/>
      <c r="E547" s="200"/>
      <c r="F547" s="200"/>
      <c r="G547" s="200"/>
      <c r="H547" s="200"/>
      <c r="I547" s="200"/>
    </row>
    <row r="548" spans="1:9" x14ac:dyDescent="0.25">
      <c r="A548" s="200"/>
      <c r="B548" s="200"/>
      <c r="C548" s="200"/>
      <c r="D548" s="200"/>
      <c r="E548" s="200"/>
      <c r="F548" s="200"/>
      <c r="G548" s="200"/>
      <c r="H548" s="200"/>
      <c r="I548" s="200"/>
    </row>
    <row r="549" spans="1:9" x14ac:dyDescent="0.25">
      <c r="A549" s="200"/>
      <c r="B549" s="200"/>
      <c r="C549" s="200"/>
      <c r="D549" s="200"/>
      <c r="E549" s="200"/>
      <c r="F549" s="200"/>
      <c r="G549" s="200"/>
      <c r="H549" s="200"/>
      <c r="I549" s="200"/>
    </row>
    <row r="550" spans="1:9" x14ac:dyDescent="0.25">
      <c r="A550" s="200"/>
      <c r="B550" s="200"/>
      <c r="C550" s="200"/>
      <c r="D550" s="200"/>
      <c r="E550" s="200"/>
      <c r="F550" s="200"/>
      <c r="G550" s="200"/>
      <c r="H550" s="200"/>
      <c r="I550" s="200"/>
    </row>
    <row r="551" spans="1:9" x14ac:dyDescent="0.25">
      <c r="A551" s="200"/>
      <c r="B551" s="200"/>
      <c r="C551" s="200"/>
      <c r="D551" s="200"/>
      <c r="E551" s="200"/>
      <c r="F551" s="200"/>
      <c r="G551" s="200"/>
      <c r="H551" s="200"/>
      <c r="I551" s="200"/>
    </row>
    <row r="552" spans="1:9" x14ac:dyDescent="0.25">
      <c r="A552" s="200"/>
      <c r="B552" s="200"/>
      <c r="C552" s="200"/>
      <c r="D552" s="200"/>
      <c r="E552" s="200"/>
      <c r="F552" s="200"/>
      <c r="G552" s="200"/>
      <c r="H552" s="200"/>
      <c r="I552" s="200"/>
    </row>
    <row r="553" spans="1:9" x14ac:dyDescent="0.25">
      <c r="A553" s="200"/>
      <c r="B553" s="200"/>
      <c r="C553" s="200"/>
      <c r="D553" s="200"/>
      <c r="E553" s="200"/>
      <c r="F553" s="200"/>
      <c r="G553" s="200"/>
      <c r="H553" s="200"/>
      <c r="I553" s="200"/>
    </row>
    <row r="554" spans="1:9" x14ac:dyDescent="0.25">
      <c r="A554" s="200"/>
      <c r="B554" s="200"/>
      <c r="C554" s="200"/>
      <c r="D554" s="200"/>
      <c r="E554" s="200"/>
      <c r="F554" s="200"/>
      <c r="G554" s="200"/>
      <c r="H554" s="200"/>
      <c r="I554" s="200"/>
    </row>
    <row r="555" spans="1:9" x14ac:dyDescent="0.25">
      <c r="A555" s="200"/>
      <c r="B555" s="200"/>
      <c r="C555" s="200"/>
      <c r="D555" s="200"/>
      <c r="E555" s="200"/>
      <c r="F555" s="200"/>
      <c r="G555" s="200"/>
      <c r="H555" s="200"/>
      <c r="I555" s="200"/>
    </row>
    <row r="556" spans="1:9" x14ac:dyDescent="0.25">
      <c r="A556" s="200"/>
      <c r="B556" s="200"/>
      <c r="C556" s="200"/>
      <c r="D556" s="200"/>
      <c r="E556" s="200"/>
      <c r="F556" s="200"/>
      <c r="G556" s="200"/>
      <c r="H556" s="200"/>
      <c r="I556" s="200"/>
    </row>
    <row r="557" spans="1:9" x14ac:dyDescent="0.25">
      <c r="A557" s="200"/>
      <c r="B557" s="200"/>
      <c r="C557" s="200"/>
      <c r="D557" s="200"/>
      <c r="E557" s="200"/>
      <c r="F557" s="200"/>
      <c r="G557" s="200"/>
      <c r="H557" s="200"/>
      <c r="I557" s="200"/>
    </row>
    <row r="558" spans="1:9" x14ac:dyDescent="0.25">
      <c r="A558" s="200"/>
      <c r="B558" s="200"/>
      <c r="C558" s="200"/>
      <c r="D558" s="200"/>
      <c r="E558" s="200"/>
      <c r="F558" s="200"/>
      <c r="G558" s="200"/>
      <c r="H558" s="200"/>
      <c r="I558" s="200"/>
    </row>
    <row r="559" spans="1:9" x14ac:dyDescent="0.25">
      <c r="A559" s="200"/>
      <c r="B559" s="200"/>
      <c r="C559" s="200"/>
      <c r="D559" s="200"/>
      <c r="E559" s="200"/>
      <c r="F559" s="200"/>
      <c r="G559" s="200"/>
      <c r="H559" s="200"/>
      <c r="I559" s="200"/>
    </row>
    <row r="560" spans="1:9" x14ac:dyDescent="0.25">
      <c r="A560" s="200"/>
      <c r="B560" s="200"/>
      <c r="C560" s="200"/>
      <c r="D560" s="200"/>
      <c r="E560" s="200"/>
      <c r="F560" s="200"/>
      <c r="G560" s="200"/>
      <c r="H560" s="200"/>
      <c r="I560" s="200"/>
    </row>
    <row r="561" spans="1:9" x14ac:dyDescent="0.25">
      <c r="A561" s="200"/>
      <c r="B561" s="200"/>
      <c r="C561" s="200"/>
      <c r="D561" s="200"/>
      <c r="E561" s="200"/>
      <c r="F561" s="200"/>
      <c r="G561" s="200"/>
      <c r="H561" s="200"/>
      <c r="I561" s="200"/>
    </row>
    <row r="562" spans="1:9" x14ac:dyDescent="0.25">
      <c r="A562" s="200"/>
      <c r="B562" s="200"/>
      <c r="C562" s="200"/>
      <c r="D562" s="200"/>
      <c r="E562" s="200"/>
      <c r="F562" s="200"/>
      <c r="G562" s="200"/>
      <c r="H562" s="200"/>
      <c r="I562" s="200"/>
    </row>
    <row r="563" spans="1:9" x14ac:dyDescent="0.25">
      <c r="A563" s="200"/>
      <c r="B563" s="200"/>
      <c r="C563" s="200"/>
      <c r="D563" s="200"/>
      <c r="E563" s="200"/>
      <c r="F563" s="200"/>
      <c r="G563" s="200"/>
      <c r="H563" s="200"/>
      <c r="I563" s="200"/>
    </row>
    <row r="564" spans="1:9" x14ac:dyDescent="0.25">
      <c r="A564" s="200"/>
      <c r="B564" s="200"/>
      <c r="C564" s="200"/>
      <c r="D564" s="200"/>
      <c r="E564" s="200"/>
      <c r="F564" s="200"/>
      <c r="G564" s="200"/>
      <c r="H564" s="200"/>
      <c r="I564" s="200"/>
    </row>
    <row r="565" spans="1:9" x14ac:dyDescent="0.25">
      <c r="A565" s="200"/>
      <c r="B565" s="200"/>
      <c r="C565" s="200"/>
      <c r="D565" s="200"/>
      <c r="E565" s="200"/>
      <c r="F565" s="200"/>
      <c r="G565" s="200"/>
      <c r="H565" s="200"/>
      <c r="I565" s="200"/>
    </row>
    <row r="566" spans="1:9" x14ac:dyDescent="0.25">
      <c r="A566" s="200"/>
      <c r="B566" s="200"/>
      <c r="C566" s="200"/>
      <c r="D566" s="200"/>
      <c r="E566" s="200"/>
      <c r="F566" s="200"/>
      <c r="G566" s="200"/>
      <c r="H566" s="200"/>
      <c r="I566" s="200"/>
    </row>
    <row r="567" spans="1:9" x14ac:dyDescent="0.25">
      <c r="A567" s="200"/>
      <c r="B567" s="200"/>
      <c r="C567" s="200"/>
      <c r="D567" s="200"/>
      <c r="E567" s="200"/>
      <c r="F567" s="200"/>
      <c r="G567" s="200"/>
      <c r="H567" s="200"/>
      <c r="I567" s="200"/>
    </row>
    <row r="568" spans="1:9" x14ac:dyDescent="0.25">
      <c r="A568" s="200"/>
      <c r="B568" s="200"/>
      <c r="C568" s="200"/>
      <c r="D568" s="200"/>
      <c r="E568" s="200"/>
      <c r="F568" s="200"/>
      <c r="G568" s="200"/>
      <c r="H568" s="200"/>
      <c r="I568" s="200"/>
    </row>
    <row r="569" spans="1:9" x14ac:dyDescent="0.25">
      <c r="A569" s="200"/>
      <c r="B569" s="200"/>
      <c r="C569" s="200"/>
      <c r="D569" s="200"/>
      <c r="E569" s="200"/>
      <c r="F569" s="200"/>
      <c r="G569" s="200"/>
      <c r="H569" s="200"/>
      <c r="I569" s="200"/>
    </row>
    <row r="570" spans="1:9" x14ac:dyDescent="0.25">
      <c r="A570" s="200"/>
      <c r="B570" s="200"/>
      <c r="C570" s="200"/>
      <c r="D570" s="200"/>
      <c r="E570" s="200"/>
      <c r="F570" s="200"/>
      <c r="G570" s="200"/>
      <c r="H570" s="200"/>
      <c r="I570" s="200"/>
    </row>
    <row r="571" spans="1:9" x14ac:dyDescent="0.25">
      <c r="A571" s="200"/>
      <c r="B571" s="200"/>
      <c r="C571" s="200"/>
      <c r="D571" s="200"/>
      <c r="E571" s="200"/>
      <c r="F571" s="200"/>
      <c r="G571" s="200"/>
      <c r="H571" s="200"/>
      <c r="I571" s="200"/>
    </row>
    <row r="572" spans="1:9" x14ac:dyDescent="0.25">
      <c r="A572" s="200"/>
      <c r="B572" s="200"/>
      <c r="C572" s="200"/>
      <c r="D572" s="200"/>
      <c r="E572" s="200"/>
      <c r="F572" s="200"/>
      <c r="G572" s="200"/>
      <c r="H572" s="200"/>
      <c r="I572" s="200"/>
    </row>
    <row r="573" spans="1:9" x14ac:dyDescent="0.25">
      <c r="A573" s="200"/>
      <c r="B573" s="200"/>
      <c r="C573" s="200"/>
      <c r="D573" s="200"/>
      <c r="E573" s="200"/>
      <c r="F573" s="200"/>
      <c r="G573" s="200"/>
      <c r="H573" s="200"/>
      <c r="I573" s="200"/>
    </row>
    <row r="574" spans="1:9" x14ac:dyDescent="0.25">
      <c r="A574" s="200"/>
      <c r="B574" s="200"/>
      <c r="C574" s="200"/>
      <c r="D574" s="200"/>
      <c r="E574" s="200"/>
      <c r="F574" s="200"/>
      <c r="G574" s="200"/>
      <c r="H574" s="200"/>
      <c r="I574" s="200"/>
    </row>
    <row r="575" spans="1:9" x14ac:dyDescent="0.25">
      <c r="A575" s="200"/>
      <c r="B575" s="200"/>
      <c r="C575" s="200"/>
      <c r="D575" s="200"/>
      <c r="E575" s="200"/>
      <c r="F575" s="200"/>
      <c r="G575" s="200"/>
      <c r="H575" s="200"/>
      <c r="I575" s="200"/>
    </row>
    <row r="576" spans="1:9" x14ac:dyDescent="0.25">
      <c r="A576" s="200"/>
      <c r="B576" s="200"/>
      <c r="C576" s="200"/>
      <c r="D576" s="200"/>
      <c r="E576" s="200"/>
      <c r="F576" s="200"/>
      <c r="G576" s="200"/>
      <c r="H576" s="200"/>
      <c r="I576" s="200"/>
    </row>
    <row r="577" spans="1:9" x14ac:dyDescent="0.25">
      <c r="A577" s="200"/>
      <c r="B577" s="200"/>
      <c r="C577" s="200"/>
      <c r="D577" s="200"/>
      <c r="E577" s="200"/>
      <c r="F577" s="200"/>
      <c r="G577" s="200"/>
      <c r="H577" s="200"/>
      <c r="I577" s="200"/>
    </row>
    <row r="578" spans="1:9" x14ac:dyDescent="0.25">
      <c r="A578" s="200"/>
      <c r="B578" s="200"/>
      <c r="C578" s="200"/>
      <c r="D578" s="200"/>
      <c r="E578" s="200"/>
      <c r="F578" s="200"/>
      <c r="G578" s="200"/>
      <c r="H578" s="200"/>
      <c r="I578" s="200"/>
    </row>
    <row r="579" spans="1:9" x14ac:dyDescent="0.25">
      <c r="A579" s="200"/>
      <c r="B579" s="200"/>
      <c r="C579" s="200"/>
      <c r="D579" s="200"/>
      <c r="E579" s="200"/>
      <c r="F579" s="200"/>
      <c r="G579" s="200"/>
      <c r="H579" s="200"/>
      <c r="I579" s="200"/>
    </row>
    <row r="580" spans="1:9" x14ac:dyDescent="0.25">
      <c r="A580" s="200"/>
      <c r="B580" s="200"/>
      <c r="C580" s="200"/>
      <c r="D580" s="200"/>
      <c r="E580" s="200"/>
      <c r="F580" s="200"/>
      <c r="G580" s="200"/>
      <c r="H580" s="200"/>
      <c r="I580" s="200"/>
    </row>
    <row r="581" spans="1:9" x14ac:dyDescent="0.25">
      <c r="A581" s="200"/>
      <c r="B581" s="200"/>
      <c r="C581" s="200"/>
      <c r="D581" s="200"/>
      <c r="E581" s="200"/>
      <c r="F581" s="200"/>
      <c r="G581" s="200"/>
      <c r="H581" s="200"/>
      <c r="I581" s="200"/>
    </row>
    <row r="582" spans="1:9" x14ac:dyDescent="0.25">
      <c r="A582" s="200"/>
      <c r="B582" s="200"/>
      <c r="C582" s="200"/>
      <c r="D582" s="200"/>
      <c r="E582" s="200"/>
      <c r="F582" s="200"/>
      <c r="G582" s="200"/>
      <c r="H582" s="200"/>
      <c r="I582" s="200"/>
    </row>
    <row r="583" spans="1:9" x14ac:dyDescent="0.25">
      <c r="A583" s="200"/>
      <c r="B583" s="200"/>
      <c r="C583" s="200"/>
      <c r="D583" s="200"/>
      <c r="E583" s="200"/>
      <c r="F583" s="200"/>
      <c r="G583" s="200"/>
      <c r="H583" s="200"/>
      <c r="I583" s="200"/>
    </row>
    <row r="584" spans="1:9" x14ac:dyDescent="0.25">
      <c r="A584" s="200"/>
      <c r="B584" s="200"/>
      <c r="C584" s="200"/>
      <c r="D584" s="200"/>
      <c r="E584" s="200"/>
      <c r="F584" s="200"/>
      <c r="G584" s="200"/>
      <c r="H584" s="200"/>
      <c r="I584" s="200"/>
    </row>
    <row r="585" spans="1:9" x14ac:dyDescent="0.25">
      <c r="A585" s="200"/>
      <c r="B585" s="200"/>
      <c r="C585" s="200"/>
      <c r="D585" s="200"/>
      <c r="E585" s="200"/>
      <c r="F585" s="200"/>
      <c r="G585" s="200"/>
      <c r="H585" s="200"/>
      <c r="I585" s="200"/>
    </row>
    <row r="586" spans="1:9" x14ac:dyDescent="0.25">
      <c r="A586" s="200"/>
      <c r="B586" s="200"/>
      <c r="C586" s="200"/>
      <c r="D586" s="200"/>
      <c r="E586" s="200"/>
      <c r="F586" s="200"/>
      <c r="G586" s="200"/>
      <c r="H586" s="200"/>
      <c r="I586" s="200"/>
    </row>
    <row r="587" spans="1:9" x14ac:dyDescent="0.25">
      <c r="A587" s="200"/>
      <c r="B587" s="200"/>
      <c r="C587" s="200"/>
      <c r="D587" s="200"/>
      <c r="E587" s="200"/>
      <c r="F587" s="200"/>
      <c r="G587" s="200"/>
      <c r="H587" s="200"/>
      <c r="I587" s="200"/>
    </row>
    <row r="588" spans="1:9" x14ac:dyDescent="0.25">
      <c r="A588" s="200"/>
      <c r="B588" s="200"/>
      <c r="C588" s="200"/>
      <c r="D588" s="200"/>
      <c r="E588" s="200"/>
      <c r="F588" s="200"/>
      <c r="G588" s="200"/>
      <c r="H588" s="200"/>
      <c r="I588" s="200"/>
    </row>
    <row r="589" spans="1:9" x14ac:dyDescent="0.25">
      <c r="A589" s="200"/>
      <c r="B589" s="200"/>
      <c r="C589" s="200"/>
      <c r="D589" s="200"/>
      <c r="E589" s="200"/>
      <c r="F589" s="200"/>
      <c r="G589" s="200"/>
      <c r="H589" s="200"/>
      <c r="I589" s="200"/>
    </row>
    <row r="590" spans="1:9" x14ac:dyDescent="0.25">
      <c r="A590" s="200"/>
      <c r="B590" s="200"/>
      <c r="C590" s="200"/>
      <c r="D590" s="200"/>
      <c r="E590" s="200"/>
      <c r="F590" s="200"/>
      <c r="G590" s="200"/>
      <c r="H590" s="200"/>
      <c r="I590" s="200"/>
    </row>
    <row r="591" spans="1:9" x14ac:dyDescent="0.25">
      <c r="A591" s="200"/>
      <c r="B591" s="200"/>
      <c r="C591" s="200"/>
      <c r="D591" s="200"/>
      <c r="E591" s="200"/>
      <c r="F591" s="200"/>
      <c r="G591" s="200"/>
      <c r="H591" s="200"/>
      <c r="I591" s="200"/>
    </row>
    <row r="592" spans="1:9" x14ac:dyDescent="0.25">
      <c r="A592" s="200"/>
      <c r="B592" s="200"/>
      <c r="C592" s="200"/>
      <c r="D592" s="200"/>
      <c r="E592" s="200"/>
      <c r="F592" s="200"/>
      <c r="G592" s="200"/>
      <c r="H592" s="200"/>
      <c r="I592" s="200"/>
    </row>
    <row r="593" spans="1:9" x14ac:dyDescent="0.25">
      <c r="A593" s="200"/>
      <c r="B593" s="200"/>
      <c r="C593" s="200"/>
      <c r="D593" s="200"/>
      <c r="E593" s="200"/>
      <c r="F593" s="200"/>
      <c r="G593" s="200"/>
      <c r="H593" s="200"/>
      <c r="I593" s="200"/>
    </row>
    <row r="594" spans="1:9" x14ac:dyDescent="0.25">
      <c r="A594" s="200"/>
      <c r="B594" s="200"/>
      <c r="C594" s="200"/>
      <c r="D594" s="200"/>
      <c r="E594" s="200"/>
      <c r="F594" s="200"/>
      <c r="G594" s="200"/>
      <c r="H594" s="200"/>
      <c r="I594" s="200"/>
    </row>
    <row r="595" spans="1:9" x14ac:dyDescent="0.25">
      <c r="A595" s="200"/>
      <c r="B595" s="200"/>
      <c r="C595" s="200"/>
      <c r="D595" s="200"/>
      <c r="E595" s="200"/>
      <c r="F595" s="200"/>
      <c r="G595" s="200"/>
      <c r="H595" s="200"/>
      <c r="I595" s="200"/>
    </row>
    <row r="596" spans="1:9" x14ac:dyDescent="0.25">
      <c r="A596" s="200"/>
      <c r="B596" s="200"/>
      <c r="C596" s="200"/>
      <c r="D596" s="200"/>
      <c r="E596" s="200"/>
      <c r="F596" s="200"/>
      <c r="G596" s="200"/>
      <c r="H596" s="200"/>
      <c r="I596" s="200"/>
    </row>
    <row r="597" spans="1:9" x14ac:dyDescent="0.25">
      <c r="A597" s="200"/>
      <c r="B597" s="200"/>
      <c r="C597" s="200"/>
      <c r="D597" s="200"/>
      <c r="E597" s="200"/>
      <c r="F597" s="200"/>
      <c r="G597" s="200"/>
      <c r="H597" s="200"/>
      <c r="I597" s="200"/>
    </row>
    <row r="598" spans="1:9" x14ac:dyDescent="0.25">
      <c r="A598" s="200"/>
      <c r="B598" s="200"/>
      <c r="C598" s="200"/>
      <c r="D598" s="200"/>
      <c r="E598" s="200"/>
      <c r="F598" s="200"/>
      <c r="G598" s="200"/>
      <c r="H598" s="200"/>
      <c r="I598" s="200"/>
    </row>
    <row r="599" spans="1:9" x14ac:dyDescent="0.25">
      <c r="A599" s="200"/>
      <c r="B599" s="200"/>
      <c r="C599" s="200"/>
      <c r="D599" s="200"/>
      <c r="E599" s="200"/>
      <c r="F599" s="200"/>
      <c r="G599" s="200"/>
      <c r="H599" s="200"/>
      <c r="I599" s="200"/>
    </row>
    <row r="600" spans="1:9" x14ac:dyDescent="0.25">
      <c r="A600" s="200"/>
      <c r="B600" s="200"/>
      <c r="C600" s="200"/>
      <c r="D600" s="200"/>
      <c r="E600" s="200"/>
      <c r="F600" s="200"/>
      <c r="G600" s="200"/>
      <c r="H600" s="200"/>
      <c r="I600" s="200"/>
    </row>
    <row r="601" spans="1:9" x14ac:dyDescent="0.25">
      <c r="A601" s="200"/>
      <c r="B601" s="200"/>
      <c r="C601" s="200"/>
      <c r="D601" s="200"/>
      <c r="E601" s="200"/>
      <c r="F601" s="200"/>
      <c r="G601" s="200"/>
      <c r="H601" s="200"/>
      <c r="I601" s="200"/>
    </row>
    <row r="602" spans="1:9" x14ac:dyDescent="0.25">
      <c r="A602" s="200"/>
      <c r="B602" s="200"/>
      <c r="C602" s="200"/>
      <c r="D602" s="200"/>
      <c r="E602" s="200"/>
      <c r="F602" s="200"/>
      <c r="G602" s="200"/>
      <c r="H602" s="200"/>
      <c r="I602" s="200"/>
    </row>
    <row r="603" spans="1:9" x14ac:dyDescent="0.25">
      <c r="A603" s="200"/>
      <c r="B603" s="200"/>
      <c r="C603" s="200"/>
      <c r="D603" s="200"/>
      <c r="E603" s="200"/>
      <c r="F603" s="200"/>
      <c r="G603" s="200"/>
      <c r="H603" s="200"/>
      <c r="I603" s="200"/>
    </row>
    <row r="604" spans="1:9" x14ac:dyDescent="0.25">
      <c r="A604" s="200"/>
      <c r="B604" s="200"/>
      <c r="C604" s="200"/>
      <c r="D604" s="200"/>
      <c r="E604" s="200"/>
      <c r="F604" s="200"/>
      <c r="G604" s="200"/>
      <c r="H604" s="200"/>
      <c r="I604" s="200"/>
    </row>
    <row r="605" spans="1:9" x14ac:dyDescent="0.25">
      <c r="A605" s="200"/>
      <c r="B605" s="200"/>
      <c r="C605" s="200"/>
      <c r="D605" s="200"/>
      <c r="E605" s="200"/>
      <c r="F605" s="200"/>
      <c r="G605" s="200"/>
      <c r="H605" s="200"/>
      <c r="I605" s="200"/>
    </row>
    <row r="606" spans="1:9" x14ac:dyDescent="0.25">
      <c r="A606" s="200"/>
      <c r="B606" s="200"/>
      <c r="C606" s="200"/>
      <c r="D606" s="200"/>
      <c r="E606" s="200"/>
      <c r="F606" s="200"/>
      <c r="G606" s="200"/>
      <c r="H606" s="200"/>
      <c r="I606" s="200"/>
    </row>
    <row r="607" spans="1:9" x14ac:dyDescent="0.25">
      <c r="A607" s="200"/>
      <c r="B607" s="200"/>
      <c r="C607" s="200"/>
      <c r="D607" s="200"/>
      <c r="E607" s="200"/>
      <c r="F607" s="200"/>
      <c r="G607" s="200"/>
      <c r="H607" s="200"/>
      <c r="I607" s="200"/>
    </row>
    <row r="608" spans="1:9" x14ac:dyDescent="0.25">
      <c r="A608" s="200"/>
      <c r="B608" s="200"/>
      <c r="C608" s="200"/>
      <c r="D608" s="200"/>
      <c r="E608" s="200"/>
      <c r="F608" s="200"/>
      <c r="G608" s="200"/>
      <c r="H608" s="200"/>
      <c r="I608" s="200"/>
    </row>
    <row r="609" spans="1:9" x14ac:dyDescent="0.25">
      <c r="A609" s="200"/>
      <c r="B609" s="200"/>
      <c r="C609" s="200"/>
      <c r="D609" s="200"/>
      <c r="E609" s="200"/>
      <c r="F609" s="200"/>
      <c r="G609" s="200"/>
      <c r="H609" s="200"/>
      <c r="I609" s="200"/>
    </row>
    <row r="610" spans="1:9" x14ac:dyDescent="0.25">
      <c r="A610" s="200"/>
      <c r="B610" s="200"/>
      <c r="C610" s="200"/>
      <c r="D610" s="200"/>
      <c r="E610" s="200"/>
      <c r="F610" s="200"/>
      <c r="G610" s="200"/>
      <c r="H610" s="200"/>
      <c r="I610" s="200"/>
    </row>
    <row r="611" spans="1:9" x14ac:dyDescent="0.25">
      <c r="A611" s="200"/>
      <c r="B611" s="200"/>
      <c r="C611" s="200"/>
      <c r="D611" s="200"/>
      <c r="E611" s="200"/>
      <c r="F611" s="200"/>
      <c r="G611" s="200"/>
      <c r="H611" s="200"/>
      <c r="I611" s="200"/>
    </row>
    <row r="612" spans="1:9" x14ac:dyDescent="0.25">
      <c r="A612" s="200"/>
      <c r="B612" s="200"/>
      <c r="C612" s="200"/>
      <c r="D612" s="200"/>
      <c r="E612" s="200"/>
      <c r="F612" s="200"/>
      <c r="G612" s="200"/>
      <c r="H612" s="200"/>
      <c r="I612" s="200"/>
    </row>
    <row r="613" spans="1:9" x14ac:dyDescent="0.25">
      <c r="A613" s="200"/>
      <c r="B613" s="200"/>
      <c r="C613" s="200"/>
      <c r="D613" s="200"/>
      <c r="E613" s="200"/>
      <c r="F613" s="200"/>
      <c r="G613" s="200"/>
      <c r="H613" s="200"/>
      <c r="I613" s="200"/>
    </row>
    <row r="614" spans="1:9" x14ac:dyDescent="0.25">
      <c r="A614" s="200"/>
      <c r="B614" s="200"/>
      <c r="C614" s="200"/>
      <c r="D614" s="200"/>
      <c r="E614" s="200"/>
      <c r="F614" s="200"/>
      <c r="G614" s="200"/>
      <c r="H614" s="200"/>
      <c r="I614" s="200"/>
    </row>
    <row r="615" spans="1:9" x14ac:dyDescent="0.25">
      <c r="A615" s="200"/>
      <c r="B615" s="200"/>
      <c r="C615" s="200"/>
      <c r="D615" s="200"/>
      <c r="E615" s="200"/>
      <c r="F615" s="200"/>
      <c r="G615" s="200"/>
      <c r="H615" s="200"/>
      <c r="I615" s="200"/>
    </row>
    <row r="616" spans="1:9" x14ac:dyDescent="0.25">
      <c r="A616" s="200"/>
      <c r="B616" s="200"/>
      <c r="C616" s="200"/>
      <c r="D616" s="200"/>
      <c r="E616" s="200"/>
      <c r="F616" s="200"/>
      <c r="G616" s="200"/>
      <c r="H616" s="200"/>
      <c r="I616" s="200"/>
    </row>
    <row r="617" spans="1:9" x14ac:dyDescent="0.25">
      <c r="A617" s="200"/>
      <c r="B617" s="200"/>
      <c r="C617" s="200"/>
      <c r="D617" s="200"/>
      <c r="E617" s="200"/>
      <c r="F617" s="200"/>
      <c r="G617" s="200"/>
      <c r="H617" s="200"/>
      <c r="I617" s="200"/>
    </row>
    <row r="618" spans="1:9" x14ac:dyDescent="0.25">
      <c r="A618" s="200"/>
      <c r="B618" s="200"/>
      <c r="C618" s="200"/>
      <c r="D618" s="200"/>
      <c r="E618" s="200"/>
      <c r="F618" s="200"/>
      <c r="G618" s="200"/>
      <c r="H618" s="200"/>
      <c r="I618" s="200"/>
    </row>
    <row r="619" spans="1:9" x14ac:dyDescent="0.25">
      <c r="A619" s="200"/>
      <c r="B619" s="200"/>
      <c r="C619" s="200"/>
      <c r="D619" s="200"/>
      <c r="E619" s="200"/>
      <c r="F619" s="200"/>
      <c r="G619" s="200"/>
      <c r="H619" s="200"/>
      <c r="I619" s="200"/>
    </row>
    <row r="620" spans="1:9" x14ac:dyDescent="0.25">
      <c r="A620" s="200"/>
      <c r="B620" s="200"/>
      <c r="C620" s="200"/>
      <c r="D620" s="200"/>
      <c r="E620" s="200"/>
      <c r="F620" s="200"/>
      <c r="G620" s="200"/>
      <c r="H620" s="200"/>
      <c r="I620" s="200"/>
    </row>
    <row r="621" spans="1:9" x14ac:dyDescent="0.25">
      <c r="A621" s="200"/>
      <c r="B621" s="200"/>
      <c r="C621" s="200"/>
      <c r="D621" s="200"/>
      <c r="E621" s="200"/>
      <c r="F621" s="200"/>
      <c r="G621" s="200"/>
      <c r="H621" s="200"/>
      <c r="I621" s="200"/>
    </row>
    <row r="622" spans="1:9" x14ac:dyDescent="0.25">
      <c r="A622" s="200"/>
      <c r="B622" s="200"/>
      <c r="C622" s="200"/>
      <c r="D622" s="200"/>
      <c r="E622" s="200"/>
      <c r="F622" s="200"/>
      <c r="G622" s="200"/>
      <c r="H622" s="200"/>
      <c r="I622" s="200"/>
    </row>
    <row r="623" spans="1:9" x14ac:dyDescent="0.25">
      <c r="A623" s="200"/>
      <c r="B623" s="200"/>
      <c r="C623" s="200"/>
      <c r="D623" s="200"/>
      <c r="E623" s="200"/>
      <c r="F623" s="200"/>
      <c r="G623" s="200"/>
      <c r="H623" s="200"/>
      <c r="I623" s="200"/>
    </row>
    <row r="624" spans="1:9" x14ac:dyDescent="0.25">
      <c r="A624" s="200"/>
      <c r="B624" s="200"/>
      <c r="C624" s="200"/>
      <c r="D624" s="200"/>
      <c r="E624" s="200"/>
      <c r="F624" s="200"/>
      <c r="G624" s="200"/>
      <c r="H624" s="200"/>
      <c r="I624" s="200"/>
    </row>
    <row r="625" spans="1:9" x14ac:dyDescent="0.25">
      <c r="A625" s="200"/>
      <c r="B625" s="200"/>
      <c r="C625" s="200"/>
      <c r="D625" s="200"/>
      <c r="E625" s="200"/>
      <c r="F625" s="200"/>
      <c r="G625" s="200"/>
      <c r="H625" s="200"/>
      <c r="I625" s="200"/>
    </row>
    <row r="626" spans="1:9" x14ac:dyDescent="0.25">
      <c r="A626" s="200"/>
      <c r="B626" s="200"/>
      <c r="C626" s="200"/>
      <c r="D626" s="200"/>
      <c r="E626" s="200"/>
      <c r="F626" s="200"/>
      <c r="G626" s="200"/>
      <c r="H626" s="200"/>
      <c r="I626" s="200"/>
    </row>
    <row r="627" spans="1:9" x14ac:dyDescent="0.25">
      <c r="A627" s="200"/>
      <c r="B627" s="200"/>
      <c r="C627" s="200"/>
      <c r="D627" s="200"/>
      <c r="E627" s="200"/>
      <c r="F627" s="200"/>
      <c r="G627" s="200"/>
      <c r="H627" s="200"/>
      <c r="I627" s="200"/>
    </row>
    <row r="628" spans="1:9" x14ac:dyDescent="0.25">
      <c r="A628" s="200"/>
      <c r="B628" s="200"/>
      <c r="C628" s="200"/>
      <c r="D628" s="200"/>
      <c r="E628" s="200"/>
      <c r="F628" s="200"/>
      <c r="G628" s="200"/>
      <c r="H628" s="200"/>
      <c r="I628" s="200"/>
    </row>
    <row r="629" spans="1:9" x14ac:dyDescent="0.25">
      <c r="A629" s="200"/>
      <c r="B629" s="200"/>
      <c r="C629" s="200"/>
      <c r="D629" s="200"/>
      <c r="E629" s="200"/>
      <c r="F629" s="200"/>
      <c r="G629" s="200"/>
      <c r="H629" s="200"/>
      <c r="I629" s="200"/>
    </row>
    <row r="630" spans="1:9" x14ac:dyDescent="0.25">
      <c r="A630" s="200"/>
      <c r="B630" s="200"/>
      <c r="C630" s="200"/>
      <c r="D630" s="200"/>
      <c r="E630" s="200"/>
      <c r="F630" s="200"/>
      <c r="G630" s="200"/>
      <c r="H630" s="200"/>
      <c r="I630" s="200"/>
    </row>
    <row r="631" spans="1:9" x14ac:dyDescent="0.25">
      <c r="A631" s="200"/>
      <c r="B631" s="200"/>
      <c r="C631" s="200"/>
      <c r="D631" s="200"/>
      <c r="E631" s="200"/>
      <c r="F631" s="200"/>
      <c r="G631" s="200"/>
      <c r="H631" s="200"/>
      <c r="I631" s="200"/>
    </row>
    <row r="632" spans="1:9" x14ac:dyDescent="0.25">
      <c r="A632" s="200"/>
      <c r="B632" s="200"/>
      <c r="C632" s="200"/>
      <c r="D632" s="200"/>
      <c r="E632" s="200"/>
      <c r="F632" s="200"/>
      <c r="G632" s="200"/>
      <c r="H632" s="200"/>
      <c r="I632" s="200"/>
    </row>
    <row r="633" spans="1:9" x14ac:dyDescent="0.25">
      <c r="A633" s="200"/>
      <c r="B633" s="200"/>
      <c r="C633" s="200"/>
      <c r="D633" s="200"/>
      <c r="E633" s="200"/>
      <c r="F633" s="200"/>
      <c r="G633" s="200"/>
      <c r="H633" s="200"/>
      <c r="I633" s="200"/>
    </row>
    <row r="634" spans="1:9" x14ac:dyDescent="0.25">
      <c r="A634" s="200"/>
      <c r="B634" s="200"/>
      <c r="C634" s="200"/>
      <c r="D634" s="200"/>
      <c r="E634" s="200"/>
      <c r="F634" s="200"/>
      <c r="G634" s="200"/>
      <c r="H634" s="200"/>
      <c r="I634" s="200"/>
    </row>
    <row r="635" spans="1:9" x14ac:dyDescent="0.25">
      <c r="A635" s="200"/>
      <c r="B635" s="200"/>
      <c r="C635" s="200"/>
      <c r="D635" s="200"/>
      <c r="E635" s="200"/>
      <c r="F635" s="200"/>
      <c r="G635" s="200"/>
      <c r="H635" s="200"/>
      <c r="I635" s="200"/>
    </row>
    <row r="636" spans="1:9" x14ac:dyDescent="0.25">
      <c r="A636" s="200"/>
      <c r="B636" s="200"/>
      <c r="C636" s="200"/>
      <c r="D636" s="200"/>
      <c r="E636" s="200"/>
      <c r="F636" s="200"/>
      <c r="G636" s="200"/>
      <c r="H636" s="200"/>
      <c r="I636" s="200"/>
    </row>
    <row r="637" spans="1:9" x14ac:dyDescent="0.25">
      <c r="A637" s="200"/>
      <c r="B637" s="200"/>
      <c r="C637" s="200"/>
      <c r="D637" s="200"/>
      <c r="E637" s="200"/>
      <c r="F637" s="200"/>
      <c r="G637" s="200"/>
      <c r="H637" s="200"/>
      <c r="I637" s="200"/>
    </row>
    <row r="638" spans="1:9" x14ac:dyDescent="0.25">
      <c r="A638" s="200"/>
      <c r="B638" s="200"/>
      <c r="C638" s="200"/>
      <c r="D638" s="200"/>
      <c r="E638" s="200"/>
      <c r="F638" s="200"/>
      <c r="G638" s="200"/>
      <c r="H638" s="200"/>
      <c r="I638" s="200"/>
    </row>
    <row r="639" spans="1:9" x14ac:dyDescent="0.25">
      <c r="A639" s="200"/>
      <c r="B639" s="200"/>
      <c r="C639" s="200"/>
      <c r="D639" s="200"/>
      <c r="E639" s="200"/>
      <c r="F639" s="200"/>
      <c r="G639" s="200"/>
      <c r="H639" s="200"/>
      <c r="I639" s="200"/>
    </row>
    <row r="640" spans="1:9" x14ac:dyDescent="0.25">
      <c r="A640" s="200"/>
      <c r="B640" s="200"/>
      <c r="C640" s="200"/>
      <c r="D640" s="200"/>
      <c r="E640" s="200"/>
      <c r="F640" s="200"/>
      <c r="G640" s="200"/>
      <c r="H640" s="200"/>
      <c r="I640" s="200"/>
    </row>
    <row r="641" spans="1:9" x14ac:dyDescent="0.25">
      <c r="A641" s="200"/>
      <c r="B641" s="200"/>
      <c r="C641" s="200"/>
      <c r="D641" s="200"/>
      <c r="E641" s="200"/>
      <c r="F641" s="200"/>
      <c r="G641" s="200"/>
      <c r="H641" s="200"/>
      <c r="I641" s="200"/>
    </row>
    <row r="642" spans="1:9" x14ac:dyDescent="0.25">
      <c r="A642" s="200"/>
      <c r="B642" s="200"/>
      <c r="C642" s="200"/>
      <c r="D642" s="200"/>
      <c r="E642" s="200"/>
      <c r="F642" s="200"/>
      <c r="G642" s="200"/>
      <c r="H642" s="200"/>
      <c r="I642" s="200"/>
    </row>
    <row r="643" spans="1:9" x14ac:dyDescent="0.25">
      <c r="A643" s="200"/>
      <c r="B643" s="200"/>
      <c r="C643" s="200"/>
      <c r="D643" s="200"/>
      <c r="E643" s="200"/>
      <c r="F643" s="200"/>
      <c r="G643" s="200"/>
      <c r="H643" s="200"/>
      <c r="I643" s="200"/>
    </row>
    <row r="644" spans="1:9" x14ac:dyDescent="0.25">
      <c r="A644" s="200"/>
      <c r="B644" s="200"/>
      <c r="C644" s="200"/>
      <c r="D644" s="200"/>
      <c r="E644" s="200"/>
      <c r="F644" s="200"/>
      <c r="G644" s="200"/>
      <c r="H644" s="200"/>
      <c r="I644" s="200"/>
    </row>
    <row r="645" spans="1:9" x14ac:dyDescent="0.25">
      <c r="A645" s="200"/>
      <c r="B645" s="200"/>
      <c r="C645" s="200"/>
      <c r="D645" s="200"/>
      <c r="E645" s="200"/>
      <c r="F645" s="200"/>
      <c r="G645" s="200"/>
      <c r="H645" s="200"/>
      <c r="I645" s="200"/>
    </row>
    <row r="646" spans="1:9" x14ac:dyDescent="0.25">
      <c r="A646" s="200"/>
      <c r="B646" s="200"/>
      <c r="C646" s="200"/>
      <c r="D646" s="200"/>
      <c r="E646" s="200"/>
      <c r="F646" s="200"/>
      <c r="G646" s="200"/>
      <c r="H646" s="200"/>
      <c r="I646" s="200"/>
    </row>
    <row r="647" spans="1:9" x14ac:dyDescent="0.25">
      <c r="A647" s="200"/>
      <c r="B647" s="200"/>
      <c r="C647" s="200"/>
      <c r="D647" s="200"/>
      <c r="E647" s="200"/>
      <c r="F647" s="200"/>
      <c r="G647" s="200"/>
      <c r="H647" s="200"/>
      <c r="I647" s="200"/>
    </row>
    <row r="648" spans="1:9" x14ac:dyDescent="0.25">
      <c r="A648" s="200"/>
      <c r="B648" s="200"/>
      <c r="C648" s="200"/>
      <c r="D648" s="200"/>
      <c r="E648" s="200"/>
      <c r="F648" s="200"/>
      <c r="G648" s="200"/>
      <c r="H648" s="200"/>
      <c r="I648" s="200"/>
    </row>
    <row r="649" spans="1:9" x14ac:dyDescent="0.25">
      <c r="A649" s="200"/>
      <c r="B649" s="200"/>
      <c r="C649" s="200"/>
      <c r="D649" s="200"/>
      <c r="E649" s="200"/>
      <c r="F649" s="200"/>
      <c r="G649" s="200"/>
      <c r="H649" s="200"/>
      <c r="I649" s="200"/>
    </row>
    <row r="650" spans="1:9" x14ac:dyDescent="0.25">
      <c r="A650" s="200"/>
      <c r="B650" s="200"/>
      <c r="C650" s="200"/>
      <c r="D650" s="200"/>
      <c r="E650" s="200"/>
      <c r="F650" s="200"/>
      <c r="G650" s="200"/>
      <c r="H650" s="200"/>
      <c r="I650" s="200"/>
    </row>
    <row r="651" spans="1:9" x14ac:dyDescent="0.25">
      <c r="A651" s="200"/>
      <c r="B651" s="200"/>
      <c r="C651" s="200"/>
      <c r="D651" s="200"/>
      <c r="E651" s="200"/>
      <c r="F651" s="200"/>
      <c r="G651" s="200"/>
      <c r="H651" s="200"/>
      <c r="I651" s="200"/>
    </row>
    <row r="652" spans="1:9" x14ac:dyDescent="0.25">
      <c r="A652" s="200"/>
      <c r="B652" s="200"/>
      <c r="C652" s="200"/>
      <c r="D652" s="200"/>
      <c r="E652" s="200"/>
      <c r="F652" s="200"/>
      <c r="G652" s="200"/>
      <c r="H652" s="200"/>
      <c r="I652" s="200"/>
    </row>
    <row r="653" spans="1:9" x14ac:dyDescent="0.25">
      <c r="A653" s="200"/>
      <c r="B653" s="200"/>
      <c r="C653" s="200"/>
      <c r="D653" s="200"/>
      <c r="E653" s="200"/>
      <c r="F653" s="200"/>
      <c r="G653" s="200"/>
      <c r="H653" s="200"/>
      <c r="I653" s="200"/>
    </row>
    <row r="654" spans="1:9" x14ac:dyDescent="0.25">
      <c r="A654" s="200"/>
      <c r="B654" s="200"/>
      <c r="C654" s="200"/>
      <c r="D654" s="200"/>
      <c r="E654" s="200"/>
      <c r="F654" s="200"/>
      <c r="G654" s="200"/>
      <c r="H654" s="200"/>
      <c r="I654" s="200"/>
    </row>
    <row r="655" spans="1:9" x14ac:dyDescent="0.25">
      <c r="A655" s="200"/>
      <c r="B655" s="200"/>
      <c r="C655" s="200"/>
      <c r="D655" s="200"/>
      <c r="E655" s="200"/>
      <c r="F655" s="200"/>
      <c r="G655" s="200"/>
      <c r="H655" s="200"/>
      <c r="I655" s="200"/>
    </row>
    <row r="656" spans="1:9" x14ac:dyDescent="0.25">
      <c r="A656" s="200"/>
      <c r="B656" s="200"/>
      <c r="C656" s="200"/>
      <c r="D656" s="200"/>
      <c r="E656" s="200"/>
      <c r="F656" s="200"/>
      <c r="G656" s="200"/>
      <c r="H656" s="200"/>
      <c r="I656" s="200"/>
    </row>
    <row r="657" spans="1:9" x14ac:dyDescent="0.25">
      <c r="A657" s="200"/>
      <c r="B657" s="200"/>
      <c r="C657" s="200"/>
      <c r="D657" s="200"/>
      <c r="E657" s="200"/>
      <c r="F657" s="200"/>
      <c r="G657" s="200"/>
      <c r="H657" s="200"/>
      <c r="I657" s="200"/>
    </row>
    <row r="658" spans="1:9" x14ac:dyDescent="0.25">
      <c r="A658" s="200"/>
      <c r="B658" s="200"/>
      <c r="C658" s="200"/>
      <c r="D658" s="200"/>
      <c r="E658" s="200"/>
      <c r="F658" s="200"/>
      <c r="G658" s="200"/>
      <c r="H658" s="200"/>
      <c r="I658" s="200"/>
    </row>
    <row r="659" spans="1:9" x14ac:dyDescent="0.25">
      <c r="A659" s="200"/>
      <c r="B659" s="200"/>
      <c r="C659" s="200"/>
      <c r="D659" s="200"/>
      <c r="E659" s="200"/>
      <c r="F659" s="200"/>
      <c r="G659" s="200"/>
      <c r="H659" s="200"/>
      <c r="I659" s="200"/>
    </row>
    <row r="660" spans="1:9" x14ac:dyDescent="0.25">
      <c r="A660" s="200"/>
      <c r="B660" s="200"/>
      <c r="C660" s="200"/>
      <c r="D660" s="200"/>
      <c r="E660" s="200"/>
      <c r="F660" s="200"/>
      <c r="G660" s="200"/>
      <c r="H660" s="200"/>
      <c r="I660" s="200"/>
    </row>
    <row r="661" spans="1:9" x14ac:dyDescent="0.25">
      <c r="A661" s="200"/>
      <c r="B661" s="200"/>
      <c r="C661" s="200"/>
      <c r="D661" s="200"/>
      <c r="E661" s="200"/>
      <c r="F661" s="200"/>
      <c r="G661" s="200"/>
      <c r="H661" s="200"/>
      <c r="I661" s="200"/>
    </row>
    <row r="662" spans="1:9" x14ac:dyDescent="0.25">
      <c r="A662" s="200"/>
      <c r="B662" s="200"/>
      <c r="C662" s="200"/>
      <c r="D662" s="200"/>
      <c r="E662" s="200"/>
      <c r="F662" s="200"/>
      <c r="G662" s="200"/>
      <c r="H662" s="200"/>
      <c r="I662" s="200"/>
    </row>
    <row r="663" spans="1:9" x14ac:dyDescent="0.25">
      <c r="A663" s="200"/>
      <c r="B663" s="200"/>
      <c r="C663" s="200"/>
      <c r="D663" s="200"/>
      <c r="E663" s="200"/>
      <c r="F663" s="200"/>
      <c r="G663" s="200"/>
      <c r="H663" s="200"/>
      <c r="I663" s="200"/>
    </row>
    <row r="664" spans="1:9" x14ac:dyDescent="0.25">
      <c r="A664" s="200"/>
      <c r="B664" s="200"/>
      <c r="C664" s="200"/>
      <c r="D664" s="200"/>
      <c r="E664" s="200"/>
      <c r="F664" s="200"/>
      <c r="G664" s="200"/>
      <c r="H664" s="200"/>
      <c r="I664" s="200"/>
    </row>
    <row r="665" spans="1:9" x14ac:dyDescent="0.25">
      <c r="A665" s="200"/>
      <c r="B665" s="200"/>
      <c r="C665" s="200"/>
      <c r="D665" s="200"/>
      <c r="E665" s="200"/>
      <c r="F665" s="200"/>
      <c r="G665" s="200"/>
      <c r="H665" s="200"/>
      <c r="I665" s="200"/>
    </row>
    <row r="666" spans="1:9" x14ac:dyDescent="0.25">
      <c r="A666" s="200"/>
      <c r="B666" s="200"/>
      <c r="C666" s="200"/>
      <c r="D666" s="200"/>
      <c r="E666" s="200"/>
      <c r="F666" s="200"/>
      <c r="G666" s="200"/>
      <c r="H666" s="200"/>
      <c r="I666" s="200"/>
    </row>
    <row r="667" spans="1:9" x14ac:dyDescent="0.25">
      <c r="A667" s="200"/>
      <c r="B667" s="200"/>
      <c r="C667" s="200"/>
      <c r="D667" s="200"/>
      <c r="E667" s="200"/>
      <c r="F667" s="200"/>
      <c r="G667" s="200"/>
      <c r="H667" s="200"/>
      <c r="I667" s="200"/>
    </row>
    <row r="668" spans="1:9" x14ac:dyDescent="0.25">
      <c r="A668" s="200"/>
      <c r="B668" s="200"/>
      <c r="C668" s="200"/>
      <c r="D668" s="200"/>
      <c r="E668" s="200"/>
      <c r="F668" s="200"/>
      <c r="G668" s="200"/>
      <c r="H668" s="200"/>
      <c r="I668" s="200"/>
    </row>
    <row r="669" spans="1:9" x14ac:dyDescent="0.25">
      <c r="A669" s="200"/>
      <c r="B669" s="200"/>
      <c r="C669" s="200"/>
      <c r="D669" s="200"/>
      <c r="E669" s="200"/>
      <c r="F669" s="200"/>
      <c r="G669" s="200"/>
      <c r="H669" s="200"/>
      <c r="I669" s="200"/>
    </row>
    <row r="670" spans="1:9" x14ac:dyDescent="0.25">
      <c r="A670" s="200"/>
      <c r="B670" s="200"/>
      <c r="C670" s="200"/>
      <c r="D670" s="200"/>
      <c r="E670" s="200"/>
      <c r="F670" s="200"/>
      <c r="G670" s="200"/>
      <c r="H670" s="200"/>
      <c r="I670" s="200"/>
    </row>
    <row r="671" spans="1:9" x14ac:dyDescent="0.25">
      <c r="A671" s="200"/>
      <c r="B671" s="200"/>
      <c r="C671" s="200"/>
      <c r="D671" s="200"/>
      <c r="E671" s="200"/>
      <c r="F671" s="200"/>
      <c r="G671" s="200"/>
      <c r="H671" s="200"/>
      <c r="I671" s="200"/>
    </row>
    <row r="672" spans="1:9" x14ac:dyDescent="0.25">
      <c r="A672" s="200"/>
      <c r="B672" s="200"/>
      <c r="C672" s="200"/>
      <c r="D672" s="200"/>
      <c r="E672" s="200"/>
      <c r="F672" s="200"/>
      <c r="G672" s="200"/>
      <c r="H672" s="200"/>
      <c r="I672" s="200"/>
    </row>
    <row r="673" spans="1:9" x14ac:dyDescent="0.25">
      <c r="A673" s="200"/>
      <c r="B673" s="200"/>
      <c r="C673" s="200"/>
      <c r="D673" s="200"/>
      <c r="E673" s="200"/>
      <c r="F673" s="200"/>
      <c r="G673" s="200"/>
      <c r="H673" s="200"/>
      <c r="I673" s="200"/>
    </row>
    <row r="674" spans="1:9" x14ac:dyDescent="0.25">
      <c r="A674" s="200"/>
      <c r="B674" s="200"/>
      <c r="C674" s="200"/>
      <c r="D674" s="200"/>
      <c r="E674" s="200"/>
      <c r="F674" s="200"/>
      <c r="G674" s="200"/>
      <c r="H674" s="200"/>
      <c r="I674" s="200"/>
    </row>
    <row r="675" spans="1:9" x14ac:dyDescent="0.25">
      <c r="A675" s="200"/>
      <c r="B675" s="200"/>
      <c r="C675" s="200"/>
      <c r="D675" s="200"/>
      <c r="E675" s="200"/>
      <c r="F675" s="200"/>
      <c r="G675" s="200"/>
      <c r="H675" s="200"/>
      <c r="I675" s="200"/>
    </row>
    <row r="676" spans="1:9" x14ac:dyDescent="0.25">
      <c r="A676" s="200"/>
      <c r="B676" s="200"/>
      <c r="C676" s="200"/>
      <c r="D676" s="200"/>
      <c r="E676" s="200"/>
      <c r="F676" s="200"/>
      <c r="G676" s="200"/>
      <c r="H676" s="200"/>
      <c r="I676" s="200"/>
    </row>
    <row r="677" spans="1:9" x14ac:dyDescent="0.25">
      <c r="A677" s="200"/>
      <c r="B677" s="200"/>
      <c r="C677" s="200"/>
      <c r="D677" s="200"/>
      <c r="E677" s="200"/>
      <c r="F677" s="200"/>
      <c r="G677" s="200"/>
      <c r="H677" s="200"/>
      <c r="I677" s="200"/>
    </row>
    <row r="678" spans="1:9" x14ac:dyDescent="0.25">
      <c r="A678" s="200"/>
      <c r="B678" s="200"/>
      <c r="C678" s="200"/>
      <c r="D678" s="200"/>
      <c r="E678" s="200"/>
      <c r="F678" s="200"/>
      <c r="G678" s="200"/>
      <c r="H678" s="200"/>
      <c r="I678" s="200"/>
    </row>
    <row r="679" spans="1:9" x14ac:dyDescent="0.25">
      <c r="A679" s="200"/>
      <c r="B679" s="200"/>
      <c r="C679" s="200"/>
      <c r="D679" s="200"/>
      <c r="E679" s="200"/>
      <c r="F679" s="200"/>
      <c r="G679" s="200"/>
      <c r="H679" s="200"/>
      <c r="I679" s="200"/>
    </row>
    <row r="680" spans="1:9" x14ac:dyDescent="0.25">
      <c r="A680" s="200"/>
      <c r="B680" s="200"/>
      <c r="C680" s="200"/>
      <c r="D680" s="200"/>
      <c r="E680" s="200"/>
      <c r="F680" s="200"/>
      <c r="G680" s="200"/>
      <c r="H680" s="200"/>
      <c r="I680" s="200"/>
    </row>
    <row r="681" spans="1:9" x14ac:dyDescent="0.25">
      <c r="A681" s="200"/>
      <c r="B681" s="200"/>
      <c r="C681" s="200"/>
      <c r="D681" s="200"/>
      <c r="E681" s="200"/>
      <c r="F681" s="200"/>
      <c r="G681" s="200"/>
      <c r="H681" s="200"/>
      <c r="I681" s="200"/>
    </row>
    <row r="682" spans="1:9" x14ac:dyDescent="0.25">
      <c r="A682" s="200"/>
      <c r="B682" s="200"/>
      <c r="C682" s="200"/>
      <c r="D682" s="200"/>
      <c r="E682" s="200"/>
      <c r="F682" s="200"/>
      <c r="G682" s="200"/>
      <c r="H682" s="200"/>
      <c r="I682" s="200"/>
    </row>
    <row r="683" spans="1:9" x14ac:dyDescent="0.25">
      <c r="A683" s="200"/>
      <c r="B683" s="200"/>
      <c r="C683" s="200"/>
      <c r="D683" s="200"/>
      <c r="E683" s="200"/>
      <c r="F683" s="200"/>
      <c r="G683" s="200"/>
      <c r="H683" s="200"/>
      <c r="I683" s="200"/>
    </row>
    <row r="684" spans="1:9" x14ac:dyDescent="0.25">
      <c r="A684" s="200"/>
      <c r="B684" s="200"/>
      <c r="C684" s="200"/>
      <c r="D684" s="200"/>
      <c r="E684" s="200"/>
      <c r="F684" s="200"/>
      <c r="G684" s="200"/>
      <c r="H684" s="200"/>
      <c r="I684" s="200"/>
    </row>
    <row r="685" spans="1:9" x14ac:dyDescent="0.25">
      <c r="A685" s="200"/>
      <c r="B685" s="200"/>
      <c r="C685" s="200"/>
      <c r="D685" s="200"/>
      <c r="E685" s="200"/>
      <c r="F685" s="200"/>
      <c r="G685" s="200"/>
      <c r="H685" s="200"/>
      <c r="I685" s="200"/>
    </row>
    <row r="686" spans="1:9" x14ac:dyDescent="0.25">
      <c r="A686" s="200"/>
      <c r="B686" s="200"/>
      <c r="C686" s="200"/>
      <c r="D686" s="200"/>
      <c r="E686" s="200"/>
      <c r="F686" s="200"/>
      <c r="G686" s="200"/>
      <c r="H686" s="200"/>
      <c r="I686" s="200"/>
    </row>
    <row r="687" spans="1:9" x14ac:dyDescent="0.25">
      <c r="A687" s="200"/>
      <c r="B687" s="200"/>
      <c r="C687" s="200"/>
      <c r="D687" s="200"/>
      <c r="E687" s="200"/>
      <c r="F687" s="200"/>
      <c r="G687" s="200"/>
      <c r="H687" s="200"/>
      <c r="I687" s="200"/>
    </row>
    <row r="688" spans="1:9" x14ac:dyDescent="0.25">
      <c r="A688" s="200"/>
      <c r="B688" s="200"/>
      <c r="C688" s="200"/>
      <c r="D688" s="200"/>
      <c r="E688" s="200"/>
      <c r="F688" s="200"/>
      <c r="G688" s="200"/>
      <c r="H688" s="200"/>
      <c r="I688" s="200"/>
    </row>
    <row r="689" spans="1:9" x14ac:dyDescent="0.25">
      <c r="A689" s="200"/>
      <c r="B689" s="200"/>
      <c r="C689" s="200"/>
      <c r="D689" s="200"/>
      <c r="E689" s="200"/>
      <c r="F689" s="200"/>
      <c r="G689" s="200"/>
      <c r="H689" s="200"/>
      <c r="I689" s="200"/>
    </row>
    <row r="690" spans="1:9" x14ac:dyDescent="0.25">
      <c r="A690" s="200"/>
      <c r="B690" s="200"/>
      <c r="C690" s="200"/>
      <c r="D690" s="200"/>
      <c r="E690" s="200"/>
      <c r="F690" s="200"/>
      <c r="G690" s="200"/>
      <c r="H690" s="200"/>
      <c r="I690" s="200"/>
    </row>
    <row r="691" spans="1:9" x14ac:dyDescent="0.25">
      <c r="A691" s="200"/>
      <c r="B691" s="200"/>
      <c r="C691" s="200"/>
      <c r="D691" s="200"/>
      <c r="E691" s="200"/>
      <c r="F691" s="200"/>
      <c r="G691" s="200"/>
      <c r="H691" s="200"/>
      <c r="I691" s="200"/>
    </row>
    <row r="692" spans="1:9" x14ac:dyDescent="0.25">
      <c r="A692" s="200"/>
      <c r="B692" s="200"/>
      <c r="C692" s="200"/>
      <c r="D692" s="200"/>
      <c r="E692" s="200"/>
      <c r="F692" s="200"/>
      <c r="G692" s="200"/>
      <c r="H692" s="200"/>
      <c r="I692" s="200"/>
    </row>
    <row r="693" spans="1:9" x14ac:dyDescent="0.25">
      <c r="A693" s="200"/>
      <c r="B693" s="200"/>
      <c r="C693" s="200"/>
      <c r="D693" s="200"/>
      <c r="E693" s="200"/>
      <c r="F693" s="200"/>
      <c r="G693" s="200"/>
      <c r="H693" s="200"/>
      <c r="I693" s="200"/>
    </row>
    <row r="694" spans="1:9" x14ac:dyDescent="0.25">
      <c r="A694" s="200"/>
      <c r="B694" s="200"/>
      <c r="C694" s="200"/>
      <c r="D694" s="200"/>
      <c r="E694" s="200"/>
      <c r="F694" s="200"/>
      <c r="G694" s="200"/>
      <c r="H694" s="200"/>
      <c r="I694" s="200"/>
    </row>
    <row r="695" spans="1:9" x14ac:dyDescent="0.25">
      <c r="A695" s="200"/>
      <c r="B695" s="200"/>
      <c r="C695" s="200"/>
      <c r="D695" s="200"/>
      <c r="E695" s="200"/>
      <c r="F695" s="200"/>
      <c r="G695" s="200"/>
      <c r="H695" s="200"/>
      <c r="I695" s="200"/>
    </row>
    <row r="696" spans="1:9" x14ac:dyDescent="0.25">
      <c r="A696" s="200"/>
      <c r="B696" s="200"/>
      <c r="C696" s="200"/>
      <c r="D696" s="200"/>
      <c r="E696" s="200"/>
      <c r="F696" s="200"/>
      <c r="G696" s="200"/>
      <c r="H696" s="200"/>
      <c r="I696" s="200"/>
    </row>
    <row r="697" spans="1:9" x14ac:dyDescent="0.25">
      <c r="A697" s="200"/>
      <c r="B697" s="200"/>
      <c r="C697" s="200"/>
      <c r="D697" s="200"/>
      <c r="E697" s="200"/>
      <c r="F697" s="200"/>
      <c r="G697" s="200"/>
      <c r="H697" s="200"/>
      <c r="I697" s="200"/>
    </row>
    <row r="698" spans="1:9" x14ac:dyDescent="0.25">
      <c r="A698" s="200"/>
      <c r="B698" s="200"/>
      <c r="C698" s="200"/>
      <c r="D698" s="200"/>
      <c r="E698" s="200"/>
      <c r="F698" s="200"/>
      <c r="G698" s="200"/>
      <c r="H698" s="200"/>
      <c r="I698" s="200"/>
    </row>
    <row r="699" spans="1:9" x14ac:dyDescent="0.25">
      <c r="A699" s="200"/>
      <c r="B699" s="200"/>
      <c r="C699" s="200"/>
      <c r="D699" s="200"/>
      <c r="E699" s="200"/>
      <c r="F699" s="200"/>
      <c r="G699" s="200"/>
      <c r="H699" s="200"/>
      <c r="I699" s="200"/>
    </row>
    <row r="700" spans="1:9" x14ac:dyDescent="0.25">
      <c r="A700" s="200"/>
      <c r="B700" s="200"/>
      <c r="C700" s="200"/>
      <c r="D700" s="200"/>
      <c r="E700" s="200"/>
      <c r="F700" s="200"/>
      <c r="G700" s="200"/>
      <c r="H700" s="200"/>
      <c r="I700" s="200"/>
    </row>
    <row r="701" spans="1:9" x14ac:dyDescent="0.25">
      <c r="A701" s="200"/>
      <c r="B701" s="200"/>
      <c r="C701" s="200"/>
      <c r="D701" s="200"/>
      <c r="E701" s="200"/>
      <c r="F701" s="200"/>
      <c r="G701" s="200"/>
      <c r="H701" s="200"/>
      <c r="I701" s="200"/>
    </row>
    <row r="702" spans="1:9" x14ac:dyDescent="0.25">
      <c r="A702" s="200"/>
      <c r="B702" s="200"/>
      <c r="C702" s="200"/>
      <c r="D702" s="200"/>
      <c r="E702" s="200"/>
      <c r="F702" s="200"/>
      <c r="G702" s="200"/>
      <c r="H702" s="200"/>
      <c r="I702" s="200"/>
    </row>
    <row r="703" spans="1:9" x14ac:dyDescent="0.25">
      <c r="A703" s="200"/>
      <c r="B703" s="200"/>
      <c r="C703" s="200"/>
      <c r="D703" s="200"/>
      <c r="E703" s="200"/>
      <c r="F703" s="200"/>
      <c r="G703" s="200"/>
      <c r="H703" s="200"/>
      <c r="I703" s="200"/>
    </row>
    <row r="704" spans="1:9" x14ac:dyDescent="0.25">
      <c r="A704" s="200"/>
      <c r="B704" s="200"/>
      <c r="C704" s="200"/>
      <c r="D704" s="200"/>
      <c r="E704" s="200"/>
      <c r="F704" s="200"/>
      <c r="G704" s="200"/>
      <c r="H704" s="200"/>
      <c r="I704" s="200"/>
    </row>
    <row r="705" spans="1:9" x14ac:dyDescent="0.25">
      <c r="A705" s="200"/>
      <c r="B705" s="200"/>
      <c r="C705" s="200"/>
      <c r="D705" s="200"/>
      <c r="E705" s="200"/>
      <c r="F705" s="200"/>
      <c r="G705" s="200"/>
      <c r="H705" s="200"/>
      <c r="I705" s="200"/>
    </row>
    <row r="706" spans="1:9" x14ac:dyDescent="0.25">
      <c r="A706" s="200"/>
      <c r="B706" s="200"/>
      <c r="C706" s="200"/>
      <c r="D706" s="200"/>
      <c r="E706" s="200"/>
      <c r="F706" s="200"/>
      <c r="G706" s="200"/>
      <c r="H706" s="200"/>
      <c r="I706" s="200"/>
    </row>
    <row r="707" spans="1:9" x14ac:dyDescent="0.25">
      <c r="A707" s="200"/>
      <c r="B707" s="200"/>
      <c r="C707" s="200"/>
      <c r="D707" s="200"/>
      <c r="E707" s="200"/>
      <c r="F707" s="200"/>
      <c r="G707" s="200"/>
      <c r="H707" s="200"/>
      <c r="I707" s="200"/>
    </row>
    <row r="708" spans="1:9" x14ac:dyDescent="0.25">
      <c r="A708" s="200"/>
      <c r="B708" s="200"/>
      <c r="C708" s="200"/>
      <c r="D708" s="200"/>
      <c r="E708" s="200"/>
      <c r="F708" s="200"/>
      <c r="G708" s="200"/>
      <c r="H708" s="200"/>
      <c r="I708" s="200"/>
    </row>
    <row r="709" spans="1:9" x14ac:dyDescent="0.25">
      <c r="A709" s="200"/>
      <c r="B709" s="200"/>
      <c r="C709" s="200"/>
      <c r="D709" s="200"/>
      <c r="E709" s="200"/>
      <c r="F709" s="200"/>
      <c r="G709" s="200"/>
      <c r="H709" s="200"/>
      <c r="I709" s="200"/>
    </row>
    <row r="710" spans="1:9" x14ac:dyDescent="0.25">
      <c r="A710" s="200"/>
      <c r="B710" s="200"/>
      <c r="C710" s="200"/>
      <c r="D710" s="200"/>
      <c r="E710" s="200"/>
      <c r="F710" s="200"/>
      <c r="G710" s="200"/>
      <c r="H710" s="200"/>
      <c r="I710" s="200"/>
    </row>
    <row r="711" spans="1:9" x14ac:dyDescent="0.25">
      <c r="A711" s="200"/>
      <c r="B711" s="200"/>
      <c r="C711" s="200"/>
      <c r="D711" s="200"/>
      <c r="E711" s="200"/>
      <c r="F711" s="200"/>
      <c r="G711" s="200"/>
      <c r="H711" s="200"/>
      <c r="I711" s="200"/>
    </row>
    <row r="712" spans="1:9" x14ac:dyDescent="0.25">
      <c r="A712" s="200"/>
      <c r="B712" s="200"/>
      <c r="C712" s="200"/>
      <c r="D712" s="200"/>
      <c r="E712" s="200"/>
      <c r="F712" s="200"/>
      <c r="G712" s="200"/>
      <c r="H712" s="200"/>
      <c r="I712" s="200"/>
    </row>
    <row r="713" spans="1:9" x14ac:dyDescent="0.25">
      <c r="A713" s="200"/>
      <c r="B713" s="200"/>
      <c r="C713" s="200"/>
      <c r="D713" s="200"/>
      <c r="E713" s="200"/>
      <c r="F713" s="200"/>
      <c r="G713" s="200"/>
      <c r="H713" s="200"/>
      <c r="I713" s="200"/>
    </row>
    <row r="714" spans="1:9" x14ac:dyDescent="0.25">
      <c r="A714" s="200"/>
      <c r="B714" s="200"/>
      <c r="C714" s="200"/>
      <c r="D714" s="200"/>
      <c r="E714" s="200"/>
      <c r="F714" s="200"/>
      <c r="G714" s="200"/>
      <c r="H714" s="200"/>
      <c r="I714" s="200"/>
    </row>
    <row r="715" spans="1:9" x14ac:dyDescent="0.25">
      <c r="A715" s="200"/>
      <c r="B715" s="200"/>
      <c r="C715" s="200"/>
      <c r="D715" s="200"/>
      <c r="E715" s="200"/>
      <c r="F715" s="200"/>
      <c r="G715" s="200"/>
      <c r="H715" s="200"/>
      <c r="I715" s="200"/>
    </row>
    <row r="716" spans="1:9" x14ac:dyDescent="0.25">
      <c r="A716" s="200"/>
      <c r="B716" s="200"/>
      <c r="C716" s="200"/>
      <c r="D716" s="200"/>
      <c r="E716" s="200"/>
      <c r="F716" s="200"/>
      <c r="G716" s="200"/>
      <c r="H716" s="200"/>
      <c r="I716" s="200"/>
    </row>
    <row r="717" spans="1:9" x14ac:dyDescent="0.25">
      <c r="A717" s="200"/>
      <c r="B717" s="200"/>
      <c r="C717" s="200"/>
      <c r="D717" s="200"/>
      <c r="E717" s="200"/>
      <c r="F717" s="200"/>
      <c r="G717" s="200"/>
      <c r="H717" s="200"/>
      <c r="I717" s="200"/>
    </row>
    <row r="718" spans="1:9" x14ac:dyDescent="0.25">
      <c r="A718" s="200"/>
      <c r="B718" s="200"/>
      <c r="C718" s="200"/>
      <c r="D718" s="200"/>
      <c r="E718" s="200"/>
      <c r="F718" s="200"/>
      <c r="G718" s="200"/>
      <c r="H718" s="200"/>
      <c r="I718" s="200"/>
    </row>
    <row r="719" spans="1:9" x14ac:dyDescent="0.25">
      <c r="A719" s="200"/>
      <c r="B719" s="200"/>
      <c r="C719" s="200"/>
      <c r="D719" s="200"/>
      <c r="E719" s="200"/>
      <c r="F719" s="200"/>
      <c r="G719" s="200"/>
      <c r="H719" s="200"/>
      <c r="I719" s="200"/>
    </row>
    <row r="720" spans="1:9" x14ac:dyDescent="0.25">
      <c r="A720" s="200"/>
      <c r="B720" s="200"/>
      <c r="C720" s="200"/>
      <c r="D720" s="200"/>
      <c r="E720" s="200"/>
      <c r="F720" s="200"/>
      <c r="G720" s="200"/>
      <c r="H720" s="200"/>
      <c r="I720" s="200"/>
    </row>
    <row r="721" spans="1:9" x14ac:dyDescent="0.25">
      <c r="A721" s="200"/>
      <c r="B721" s="200"/>
      <c r="C721" s="200"/>
      <c r="D721" s="200"/>
      <c r="E721" s="200"/>
      <c r="F721" s="200"/>
      <c r="G721" s="200"/>
      <c r="H721" s="200"/>
      <c r="I721" s="200"/>
    </row>
    <row r="722" spans="1:9" x14ac:dyDescent="0.25">
      <c r="A722" s="200"/>
      <c r="B722" s="200"/>
      <c r="C722" s="200"/>
      <c r="D722" s="200"/>
      <c r="E722" s="200"/>
      <c r="F722" s="200"/>
      <c r="G722" s="200"/>
      <c r="H722" s="200"/>
      <c r="I722" s="200"/>
    </row>
    <row r="723" spans="1:9" x14ac:dyDescent="0.25">
      <c r="A723" s="200"/>
      <c r="B723" s="200"/>
      <c r="C723" s="200"/>
      <c r="D723" s="200"/>
      <c r="E723" s="200"/>
      <c r="F723" s="200"/>
      <c r="G723" s="200"/>
      <c r="H723" s="200"/>
      <c r="I723" s="200"/>
    </row>
    <row r="724" spans="1:9" x14ac:dyDescent="0.25">
      <c r="A724" s="200"/>
      <c r="B724" s="200"/>
      <c r="C724" s="200"/>
      <c r="D724" s="200"/>
      <c r="E724" s="200"/>
      <c r="F724" s="200"/>
      <c r="G724" s="200"/>
      <c r="H724" s="200"/>
      <c r="I724" s="200"/>
    </row>
    <row r="725" spans="1:9" x14ac:dyDescent="0.25">
      <c r="A725" s="200"/>
      <c r="B725" s="200"/>
      <c r="C725" s="200"/>
      <c r="D725" s="200"/>
      <c r="E725" s="200"/>
      <c r="F725" s="200"/>
      <c r="G725" s="200"/>
      <c r="H725" s="200"/>
      <c r="I725" s="200"/>
    </row>
    <row r="726" spans="1:9" x14ac:dyDescent="0.25">
      <c r="A726" s="200"/>
      <c r="B726" s="200"/>
      <c r="C726" s="200"/>
      <c r="D726" s="200"/>
      <c r="E726" s="200"/>
      <c r="F726" s="200"/>
      <c r="G726" s="200"/>
      <c r="H726" s="200"/>
      <c r="I726" s="200"/>
    </row>
    <row r="727" spans="1:9" x14ac:dyDescent="0.25">
      <c r="A727" s="200"/>
      <c r="B727" s="200"/>
      <c r="C727" s="200"/>
      <c r="D727" s="200"/>
      <c r="E727" s="200"/>
      <c r="F727" s="200"/>
      <c r="G727" s="200"/>
      <c r="H727" s="200"/>
      <c r="I727" s="200"/>
    </row>
    <row r="728" spans="1:9" x14ac:dyDescent="0.25">
      <c r="A728" s="200"/>
      <c r="B728" s="200"/>
      <c r="C728" s="200"/>
      <c r="D728" s="200"/>
      <c r="E728" s="200"/>
      <c r="F728" s="200"/>
      <c r="G728" s="200"/>
      <c r="H728" s="200"/>
      <c r="I728" s="200"/>
    </row>
    <row r="729" spans="1:9" x14ac:dyDescent="0.25">
      <c r="A729" s="200"/>
      <c r="B729" s="200"/>
      <c r="C729" s="200"/>
      <c r="D729" s="200"/>
      <c r="E729" s="200"/>
      <c r="F729" s="200"/>
      <c r="G729" s="200"/>
      <c r="H729" s="200"/>
      <c r="I729" s="200"/>
    </row>
    <row r="730" spans="1:9" x14ac:dyDescent="0.25">
      <c r="A730" s="200"/>
      <c r="B730" s="200"/>
      <c r="C730" s="200"/>
      <c r="D730" s="200"/>
      <c r="E730" s="200"/>
      <c r="F730" s="200"/>
      <c r="G730" s="200"/>
      <c r="H730" s="200"/>
      <c r="I730" s="200"/>
    </row>
    <row r="731" spans="1:9" x14ac:dyDescent="0.25">
      <c r="A731" s="200"/>
      <c r="B731" s="200"/>
      <c r="C731" s="200"/>
      <c r="D731" s="200"/>
      <c r="E731" s="200"/>
      <c r="F731" s="200"/>
      <c r="G731" s="200"/>
      <c r="H731" s="200"/>
      <c r="I731" s="200"/>
    </row>
    <row r="732" spans="1:9" x14ac:dyDescent="0.25">
      <c r="A732" s="200"/>
      <c r="B732" s="200"/>
      <c r="C732" s="200"/>
      <c r="D732" s="200"/>
      <c r="E732" s="200"/>
      <c r="F732" s="200"/>
      <c r="G732" s="200"/>
      <c r="H732" s="200"/>
      <c r="I732" s="200"/>
    </row>
    <row r="733" spans="1:9" x14ac:dyDescent="0.25">
      <c r="A733" s="200"/>
      <c r="B733" s="200"/>
      <c r="C733" s="200"/>
      <c r="D733" s="200"/>
      <c r="E733" s="200"/>
      <c r="F733" s="200"/>
      <c r="G733" s="200"/>
      <c r="H733" s="200"/>
      <c r="I733" s="200"/>
    </row>
    <row r="734" spans="1:9" x14ac:dyDescent="0.25">
      <c r="A734" s="200"/>
      <c r="B734" s="200"/>
      <c r="C734" s="200"/>
      <c r="D734" s="200"/>
      <c r="E734" s="200"/>
      <c r="F734" s="200"/>
      <c r="G734" s="200"/>
      <c r="H734" s="200"/>
      <c r="I734" s="200"/>
    </row>
    <row r="735" spans="1:9" x14ac:dyDescent="0.25">
      <c r="A735" s="200"/>
      <c r="B735" s="200"/>
      <c r="C735" s="200"/>
      <c r="D735" s="200"/>
      <c r="E735" s="200"/>
      <c r="F735" s="200"/>
      <c r="G735" s="200"/>
      <c r="H735" s="200"/>
      <c r="I735" s="200"/>
    </row>
    <row r="736" spans="1:9" x14ac:dyDescent="0.25">
      <c r="A736" s="200"/>
      <c r="B736" s="200"/>
      <c r="C736" s="200"/>
      <c r="D736" s="200"/>
      <c r="E736" s="200"/>
      <c r="F736" s="200"/>
      <c r="G736" s="200"/>
      <c r="H736" s="200"/>
      <c r="I736" s="200"/>
    </row>
    <row r="737" spans="1:9" x14ac:dyDescent="0.25">
      <c r="A737" s="200"/>
      <c r="B737" s="200"/>
      <c r="C737" s="200"/>
      <c r="D737" s="200"/>
      <c r="E737" s="200"/>
      <c r="F737" s="200"/>
      <c r="G737" s="200"/>
      <c r="H737" s="200"/>
      <c r="I737" s="200"/>
    </row>
    <row r="738" spans="1:9" x14ac:dyDescent="0.25">
      <c r="A738" s="200"/>
      <c r="B738" s="200"/>
      <c r="C738" s="200"/>
      <c r="D738" s="200"/>
      <c r="E738" s="200"/>
      <c r="F738" s="200"/>
      <c r="G738" s="200"/>
      <c r="H738" s="200"/>
      <c r="I738" s="200"/>
    </row>
    <row r="739" spans="1:9" x14ac:dyDescent="0.25">
      <c r="A739" s="200"/>
      <c r="B739" s="200"/>
      <c r="C739" s="200"/>
      <c r="D739" s="200"/>
      <c r="E739" s="200"/>
      <c r="F739" s="200"/>
      <c r="G739" s="200"/>
      <c r="H739" s="200"/>
      <c r="I739" s="200"/>
    </row>
    <row r="740" spans="1:9" x14ac:dyDescent="0.25">
      <c r="A740" s="200"/>
      <c r="B740" s="200"/>
      <c r="C740" s="200"/>
      <c r="D740" s="200"/>
      <c r="E740" s="200"/>
      <c r="F740" s="200"/>
      <c r="G740" s="200"/>
      <c r="H740" s="200"/>
      <c r="I740" s="200"/>
    </row>
    <row r="741" spans="1:9" x14ac:dyDescent="0.25">
      <c r="A741" s="200"/>
      <c r="B741" s="200"/>
      <c r="C741" s="200"/>
      <c r="D741" s="200"/>
      <c r="E741" s="200"/>
      <c r="F741" s="200"/>
      <c r="G741" s="200"/>
      <c r="H741" s="200"/>
      <c r="I741" s="200"/>
    </row>
    <row r="742" spans="1:9" x14ac:dyDescent="0.25">
      <c r="A742" s="200"/>
      <c r="B742" s="200"/>
      <c r="C742" s="200"/>
      <c r="D742" s="200"/>
      <c r="E742" s="200"/>
      <c r="F742" s="200"/>
      <c r="G742" s="200"/>
      <c r="H742" s="200"/>
      <c r="I742" s="200"/>
    </row>
    <row r="743" spans="1:9" x14ac:dyDescent="0.25">
      <c r="A743" s="200"/>
      <c r="B743" s="200"/>
      <c r="C743" s="200"/>
      <c r="D743" s="200"/>
      <c r="E743" s="200"/>
      <c r="F743" s="200"/>
      <c r="G743" s="200"/>
      <c r="H743" s="200"/>
      <c r="I743" s="200"/>
    </row>
    <row r="744" spans="1:9" x14ac:dyDescent="0.25">
      <c r="A744" s="200"/>
      <c r="B744" s="200"/>
      <c r="C744" s="200"/>
      <c r="D744" s="200"/>
      <c r="E744" s="200"/>
      <c r="F744" s="200"/>
      <c r="G744" s="200"/>
      <c r="H744" s="200"/>
      <c r="I744" s="200"/>
    </row>
    <row r="745" spans="1:9" x14ac:dyDescent="0.25">
      <c r="A745" s="200"/>
      <c r="B745" s="200"/>
      <c r="C745" s="200"/>
      <c r="D745" s="200"/>
      <c r="E745" s="200"/>
      <c r="F745" s="200"/>
      <c r="G745" s="200"/>
      <c r="H745" s="200"/>
      <c r="I745" s="200"/>
    </row>
    <row r="746" spans="1:9" x14ac:dyDescent="0.25">
      <c r="A746" s="200"/>
      <c r="B746" s="200"/>
      <c r="C746" s="200"/>
      <c r="D746" s="200"/>
      <c r="E746" s="200"/>
      <c r="F746" s="200"/>
      <c r="G746" s="200"/>
      <c r="H746" s="200"/>
      <c r="I746" s="200"/>
    </row>
    <row r="747" spans="1:9" x14ac:dyDescent="0.25">
      <c r="A747" s="200"/>
      <c r="B747" s="200"/>
      <c r="C747" s="200"/>
      <c r="D747" s="200"/>
      <c r="E747" s="200"/>
      <c r="F747" s="200"/>
      <c r="G747" s="200"/>
      <c r="H747" s="200"/>
      <c r="I747" s="200"/>
    </row>
    <row r="748" spans="1:9" x14ac:dyDescent="0.25">
      <c r="A748" s="200"/>
      <c r="B748" s="200"/>
      <c r="C748" s="200"/>
      <c r="D748" s="200"/>
      <c r="E748" s="200"/>
      <c r="F748" s="200"/>
      <c r="G748" s="200"/>
      <c r="H748" s="200"/>
      <c r="I748" s="200"/>
    </row>
    <row r="749" spans="1:9" x14ac:dyDescent="0.25">
      <c r="A749" s="200"/>
      <c r="B749" s="200"/>
      <c r="C749" s="200"/>
      <c r="D749" s="200"/>
      <c r="E749" s="200"/>
      <c r="F749" s="200"/>
      <c r="G749" s="200"/>
      <c r="H749" s="200"/>
      <c r="I749" s="200"/>
    </row>
    <row r="750" spans="1:9" x14ac:dyDescent="0.25">
      <c r="A750" s="200"/>
      <c r="B750" s="200"/>
      <c r="C750" s="200"/>
      <c r="D750" s="200"/>
      <c r="E750" s="200"/>
      <c r="F750" s="200"/>
      <c r="G750" s="200"/>
      <c r="H750" s="200"/>
      <c r="I750" s="200"/>
    </row>
    <row r="751" spans="1:9" x14ac:dyDescent="0.25">
      <c r="A751" s="200"/>
      <c r="B751" s="200"/>
      <c r="C751" s="200"/>
      <c r="D751" s="200"/>
      <c r="E751" s="200"/>
      <c r="F751" s="200"/>
      <c r="G751" s="200"/>
      <c r="H751" s="200"/>
      <c r="I751" s="200"/>
    </row>
    <row r="752" spans="1:9" x14ac:dyDescent="0.25">
      <c r="A752" s="200"/>
      <c r="B752" s="200"/>
      <c r="C752" s="200"/>
      <c r="D752" s="200"/>
      <c r="E752" s="200"/>
      <c r="F752" s="200"/>
      <c r="G752" s="200"/>
      <c r="H752" s="200"/>
      <c r="I752" s="200"/>
    </row>
    <row r="753" spans="1:9" x14ac:dyDescent="0.25">
      <c r="A753" s="200"/>
      <c r="B753" s="200"/>
      <c r="C753" s="200"/>
      <c r="D753" s="200"/>
      <c r="E753" s="200"/>
      <c r="F753" s="200"/>
      <c r="G753" s="200"/>
      <c r="H753" s="200"/>
      <c r="I753" s="200"/>
    </row>
    <row r="754" spans="1:9" x14ac:dyDescent="0.25">
      <c r="A754" s="200"/>
      <c r="B754" s="200"/>
      <c r="C754" s="200"/>
      <c r="D754" s="200"/>
      <c r="E754" s="200"/>
      <c r="F754" s="200"/>
      <c r="G754" s="200"/>
      <c r="H754" s="200"/>
      <c r="I754" s="200"/>
    </row>
    <row r="755" spans="1:9" x14ac:dyDescent="0.25">
      <c r="A755" s="200"/>
      <c r="B755" s="200"/>
      <c r="C755" s="200"/>
      <c r="D755" s="200"/>
      <c r="E755" s="200"/>
      <c r="F755" s="200"/>
      <c r="G755" s="200"/>
      <c r="H755" s="200"/>
      <c r="I755" s="200"/>
    </row>
    <row r="756" spans="1:9" x14ac:dyDescent="0.25">
      <c r="A756" s="200"/>
      <c r="B756" s="200"/>
      <c r="C756" s="200"/>
      <c r="D756" s="200"/>
      <c r="E756" s="200"/>
      <c r="F756" s="200"/>
      <c r="G756" s="200"/>
      <c r="H756" s="200"/>
      <c r="I756" s="200"/>
    </row>
    <row r="757" spans="1:9" x14ac:dyDescent="0.25">
      <c r="A757" s="200"/>
      <c r="B757" s="200"/>
      <c r="C757" s="200"/>
      <c r="D757" s="200"/>
      <c r="E757" s="200"/>
      <c r="F757" s="200"/>
      <c r="G757" s="200"/>
      <c r="H757" s="200"/>
      <c r="I757" s="200"/>
    </row>
    <row r="758" spans="1:9" x14ac:dyDescent="0.25">
      <c r="A758" s="200"/>
      <c r="B758" s="200"/>
      <c r="C758" s="200"/>
      <c r="D758" s="200"/>
      <c r="E758" s="200"/>
      <c r="F758" s="200"/>
      <c r="G758" s="200"/>
      <c r="H758" s="200"/>
      <c r="I758" s="200"/>
    </row>
    <row r="759" spans="1:9" x14ac:dyDescent="0.25">
      <c r="A759" s="200"/>
      <c r="B759" s="200"/>
      <c r="C759" s="200"/>
      <c r="D759" s="200"/>
      <c r="E759" s="200"/>
      <c r="F759" s="200"/>
      <c r="G759" s="200"/>
      <c r="H759" s="200"/>
      <c r="I759" s="200"/>
    </row>
    <row r="760" spans="1:9" x14ac:dyDescent="0.25">
      <c r="A760" s="200"/>
      <c r="B760" s="200"/>
      <c r="C760" s="200"/>
      <c r="D760" s="200"/>
      <c r="E760" s="200"/>
      <c r="F760" s="200"/>
      <c r="G760" s="200"/>
      <c r="H760" s="200"/>
      <c r="I760" s="200"/>
    </row>
    <row r="761" spans="1:9" x14ac:dyDescent="0.25">
      <c r="A761" s="200"/>
      <c r="B761" s="200"/>
      <c r="C761" s="200"/>
      <c r="D761" s="200"/>
      <c r="E761" s="200"/>
      <c r="F761" s="200"/>
      <c r="G761" s="200"/>
      <c r="H761" s="200"/>
      <c r="I761" s="200"/>
    </row>
    <row r="762" spans="1:9" x14ac:dyDescent="0.25">
      <c r="A762" s="200"/>
      <c r="B762" s="200"/>
      <c r="C762" s="200"/>
      <c r="D762" s="200"/>
      <c r="E762" s="200"/>
      <c r="F762" s="200"/>
      <c r="G762" s="200"/>
      <c r="H762" s="200"/>
      <c r="I762" s="200"/>
    </row>
    <row r="763" spans="1:9" x14ac:dyDescent="0.25">
      <c r="A763" s="200"/>
      <c r="B763" s="200"/>
      <c r="C763" s="200"/>
      <c r="D763" s="200"/>
      <c r="E763" s="200"/>
      <c r="F763" s="200"/>
      <c r="G763" s="200"/>
      <c r="H763" s="200"/>
      <c r="I763" s="200"/>
    </row>
    <row r="764" spans="1:9" x14ac:dyDescent="0.25">
      <c r="A764" s="200"/>
      <c r="B764" s="200"/>
      <c r="C764" s="200"/>
      <c r="D764" s="200"/>
      <c r="E764" s="200"/>
      <c r="F764" s="200"/>
      <c r="G764" s="200"/>
      <c r="H764" s="200"/>
      <c r="I764" s="200"/>
    </row>
    <row r="765" spans="1:9" x14ac:dyDescent="0.25">
      <c r="A765" s="200"/>
      <c r="B765" s="200"/>
      <c r="C765" s="200"/>
      <c r="D765" s="200"/>
      <c r="E765" s="200"/>
      <c r="F765" s="200"/>
      <c r="G765" s="200"/>
      <c r="H765" s="200"/>
      <c r="I765" s="200"/>
    </row>
    <row r="766" spans="1:9" x14ac:dyDescent="0.25">
      <c r="A766" s="200"/>
      <c r="B766" s="200"/>
      <c r="C766" s="200"/>
      <c r="D766" s="200"/>
      <c r="E766" s="200"/>
      <c r="F766" s="200"/>
      <c r="G766" s="200"/>
      <c r="H766" s="200"/>
      <c r="I766" s="200"/>
    </row>
    <row r="767" spans="1:9" x14ac:dyDescent="0.25">
      <c r="A767" s="200"/>
      <c r="B767" s="200"/>
      <c r="C767" s="200"/>
      <c r="D767" s="200"/>
      <c r="E767" s="200"/>
      <c r="F767" s="200"/>
      <c r="G767" s="200"/>
      <c r="H767" s="200"/>
      <c r="I767" s="200"/>
    </row>
  </sheetData>
  <mergeCells count="92">
    <mergeCell ref="D33:I33"/>
    <mergeCell ref="D7:I7"/>
    <mergeCell ref="D8:I8"/>
    <mergeCell ref="A20:I20"/>
    <mergeCell ref="F22:I22"/>
    <mergeCell ref="F24:I24"/>
    <mergeCell ref="F23:I23"/>
    <mergeCell ref="C46:I46"/>
    <mergeCell ref="A48:I48"/>
    <mergeCell ref="A50:B50"/>
    <mergeCell ref="C45:I45"/>
    <mergeCell ref="F25:I25"/>
    <mergeCell ref="F26:I26"/>
    <mergeCell ref="F27:I27"/>
    <mergeCell ref="D32:I32"/>
    <mergeCell ref="C34:I34"/>
    <mergeCell ref="D38:I38"/>
    <mergeCell ref="C40:I40"/>
    <mergeCell ref="A30:I30"/>
    <mergeCell ref="A36:I36"/>
    <mergeCell ref="A42:I42"/>
    <mergeCell ref="C44:I44"/>
    <mergeCell ref="D39:I39"/>
    <mergeCell ref="B1:I1"/>
    <mergeCell ref="A9:B9"/>
    <mergeCell ref="D9:I9"/>
    <mergeCell ref="A15:A17"/>
    <mergeCell ref="A3:I3"/>
    <mergeCell ref="A11:I11"/>
    <mergeCell ref="A5:B5"/>
    <mergeCell ref="A6:B6"/>
    <mergeCell ref="A7:B7"/>
    <mergeCell ref="A8:B8"/>
    <mergeCell ref="D5:I5"/>
    <mergeCell ref="D6:I6"/>
    <mergeCell ref="A106:I106"/>
    <mergeCell ref="A104:I104"/>
    <mergeCell ref="A67:B67"/>
    <mergeCell ref="A68:B68"/>
    <mergeCell ref="A71:B71"/>
    <mergeCell ref="A72:B72"/>
    <mergeCell ref="A73:B73"/>
    <mergeCell ref="A74:B74"/>
    <mergeCell ref="A75:B75"/>
    <mergeCell ref="A76:B76"/>
    <mergeCell ref="A79:B79"/>
    <mergeCell ref="A80:B80"/>
    <mergeCell ref="A81:B81"/>
    <mergeCell ref="A98:B98"/>
    <mergeCell ref="A99:B99"/>
    <mergeCell ref="A102:B102"/>
    <mergeCell ref="A112:I112"/>
    <mergeCell ref="A111:I111"/>
    <mergeCell ref="A109:I109"/>
    <mergeCell ref="A107:I107"/>
    <mergeCell ref="A51:B51"/>
    <mergeCell ref="A52:B52"/>
    <mergeCell ref="A53:B53"/>
    <mergeCell ref="A54:B54"/>
    <mergeCell ref="A55:B55"/>
    <mergeCell ref="A56:B56"/>
    <mergeCell ref="A57:B57"/>
    <mergeCell ref="A58:B58"/>
    <mergeCell ref="A59:B59"/>
    <mergeCell ref="A60:B60"/>
    <mergeCell ref="A61:B61"/>
    <mergeCell ref="A62:B62"/>
    <mergeCell ref="A77:B77"/>
    <mergeCell ref="A78:B78"/>
    <mergeCell ref="A63:B63"/>
    <mergeCell ref="A64:B64"/>
    <mergeCell ref="A66:B66"/>
    <mergeCell ref="A65:B65"/>
    <mergeCell ref="A70:B70"/>
    <mergeCell ref="A92:B92"/>
    <mergeCell ref="A93:B93"/>
    <mergeCell ref="A94:B94"/>
    <mergeCell ref="A91:B91"/>
    <mergeCell ref="A82:B82"/>
    <mergeCell ref="A83:B83"/>
    <mergeCell ref="A84:B84"/>
    <mergeCell ref="A85:B85"/>
    <mergeCell ref="A86:B86"/>
    <mergeCell ref="A87:B87"/>
    <mergeCell ref="A88:B88"/>
    <mergeCell ref="A89:B89"/>
    <mergeCell ref="A90:B90"/>
    <mergeCell ref="A100:B100"/>
    <mergeCell ref="A101:B101"/>
    <mergeCell ref="A95:B95"/>
    <mergeCell ref="A97:B97"/>
    <mergeCell ref="A96:B96"/>
  </mergeCells>
  <pageMargins left="0.70866141732283472" right="0.70866141732283472" top="0.78740157480314965" bottom="0.78740157480314965" header="0.31496062992125984" footer="0.31496062992125984"/>
  <pageSetup paperSize="9" firstPageNumber="132" orientation="landscape"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Z36" sqref="Z36"/>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7" width="11" customWidth="1"/>
    <col min="18" max="18" width="8.796875" customWidth="1"/>
    <col min="19" max="22" width="11" customWidth="1"/>
    <col min="23" max="23" width="8.796875" customWidth="1"/>
    <col min="24" max="24" width="11" customWidth="1"/>
  </cols>
  <sheetData>
    <row r="1" spans="1:24" s="2" customFormat="1" ht="15.6" x14ac:dyDescent="0.3">
      <c r="A1" s="1216" t="s">
        <v>232</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3" spans="1:24" s="34" customFormat="1" x14ac:dyDescent="0.15">
      <c r="A3" s="1302" t="s">
        <v>40</v>
      </c>
      <c r="B3" s="1303" t="s">
        <v>41</v>
      </c>
      <c r="C3" s="1221"/>
      <c r="D3" s="1303" t="s">
        <v>42</v>
      </c>
      <c r="E3" s="1304" t="s">
        <v>34</v>
      </c>
      <c r="F3" s="1304"/>
      <c r="G3" s="1304"/>
      <c r="H3" s="1304"/>
      <c r="I3" s="1304"/>
      <c r="J3" s="1304" t="s">
        <v>39</v>
      </c>
      <c r="K3" s="1304"/>
      <c r="L3" s="1304"/>
      <c r="M3" s="1304"/>
      <c r="N3" s="1304"/>
      <c r="O3" s="1304" t="s">
        <v>43</v>
      </c>
      <c r="P3" s="1304"/>
      <c r="Q3" s="1304"/>
      <c r="R3" s="1304"/>
      <c r="S3" s="1304"/>
      <c r="T3" s="1304" t="s">
        <v>38</v>
      </c>
      <c r="U3" s="1304"/>
      <c r="V3" s="1304"/>
      <c r="W3" s="1304"/>
      <c r="X3" s="1304"/>
    </row>
    <row r="4" spans="1:24" s="35" customFormat="1" x14ac:dyDescent="0.15">
      <c r="A4" s="1221"/>
      <c r="B4" s="1221"/>
      <c r="C4" s="1221"/>
      <c r="D4" s="1303"/>
      <c r="E4" s="1301" t="s">
        <v>44</v>
      </c>
      <c r="F4" s="1229" t="s">
        <v>100</v>
      </c>
      <c r="G4" s="1229"/>
      <c r="H4" s="1229"/>
      <c r="I4" s="1302" t="s">
        <v>101</v>
      </c>
      <c r="J4" s="1301" t="s">
        <v>44</v>
      </c>
      <c r="K4" s="1229" t="s">
        <v>100</v>
      </c>
      <c r="L4" s="1229"/>
      <c r="M4" s="1229"/>
      <c r="N4" s="1302" t="s">
        <v>101</v>
      </c>
      <c r="O4" s="1301" t="s">
        <v>44</v>
      </c>
      <c r="P4" s="1229" t="s">
        <v>100</v>
      </c>
      <c r="Q4" s="1229"/>
      <c r="R4" s="1229"/>
      <c r="S4" s="1302" t="s">
        <v>101</v>
      </c>
      <c r="T4" s="1301" t="s">
        <v>44</v>
      </c>
      <c r="U4" s="1229" t="s">
        <v>100</v>
      </c>
      <c r="V4" s="1229"/>
      <c r="W4" s="1229"/>
      <c r="X4" s="1302" t="s">
        <v>101</v>
      </c>
    </row>
    <row r="5" spans="1:24" s="36" customFormat="1" x14ac:dyDescent="0.15">
      <c r="A5" s="1221"/>
      <c r="B5" s="1221"/>
      <c r="C5" s="1221"/>
      <c r="D5" s="1303"/>
      <c r="E5" s="1301"/>
      <c r="F5" s="3" t="s">
        <v>35</v>
      </c>
      <c r="G5" s="3" t="s">
        <v>36</v>
      </c>
      <c r="H5" s="3" t="s">
        <v>37</v>
      </c>
      <c r="I5" s="1302"/>
      <c r="J5" s="1301"/>
      <c r="K5" s="3" t="s">
        <v>35</v>
      </c>
      <c r="L5" s="3" t="s">
        <v>36</v>
      </c>
      <c r="M5" s="3" t="s">
        <v>37</v>
      </c>
      <c r="N5" s="1302"/>
      <c r="O5" s="1301"/>
      <c r="P5" s="3" t="s">
        <v>35</v>
      </c>
      <c r="Q5" s="3" t="s">
        <v>36</v>
      </c>
      <c r="R5" s="3" t="s">
        <v>37</v>
      </c>
      <c r="S5" s="1302"/>
      <c r="T5" s="1301"/>
      <c r="U5" s="3" t="s">
        <v>35</v>
      </c>
      <c r="V5" s="3" t="s">
        <v>36</v>
      </c>
      <c r="W5" s="3" t="s">
        <v>37</v>
      </c>
      <c r="X5" s="1302"/>
    </row>
    <row r="6" spans="1:24" s="34" customFormat="1" x14ac:dyDescent="0.15">
      <c r="A6" s="160" t="s">
        <v>0</v>
      </c>
      <c r="B6" s="1236" t="s">
        <v>1</v>
      </c>
      <c r="C6" s="1236"/>
      <c r="D6" s="161" t="s">
        <v>25</v>
      </c>
      <c r="E6" s="52">
        <f>SUM(E7:E9)</f>
        <v>10805444.220000001</v>
      </c>
      <c r="F6" s="52">
        <f>SUM(F7:F9)</f>
        <v>11411498.220000001</v>
      </c>
      <c r="G6" s="52">
        <f>SUM(G7:G9)</f>
        <v>10918532.300000001</v>
      </c>
      <c r="H6" s="4">
        <f t="shared" ref="H6:H36" si="0">G6/F6*100</f>
        <v>95.680094668585951</v>
      </c>
      <c r="I6" s="52">
        <f>SUM(I7:I9)</f>
        <v>10322477.67</v>
      </c>
      <c r="J6" s="52">
        <f>SUM(J7:J9)</f>
        <v>1760430</v>
      </c>
      <c r="K6" s="52">
        <f t="shared" ref="K6:X6" si="1">SUM(K7:K9)</f>
        <v>2438929</v>
      </c>
      <c r="L6" s="52">
        <f t="shared" si="1"/>
        <v>2496336.75</v>
      </c>
      <c r="M6" s="4">
        <f t="shared" ref="M6:M29" si="2">L6/K6*100</f>
        <v>102.35380980750158</v>
      </c>
      <c r="N6" s="52">
        <f t="shared" ref="N6" si="3">SUM(N7:N9)</f>
        <v>4018771.67</v>
      </c>
      <c r="O6" s="52">
        <f t="shared" si="1"/>
        <v>9045014.2200000007</v>
      </c>
      <c r="P6" s="52">
        <f t="shared" si="1"/>
        <v>8972569.2200000007</v>
      </c>
      <c r="Q6" s="52">
        <f t="shared" si="1"/>
        <v>8422195.5500000007</v>
      </c>
      <c r="R6" s="4">
        <f t="shared" ref="R6:R36" si="4">Q6/P6*100</f>
        <v>93.866041526063597</v>
      </c>
      <c r="S6" s="52">
        <f t="shared" ref="S6" si="5">SUM(S7:S9)</f>
        <v>6303706</v>
      </c>
      <c r="T6" s="52">
        <f t="shared" si="1"/>
        <v>15000</v>
      </c>
      <c r="U6" s="52">
        <f t="shared" si="1"/>
        <v>15000</v>
      </c>
      <c r="V6" s="52">
        <f t="shared" si="1"/>
        <v>0</v>
      </c>
      <c r="W6" s="4">
        <f t="shared" ref="W6:W33" si="6">V6/U6*100</f>
        <v>0</v>
      </c>
      <c r="X6" s="52">
        <f t="shared" si="1"/>
        <v>0</v>
      </c>
    </row>
    <row r="7" spans="1:24" s="34" customFormat="1" x14ac:dyDescent="0.15">
      <c r="A7" s="162" t="s">
        <v>2</v>
      </c>
      <c r="B7" s="1233" t="s">
        <v>46</v>
      </c>
      <c r="C7" s="1233"/>
      <c r="D7" s="161" t="s">
        <v>25</v>
      </c>
      <c r="E7" s="57">
        <f t="shared" ref="E7:G10" si="7">SUM(J7,O7)</f>
        <v>387000</v>
      </c>
      <c r="F7" s="57">
        <f t="shared" si="7"/>
        <v>387000</v>
      </c>
      <c r="G7" s="57">
        <f t="shared" si="7"/>
        <v>444554</v>
      </c>
      <c r="H7" s="58">
        <f t="shared" si="0"/>
        <v>114.871834625323</v>
      </c>
      <c r="I7" s="57">
        <f>SUM(N7,S7)</f>
        <v>448457</v>
      </c>
      <c r="J7" s="164">
        <v>387000</v>
      </c>
      <c r="K7" s="61">
        <v>387000</v>
      </c>
      <c r="L7" s="61">
        <v>444554</v>
      </c>
      <c r="M7" s="58">
        <f t="shared" si="2"/>
        <v>114.871834625323</v>
      </c>
      <c r="N7" s="61">
        <v>448457</v>
      </c>
      <c r="O7" s="61"/>
      <c r="P7" s="61"/>
      <c r="Q7" s="61"/>
      <c r="R7" s="58"/>
      <c r="S7" s="61"/>
      <c r="T7" s="61">
        <v>15000</v>
      </c>
      <c r="U7" s="61">
        <v>15000</v>
      </c>
      <c r="V7" s="61">
        <v>0</v>
      </c>
      <c r="W7" s="58">
        <f t="shared" si="6"/>
        <v>0</v>
      </c>
      <c r="X7" s="61"/>
    </row>
    <row r="8" spans="1:24" s="34" customFormat="1" x14ac:dyDescent="0.15">
      <c r="A8" s="165" t="s">
        <v>3</v>
      </c>
      <c r="B8" s="1237" t="s">
        <v>47</v>
      </c>
      <c r="C8" s="1237"/>
      <c r="D8" s="161" t="s">
        <v>25</v>
      </c>
      <c r="E8" s="57">
        <f t="shared" si="7"/>
        <v>430</v>
      </c>
      <c r="F8" s="57">
        <f t="shared" si="7"/>
        <v>430</v>
      </c>
      <c r="G8" s="57">
        <f t="shared" si="7"/>
        <v>402.85</v>
      </c>
      <c r="H8" s="58">
        <f t="shared" si="0"/>
        <v>93.686046511627907</v>
      </c>
      <c r="I8" s="57">
        <f>SUM(N8,S8)</f>
        <v>532.33000000000004</v>
      </c>
      <c r="J8" s="166">
        <v>430</v>
      </c>
      <c r="K8" s="57">
        <v>430</v>
      </c>
      <c r="L8" s="57">
        <v>402.85</v>
      </c>
      <c r="M8" s="58">
        <f t="shared" si="2"/>
        <v>93.686046511627907</v>
      </c>
      <c r="N8" s="57">
        <v>532.33000000000004</v>
      </c>
      <c r="O8" s="57"/>
      <c r="P8" s="57"/>
      <c r="Q8" s="57"/>
      <c r="R8" s="58"/>
      <c r="S8" s="57"/>
      <c r="T8" s="57"/>
      <c r="U8" s="57"/>
      <c r="V8" s="57"/>
      <c r="W8" s="58"/>
      <c r="X8" s="57"/>
    </row>
    <row r="9" spans="1:24" s="34" customFormat="1" ht="8.4" x14ac:dyDescent="0.2">
      <c r="A9" s="165" t="s">
        <v>4</v>
      </c>
      <c r="B9" s="66" t="s">
        <v>62</v>
      </c>
      <c r="C9" s="67"/>
      <c r="D9" s="161" t="s">
        <v>25</v>
      </c>
      <c r="E9" s="57">
        <f t="shared" si="7"/>
        <v>10418014.220000001</v>
      </c>
      <c r="F9" s="57">
        <f t="shared" si="7"/>
        <v>11024068.220000001</v>
      </c>
      <c r="G9" s="57">
        <f t="shared" si="7"/>
        <v>10473575.450000001</v>
      </c>
      <c r="H9" s="58">
        <f t="shared" si="0"/>
        <v>95.006446268163614</v>
      </c>
      <c r="I9" s="57">
        <f>SUM(N9,S9)</f>
        <v>9873488.3399999999</v>
      </c>
      <c r="J9" s="166">
        <v>1373000</v>
      </c>
      <c r="K9" s="57">
        <v>2051499</v>
      </c>
      <c r="L9" s="57">
        <v>2051379.9</v>
      </c>
      <c r="M9" s="58">
        <f t="shared" si="2"/>
        <v>99.994194489005352</v>
      </c>
      <c r="N9" s="57">
        <v>3569782.34</v>
      </c>
      <c r="O9" s="57">
        <v>9045014.2200000007</v>
      </c>
      <c r="P9" s="57">
        <v>8972569.2200000007</v>
      </c>
      <c r="Q9" s="57">
        <v>8422195.5500000007</v>
      </c>
      <c r="R9" s="58">
        <f t="shared" si="4"/>
        <v>93.866041526063597</v>
      </c>
      <c r="S9" s="57">
        <v>6303706</v>
      </c>
      <c r="T9" s="57"/>
      <c r="U9" s="57"/>
      <c r="V9" s="57"/>
      <c r="W9" s="58"/>
      <c r="X9" s="57"/>
    </row>
    <row r="10" spans="1:24" s="34" customFormat="1" x14ac:dyDescent="0.15">
      <c r="A10" s="160" t="s">
        <v>5</v>
      </c>
      <c r="B10" s="1236" t="s">
        <v>7</v>
      </c>
      <c r="C10" s="1236"/>
      <c r="D10" s="161" t="s">
        <v>25</v>
      </c>
      <c r="E10" s="69">
        <f t="shared" si="7"/>
        <v>0</v>
      </c>
      <c r="F10" s="69">
        <f t="shared" si="7"/>
        <v>0</v>
      </c>
      <c r="G10" s="69">
        <f t="shared" si="7"/>
        <v>0</v>
      </c>
      <c r="H10" s="4"/>
      <c r="I10" s="69"/>
      <c r="J10" s="167"/>
      <c r="K10" s="69"/>
      <c r="L10" s="69"/>
      <c r="M10" s="4"/>
      <c r="N10" s="69"/>
      <c r="O10" s="69"/>
      <c r="P10" s="69"/>
      <c r="Q10" s="69"/>
      <c r="R10" s="4"/>
      <c r="S10" s="69"/>
      <c r="T10" s="69"/>
      <c r="U10" s="69"/>
      <c r="V10" s="69"/>
      <c r="W10" s="4"/>
      <c r="X10" s="69"/>
    </row>
    <row r="11" spans="1:24" s="34" customFormat="1" x14ac:dyDescent="0.15">
      <c r="A11" s="160" t="s">
        <v>6</v>
      </c>
      <c r="B11" s="1236" t="s">
        <v>9</v>
      </c>
      <c r="C11" s="1236"/>
      <c r="D11" s="161" t="s">
        <v>25</v>
      </c>
      <c r="E11" s="52">
        <f>SUM(E12:E31)</f>
        <v>10805444</v>
      </c>
      <c r="F11" s="52">
        <f>SUM(F12:F31)</f>
        <v>11411498</v>
      </c>
      <c r="G11" s="52">
        <f>SUM(G12:G31)</f>
        <v>10860886.380000001</v>
      </c>
      <c r="H11" s="4">
        <f t="shared" si="0"/>
        <v>95.174940047310187</v>
      </c>
      <c r="I11" s="52">
        <f>SUM(I12:I31)</f>
        <v>10302560.040000001</v>
      </c>
      <c r="J11" s="52">
        <f>SUM(J12:J31)</f>
        <v>1760430</v>
      </c>
      <c r="K11" s="52">
        <f>SUM(K12:K31)</f>
        <v>2438929</v>
      </c>
      <c r="L11" s="52">
        <f>SUM(L12:L31)</f>
        <v>2438691.16</v>
      </c>
      <c r="M11" s="4">
        <f t="shared" si="2"/>
        <v>99.990248178606265</v>
      </c>
      <c r="N11" s="52">
        <f>SUM(N12:N31)</f>
        <v>3998854.0400000005</v>
      </c>
      <c r="O11" s="52">
        <f>SUM(O12:O31)</f>
        <v>9045014</v>
      </c>
      <c r="P11" s="52">
        <f>SUM(P12:P31)</f>
        <v>8972569</v>
      </c>
      <c r="Q11" s="52">
        <f>SUM(Q12:Q31)</f>
        <v>8422195.2200000007</v>
      </c>
      <c r="R11" s="4">
        <f t="shared" si="4"/>
        <v>93.866040149705171</v>
      </c>
      <c r="S11" s="52">
        <f>SUM(S12:S31)</f>
        <v>6303706</v>
      </c>
      <c r="T11" s="52">
        <f>SUM(T12:T31)</f>
        <v>10000</v>
      </c>
      <c r="U11" s="52">
        <f>SUM(U12:U31)</f>
        <v>10000</v>
      </c>
      <c r="V11" s="52">
        <f>SUM(V12:V31)</f>
        <v>0</v>
      </c>
      <c r="W11" s="4">
        <f t="shared" si="6"/>
        <v>0</v>
      </c>
      <c r="X11" s="52">
        <f>SUM(X12:X31)</f>
        <v>0</v>
      </c>
    </row>
    <row r="12" spans="1:24" s="34" customFormat="1" x14ac:dyDescent="0.15">
      <c r="A12" s="179" t="s">
        <v>8</v>
      </c>
      <c r="B12" s="1238" t="s">
        <v>28</v>
      </c>
      <c r="C12" s="1238"/>
      <c r="D12" s="161" t="s">
        <v>25</v>
      </c>
      <c r="E12" s="57">
        <f>SUM(J12,O12)</f>
        <v>312281</v>
      </c>
      <c r="F12" s="57">
        <f t="shared" ref="E12:I28" si="8">SUM(K12,P12)</f>
        <v>317795</v>
      </c>
      <c r="G12" s="57">
        <f t="shared" si="8"/>
        <v>317784.26</v>
      </c>
      <c r="H12" s="58">
        <f t="shared" si="0"/>
        <v>99.996620462877019</v>
      </c>
      <c r="I12" s="57">
        <f t="shared" si="8"/>
        <v>299126.78000000003</v>
      </c>
      <c r="J12" s="168">
        <v>280000</v>
      </c>
      <c r="K12" s="75">
        <v>265995</v>
      </c>
      <c r="L12" s="75">
        <v>265984.44</v>
      </c>
      <c r="M12" s="58">
        <f t="shared" si="2"/>
        <v>99.99603000056392</v>
      </c>
      <c r="N12" s="75">
        <v>285245.78000000003</v>
      </c>
      <c r="O12" s="75">
        <v>32281</v>
      </c>
      <c r="P12" s="75">
        <v>51800</v>
      </c>
      <c r="Q12" s="75">
        <v>51799.82</v>
      </c>
      <c r="R12" s="58">
        <f t="shared" si="4"/>
        <v>99.99965250965252</v>
      </c>
      <c r="S12" s="75">
        <v>13881</v>
      </c>
      <c r="T12" s="75"/>
      <c r="U12" s="75"/>
      <c r="V12" s="75"/>
      <c r="W12" s="58"/>
      <c r="X12" s="82"/>
    </row>
    <row r="13" spans="1:24" s="34" customFormat="1" x14ac:dyDescent="0.15">
      <c r="A13" s="162" t="s">
        <v>10</v>
      </c>
      <c r="B13" s="1233" t="s">
        <v>29</v>
      </c>
      <c r="C13" s="1233"/>
      <c r="D13" s="161" t="s">
        <v>25</v>
      </c>
      <c r="E13" s="57">
        <f t="shared" si="8"/>
        <v>420000</v>
      </c>
      <c r="F13" s="57">
        <f t="shared" si="8"/>
        <v>412216</v>
      </c>
      <c r="G13" s="57">
        <f t="shared" si="8"/>
        <v>412215.14</v>
      </c>
      <c r="H13" s="58">
        <f t="shared" si="0"/>
        <v>99.999791371513965</v>
      </c>
      <c r="I13" s="57">
        <f t="shared" si="8"/>
        <v>352314.83</v>
      </c>
      <c r="J13" s="168">
        <v>420000</v>
      </c>
      <c r="K13" s="57">
        <v>412216</v>
      </c>
      <c r="L13" s="57">
        <v>412215.14</v>
      </c>
      <c r="M13" s="58">
        <f t="shared" si="2"/>
        <v>99.999791371513965</v>
      </c>
      <c r="N13" s="57">
        <v>352314.83</v>
      </c>
      <c r="O13" s="57"/>
      <c r="P13" s="57"/>
      <c r="Q13" s="57"/>
      <c r="R13" s="58"/>
      <c r="S13" s="57"/>
      <c r="T13" s="57"/>
      <c r="U13" s="57"/>
      <c r="V13" s="57"/>
      <c r="W13" s="58"/>
      <c r="X13" s="57"/>
    </row>
    <row r="14" spans="1:24" s="34" customFormat="1" x14ac:dyDescent="0.15">
      <c r="A14" s="162" t="s">
        <v>11</v>
      </c>
      <c r="B14" s="76" t="s">
        <v>63</v>
      </c>
      <c r="C14" s="76"/>
      <c r="D14" s="161" t="s">
        <v>25</v>
      </c>
      <c r="E14" s="57">
        <f t="shared" si="8"/>
        <v>0</v>
      </c>
      <c r="F14" s="57">
        <f t="shared" si="8"/>
        <v>0</v>
      </c>
      <c r="G14" s="57">
        <f t="shared" si="8"/>
        <v>0</v>
      </c>
      <c r="H14" s="58"/>
      <c r="I14" s="57">
        <f t="shared" si="8"/>
        <v>0</v>
      </c>
      <c r="J14" s="168"/>
      <c r="K14" s="57"/>
      <c r="L14" s="57"/>
      <c r="M14" s="58"/>
      <c r="N14" s="57"/>
      <c r="O14" s="57"/>
      <c r="P14" s="57"/>
      <c r="Q14" s="57"/>
      <c r="R14" s="58"/>
      <c r="S14" s="57"/>
      <c r="T14" s="57"/>
      <c r="U14" s="57"/>
      <c r="V14" s="57"/>
      <c r="W14" s="58"/>
      <c r="X14" s="57"/>
    </row>
    <row r="15" spans="1:24" s="34" customFormat="1" x14ac:dyDescent="0.15">
      <c r="A15" s="162" t="s">
        <v>12</v>
      </c>
      <c r="B15" s="1233" t="s">
        <v>64</v>
      </c>
      <c r="C15" s="1233"/>
      <c r="D15" s="161" t="s">
        <v>25</v>
      </c>
      <c r="E15" s="57">
        <f t="shared" si="8"/>
        <v>345300</v>
      </c>
      <c r="F15" s="57">
        <f t="shared" si="8"/>
        <v>978100</v>
      </c>
      <c r="G15" s="57">
        <f t="shared" si="8"/>
        <v>978081.8</v>
      </c>
      <c r="H15" s="58">
        <f t="shared" si="0"/>
        <v>99.998139249565483</v>
      </c>
      <c r="I15" s="57">
        <f t="shared" si="8"/>
        <v>2615783.04</v>
      </c>
      <c r="J15" s="168">
        <v>345300</v>
      </c>
      <c r="K15" s="57">
        <v>978100</v>
      </c>
      <c r="L15" s="57">
        <v>978081.8</v>
      </c>
      <c r="M15" s="58">
        <f t="shared" si="2"/>
        <v>99.998139249565483</v>
      </c>
      <c r="N15" s="57">
        <v>2615783.04</v>
      </c>
      <c r="O15" s="57"/>
      <c r="P15" s="57"/>
      <c r="Q15" s="57"/>
      <c r="R15" s="58"/>
      <c r="S15" s="57"/>
      <c r="T15" s="57"/>
      <c r="U15" s="57"/>
      <c r="V15" s="57"/>
      <c r="W15" s="58"/>
      <c r="X15" s="57"/>
    </row>
    <row r="16" spans="1:24" s="34" customFormat="1" x14ac:dyDescent="0.15">
      <c r="A16" s="162" t="s">
        <v>13</v>
      </c>
      <c r="B16" s="1233" t="s">
        <v>30</v>
      </c>
      <c r="C16" s="1233"/>
      <c r="D16" s="161" t="s">
        <v>25</v>
      </c>
      <c r="E16" s="57">
        <f t="shared" si="8"/>
        <v>2200</v>
      </c>
      <c r="F16" s="57">
        <f t="shared" si="8"/>
        <v>21527</v>
      </c>
      <c r="G16" s="57">
        <f t="shared" si="8"/>
        <v>21527</v>
      </c>
      <c r="H16" s="58">
        <f t="shared" si="0"/>
        <v>100</v>
      </c>
      <c r="I16" s="57">
        <f t="shared" si="8"/>
        <v>1263</v>
      </c>
      <c r="J16" s="168">
        <v>2200</v>
      </c>
      <c r="K16" s="57">
        <v>21527</v>
      </c>
      <c r="L16" s="57">
        <v>21527</v>
      </c>
      <c r="M16" s="58">
        <f t="shared" si="2"/>
        <v>100</v>
      </c>
      <c r="N16" s="57">
        <v>1263</v>
      </c>
      <c r="O16" s="57"/>
      <c r="P16" s="57"/>
      <c r="Q16" s="57"/>
      <c r="R16" s="58"/>
      <c r="S16" s="57"/>
      <c r="T16" s="57"/>
      <c r="U16" s="57"/>
      <c r="V16" s="57"/>
      <c r="W16" s="58"/>
      <c r="X16" s="57"/>
    </row>
    <row r="17" spans="1:24" s="34" customFormat="1" x14ac:dyDescent="0.15">
      <c r="A17" s="162" t="s">
        <v>14</v>
      </c>
      <c r="B17" s="76" t="s">
        <v>48</v>
      </c>
      <c r="C17" s="76"/>
      <c r="D17" s="161" t="s">
        <v>25</v>
      </c>
      <c r="E17" s="57">
        <f t="shared" si="8"/>
        <v>1202</v>
      </c>
      <c r="F17" s="57">
        <f t="shared" si="8"/>
        <v>1202</v>
      </c>
      <c r="G17" s="57">
        <f t="shared" si="8"/>
        <v>1202</v>
      </c>
      <c r="H17" s="58">
        <f t="shared" si="0"/>
        <v>100</v>
      </c>
      <c r="I17" s="57">
        <f t="shared" si="8"/>
        <v>1164</v>
      </c>
      <c r="J17" s="168">
        <v>1202</v>
      </c>
      <c r="K17" s="57">
        <v>1202</v>
      </c>
      <c r="L17" s="57">
        <v>1202</v>
      </c>
      <c r="M17" s="58">
        <f t="shared" si="2"/>
        <v>100</v>
      </c>
      <c r="N17" s="57">
        <v>1164</v>
      </c>
      <c r="O17" s="57"/>
      <c r="P17" s="57"/>
      <c r="Q17" s="57"/>
      <c r="R17" s="58"/>
      <c r="S17" s="57"/>
      <c r="T17" s="57"/>
      <c r="U17" s="57"/>
      <c r="V17" s="57"/>
      <c r="W17" s="58"/>
      <c r="X17" s="57"/>
    </row>
    <row r="18" spans="1:24" s="34" customFormat="1" x14ac:dyDescent="0.15">
      <c r="A18" s="162" t="s">
        <v>15</v>
      </c>
      <c r="B18" s="1233" t="s">
        <v>31</v>
      </c>
      <c r="C18" s="1233"/>
      <c r="D18" s="161" t="s">
        <v>25</v>
      </c>
      <c r="E18" s="57">
        <f t="shared" si="8"/>
        <v>455404</v>
      </c>
      <c r="F18" s="57">
        <f t="shared" si="8"/>
        <v>453677</v>
      </c>
      <c r="G18" s="57">
        <f t="shared" si="8"/>
        <v>453581.18000000005</v>
      </c>
      <c r="H18" s="58">
        <f t="shared" si="0"/>
        <v>99.978879246688734</v>
      </c>
      <c r="I18" s="57">
        <f t="shared" si="8"/>
        <v>318992.39</v>
      </c>
      <c r="J18" s="168">
        <v>353000</v>
      </c>
      <c r="K18" s="57">
        <v>351273</v>
      </c>
      <c r="L18" s="57">
        <v>351177.58</v>
      </c>
      <c r="M18" s="58">
        <f t="shared" si="2"/>
        <v>99.972835942415159</v>
      </c>
      <c r="N18" s="57">
        <v>273650.39</v>
      </c>
      <c r="O18" s="57">
        <v>102404</v>
      </c>
      <c r="P18" s="57">
        <v>102404</v>
      </c>
      <c r="Q18" s="57">
        <v>102403.6</v>
      </c>
      <c r="R18" s="58">
        <f t="shared" si="4"/>
        <v>99.9996093902582</v>
      </c>
      <c r="S18" s="57">
        <v>45342</v>
      </c>
      <c r="T18" s="57"/>
      <c r="U18" s="57"/>
      <c r="V18" s="57"/>
      <c r="W18" s="58"/>
      <c r="X18" s="57"/>
    </row>
    <row r="19" spans="1:24" s="37" customFormat="1" x14ac:dyDescent="0.15">
      <c r="A19" s="162" t="s">
        <v>16</v>
      </c>
      <c r="B19" s="1233" t="s">
        <v>32</v>
      </c>
      <c r="C19" s="1233"/>
      <c r="D19" s="161" t="s">
        <v>25</v>
      </c>
      <c r="E19" s="57">
        <f t="shared" si="8"/>
        <v>6065123</v>
      </c>
      <c r="F19" s="57">
        <f t="shared" si="8"/>
        <v>6001565</v>
      </c>
      <c r="G19" s="57">
        <f t="shared" si="8"/>
        <v>5854482</v>
      </c>
      <c r="H19" s="58">
        <f t="shared" si="0"/>
        <v>97.549255902418793</v>
      </c>
      <c r="I19" s="57">
        <f t="shared" si="8"/>
        <v>4571124</v>
      </c>
      <c r="J19" s="169"/>
      <c r="K19" s="57"/>
      <c r="L19" s="57"/>
      <c r="M19" s="58"/>
      <c r="N19" s="57"/>
      <c r="O19" s="57">
        <v>6065123</v>
      </c>
      <c r="P19" s="57">
        <v>6001565</v>
      </c>
      <c r="Q19" s="57">
        <v>5854482</v>
      </c>
      <c r="R19" s="58">
        <f t="shared" si="4"/>
        <v>97.549255902418793</v>
      </c>
      <c r="S19" s="57">
        <v>4571124</v>
      </c>
      <c r="T19" s="78"/>
      <c r="U19" s="78"/>
      <c r="V19" s="78"/>
      <c r="W19" s="58"/>
      <c r="X19" s="78"/>
    </row>
    <row r="20" spans="1:24" s="34" customFormat="1" x14ac:dyDescent="0.15">
      <c r="A20" s="162" t="s">
        <v>17</v>
      </c>
      <c r="B20" s="1233" t="s">
        <v>49</v>
      </c>
      <c r="C20" s="1233"/>
      <c r="D20" s="161" t="s">
        <v>25</v>
      </c>
      <c r="E20" s="57">
        <f t="shared" si="8"/>
        <v>2052207</v>
      </c>
      <c r="F20" s="57">
        <f t="shared" si="8"/>
        <v>2019803</v>
      </c>
      <c r="G20" s="57">
        <f t="shared" si="8"/>
        <v>1982472</v>
      </c>
      <c r="H20" s="58">
        <f t="shared" si="0"/>
        <v>98.151750442988757</v>
      </c>
      <c r="I20" s="57">
        <f t="shared" si="8"/>
        <v>1563516</v>
      </c>
      <c r="J20" s="168"/>
      <c r="K20" s="57"/>
      <c r="L20" s="57"/>
      <c r="M20" s="58"/>
      <c r="N20" s="57"/>
      <c r="O20" s="57">
        <v>2052207</v>
      </c>
      <c r="P20" s="57">
        <v>2019803</v>
      </c>
      <c r="Q20" s="57">
        <v>1982472</v>
      </c>
      <c r="R20" s="58">
        <f t="shared" si="4"/>
        <v>98.151750442988757</v>
      </c>
      <c r="S20" s="57">
        <v>1563516</v>
      </c>
      <c r="T20" s="57"/>
      <c r="U20" s="57"/>
      <c r="V20" s="57"/>
      <c r="W20" s="58"/>
      <c r="X20" s="57"/>
    </row>
    <row r="21" spans="1:24" s="34" customFormat="1" x14ac:dyDescent="0.15">
      <c r="A21" s="162" t="s">
        <v>18</v>
      </c>
      <c r="B21" s="1233" t="s">
        <v>50</v>
      </c>
      <c r="C21" s="1233"/>
      <c r="D21" s="161" t="s">
        <v>25</v>
      </c>
      <c r="E21" s="57">
        <f t="shared" si="8"/>
        <v>161368</v>
      </c>
      <c r="F21" s="57">
        <f t="shared" si="8"/>
        <v>159045</v>
      </c>
      <c r="G21" s="57">
        <f t="shared" si="8"/>
        <v>152095</v>
      </c>
      <c r="H21" s="58">
        <f t="shared" si="0"/>
        <v>95.6301675626395</v>
      </c>
      <c r="I21" s="57">
        <f t="shared" si="8"/>
        <v>119140</v>
      </c>
      <c r="J21" s="168">
        <v>25000</v>
      </c>
      <c r="K21" s="57">
        <v>25000</v>
      </c>
      <c r="L21" s="57">
        <v>25000</v>
      </c>
      <c r="M21" s="58">
        <f t="shared" si="2"/>
        <v>100</v>
      </c>
      <c r="N21" s="57">
        <v>24984</v>
      </c>
      <c r="O21" s="57">
        <v>136368</v>
      </c>
      <c r="P21" s="57">
        <v>134045</v>
      </c>
      <c r="Q21" s="57">
        <v>127095</v>
      </c>
      <c r="R21" s="58">
        <f t="shared" si="4"/>
        <v>94.815174008728405</v>
      </c>
      <c r="S21" s="57">
        <v>94156</v>
      </c>
      <c r="T21" s="57"/>
      <c r="U21" s="57"/>
      <c r="V21" s="57"/>
      <c r="W21" s="58"/>
      <c r="X21" s="57"/>
    </row>
    <row r="22" spans="1:24" s="34" customFormat="1" x14ac:dyDescent="0.15">
      <c r="A22" s="162" t="s">
        <v>19</v>
      </c>
      <c r="B22" s="1233" t="s">
        <v>65</v>
      </c>
      <c r="C22" s="1233"/>
      <c r="D22" s="161" t="s">
        <v>25</v>
      </c>
      <c r="E22" s="57">
        <f t="shared" si="8"/>
        <v>0</v>
      </c>
      <c r="F22" s="57">
        <f t="shared" si="8"/>
        <v>0</v>
      </c>
      <c r="G22" s="57">
        <f t="shared" si="8"/>
        <v>0</v>
      </c>
      <c r="H22" s="58"/>
      <c r="I22" s="57">
        <f t="shared" si="8"/>
        <v>100</v>
      </c>
      <c r="J22" s="168"/>
      <c r="K22" s="57"/>
      <c r="L22" s="57"/>
      <c r="M22" s="58"/>
      <c r="N22" s="57">
        <v>100</v>
      </c>
      <c r="O22" s="57"/>
      <c r="P22" s="57"/>
      <c r="Q22" s="57"/>
      <c r="R22" s="58"/>
      <c r="S22" s="57"/>
      <c r="T22" s="57"/>
      <c r="U22" s="57"/>
      <c r="V22" s="57"/>
      <c r="W22" s="58"/>
      <c r="X22" s="57"/>
    </row>
    <row r="23" spans="1:24" s="34" customFormat="1" x14ac:dyDescent="0.15">
      <c r="A23" s="162" t="s">
        <v>20</v>
      </c>
      <c r="B23" s="76" t="s">
        <v>66</v>
      </c>
      <c r="C23" s="76"/>
      <c r="D23" s="161" t="s">
        <v>25</v>
      </c>
      <c r="E23" s="57">
        <f t="shared" si="8"/>
        <v>0</v>
      </c>
      <c r="F23" s="57">
        <f t="shared" si="8"/>
        <v>0</v>
      </c>
      <c r="G23" s="57">
        <f t="shared" si="8"/>
        <v>0</v>
      </c>
      <c r="H23" s="58"/>
      <c r="I23" s="57">
        <f t="shared" si="8"/>
        <v>43</v>
      </c>
      <c r="J23" s="168"/>
      <c r="K23" s="57"/>
      <c r="L23" s="57"/>
      <c r="M23" s="58"/>
      <c r="N23" s="57">
        <v>43</v>
      </c>
      <c r="O23" s="57"/>
      <c r="P23" s="57"/>
      <c r="Q23" s="57"/>
      <c r="R23" s="58"/>
      <c r="S23" s="57"/>
      <c r="T23" s="57"/>
      <c r="U23" s="57"/>
      <c r="V23" s="57"/>
      <c r="W23" s="58"/>
      <c r="X23" s="57"/>
    </row>
    <row r="24" spans="1:24" s="34" customFormat="1" x14ac:dyDescent="0.15">
      <c r="A24" s="162" t="s">
        <v>21</v>
      </c>
      <c r="B24" s="76" t="s">
        <v>73</v>
      </c>
      <c r="C24" s="76"/>
      <c r="D24" s="161" t="s">
        <v>25</v>
      </c>
      <c r="E24" s="57">
        <f t="shared" si="8"/>
        <v>0</v>
      </c>
      <c r="F24" s="57">
        <f t="shared" si="8"/>
        <v>0</v>
      </c>
      <c r="G24" s="57">
        <f t="shared" si="8"/>
        <v>0</v>
      </c>
      <c r="H24" s="58"/>
      <c r="I24" s="57">
        <f t="shared" si="8"/>
        <v>0</v>
      </c>
      <c r="J24" s="168"/>
      <c r="K24" s="57"/>
      <c r="L24" s="57"/>
      <c r="M24" s="58"/>
      <c r="N24" s="57"/>
      <c r="O24" s="57"/>
      <c r="P24" s="57"/>
      <c r="Q24" s="57"/>
      <c r="R24" s="58"/>
      <c r="S24" s="57"/>
      <c r="T24" s="57"/>
      <c r="U24" s="57"/>
      <c r="V24" s="57"/>
      <c r="W24" s="58"/>
      <c r="X24" s="57"/>
    </row>
    <row r="25" spans="1:24" s="34" customFormat="1" x14ac:dyDescent="0.15">
      <c r="A25" s="179" t="s">
        <v>22</v>
      </c>
      <c r="B25" s="80" t="s">
        <v>68</v>
      </c>
      <c r="C25" s="80"/>
      <c r="D25" s="161" t="s">
        <v>25</v>
      </c>
      <c r="E25" s="57">
        <f t="shared" si="8"/>
        <v>0</v>
      </c>
      <c r="F25" s="57">
        <f t="shared" si="8"/>
        <v>0</v>
      </c>
      <c r="G25" s="57">
        <f t="shared" si="8"/>
        <v>0</v>
      </c>
      <c r="H25" s="58"/>
      <c r="I25" s="57">
        <f t="shared" si="8"/>
        <v>0</v>
      </c>
      <c r="J25" s="168"/>
      <c r="K25" s="75"/>
      <c r="L25" s="75"/>
      <c r="M25" s="58"/>
      <c r="N25" s="75"/>
      <c r="O25" s="75"/>
      <c r="P25" s="75"/>
      <c r="Q25" s="75"/>
      <c r="R25" s="58"/>
      <c r="S25" s="75"/>
      <c r="T25" s="75"/>
      <c r="U25" s="75"/>
      <c r="V25" s="75"/>
      <c r="W25" s="58"/>
      <c r="X25" s="75"/>
    </row>
    <row r="26" spans="1:24" s="38" customFormat="1" x14ac:dyDescent="0.15">
      <c r="A26" s="162" t="s">
        <v>23</v>
      </c>
      <c r="B26" s="1233" t="s">
        <v>69</v>
      </c>
      <c r="C26" s="1233"/>
      <c r="D26" s="161" t="s">
        <v>25</v>
      </c>
      <c r="E26" s="57">
        <f t="shared" si="8"/>
        <v>130728</v>
      </c>
      <c r="F26" s="57">
        <f t="shared" si="8"/>
        <v>130728</v>
      </c>
      <c r="G26" s="57">
        <f t="shared" si="8"/>
        <v>130728</v>
      </c>
      <c r="H26" s="81">
        <f t="shared" si="0"/>
        <v>100</v>
      </c>
      <c r="I26" s="57">
        <f t="shared" si="8"/>
        <v>130728</v>
      </c>
      <c r="J26" s="168">
        <v>130728</v>
      </c>
      <c r="K26" s="82">
        <v>130728</v>
      </c>
      <c r="L26" s="82">
        <v>130728</v>
      </c>
      <c r="M26" s="58">
        <f t="shared" si="2"/>
        <v>100</v>
      </c>
      <c r="N26" s="82">
        <v>130728</v>
      </c>
      <c r="O26" s="82"/>
      <c r="P26" s="82"/>
      <c r="Q26" s="82"/>
      <c r="R26" s="58"/>
      <c r="S26" s="82"/>
      <c r="T26" s="83"/>
      <c r="U26" s="83"/>
      <c r="V26" s="83"/>
      <c r="W26" s="58"/>
      <c r="X26" s="83"/>
    </row>
    <row r="27" spans="1:24" s="39" customFormat="1" x14ac:dyDescent="0.15">
      <c r="A27" s="162" t="s">
        <v>45</v>
      </c>
      <c r="B27" s="76" t="s">
        <v>70</v>
      </c>
      <c r="C27" s="76"/>
      <c r="D27" s="161" t="s">
        <v>25</v>
      </c>
      <c r="E27" s="57">
        <f t="shared" si="8"/>
        <v>0</v>
      </c>
      <c r="F27" s="57">
        <f t="shared" si="8"/>
        <v>0</v>
      </c>
      <c r="G27" s="57">
        <f t="shared" si="8"/>
        <v>0</v>
      </c>
      <c r="H27" s="81"/>
      <c r="I27" s="57">
        <f t="shared" si="8"/>
        <v>0</v>
      </c>
      <c r="J27" s="168"/>
      <c r="K27" s="82"/>
      <c r="L27" s="82"/>
      <c r="M27" s="58"/>
      <c r="N27" s="82"/>
      <c r="O27" s="82"/>
      <c r="P27" s="82"/>
      <c r="Q27" s="82"/>
      <c r="R27" s="58"/>
      <c r="S27" s="82"/>
      <c r="T27" s="83"/>
      <c r="U27" s="83"/>
      <c r="V27" s="83"/>
      <c r="W27" s="58"/>
      <c r="X27" s="83"/>
    </row>
    <row r="28" spans="1:24" s="39" customFormat="1" x14ac:dyDescent="0.15">
      <c r="A28" s="162" t="s">
        <v>51</v>
      </c>
      <c r="B28" s="76" t="s">
        <v>74</v>
      </c>
      <c r="C28" s="76"/>
      <c r="D28" s="161" t="s">
        <v>25</v>
      </c>
      <c r="E28" s="57">
        <f t="shared" si="8"/>
        <v>856631</v>
      </c>
      <c r="F28" s="57">
        <f t="shared" si="8"/>
        <v>913856</v>
      </c>
      <c r="G28" s="57">
        <f t="shared" si="8"/>
        <v>554846</v>
      </c>
      <c r="H28" s="81">
        <f t="shared" si="0"/>
        <v>60.714817214090623</v>
      </c>
      <c r="I28" s="57">
        <f t="shared" si="8"/>
        <v>326395</v>
      </c>
      <c r="J28" s="168">
        <v>200000</v>
      </c>
      <c r="K28" s="82">
        <v>250904</v>
      </c>
      <c r="L28" s="82">
        <v>250903.2</v>
      </c>
      <c r="M28" s="58">
        <f t="shared" si="2"/>
        <v>99.999681152950942</v>
      </c>
      <c r="N28" s="82">
        <v>310708</v>
      </c>
      <c r="O28" s="82">
        <v>656631</v>
      </c>
      <c r="P28" s="82">
        <v>662952</v>
      </c>
      <c r="Q28" s="82">
        <v>303942.8</v>
      </c>
      <c r="R28" s="58">
        <f t="shared" si="4"/>
        <v>45.846878808722195</v>
      </c>
      <c r="S28" s="82">
        <v>15687</v>
      </c>
      <c r="T28" s="83">
        <v>10000</v>
      </c>
      <c r="U28" s="83">
        <v>10000</v>
      </c>
      <c r="V28" s="83">
        <v>0</v>
      </c>
      <c r="W28" s="58">
        <f t="shared" si="6"/>
        <v>0</v>
      </c>
      <c r="X28" s="83"/>
    </row>
    <row r="29" spans="1:24" s="38" customFormat="1" x14ac:dyDescent="0.15">
      <c r="A29" s="162" t="s">
        <v>52</v>
      </c>
      <c r="B29" s="1233" t="s">
        <v>67</v>
      </c>
      <c r="C29" s="1233"/>
      <c r="D29" s="161" t="s">
        <v>25</v>
      </c>
      <c r="E29" s="57">
        <f t="shared" ref="E29:G31" si="9">SUM(J29,O29)</f>
        <v>3000</v>
      </c>
      <c r="F29" s="57">
        <f t="shared" si="9"/>
        <v>1984</v>
      </c>
      <c r="G29" s="57">
        <f t="shared" si="9"/>
        <v>1872</v>
      </c>
      <c r="H29" s="81">
        <f t="shared" si="0"/>
        <v>94.354838709677423</v>
      </c>
      <c r="I29" s="57">
        <f>SUM(N29,S29)</f>
        <v>2870</v>
      </c>
      <c r="J29" s="168">
        <v>3000</v>
      </c>
      <c r="K29" s="82">
        <v>1984</v>
      </c>
      <c r="L29" s="82">
        <v>1872</v>
      </c>
      <c r="M29" s="58">
        <f t="shared" si="2"/>
        <v>94.354838709677423</v>
      </c>
      <c r="N29" s="82">
        <v>2870</v>
      </c>
      <c r="O29" s="82"/>
      <c r="P29" s="82"/>
      <c r="Q29" s="82"/>
      <c r="R29" s="58"/>
      <c r="S29" s="82"/>
      <c r="T29" s="83"/>
      <c r="U29" s="83"/>
      <c r="V29" s="83"/>
      <c r="W29" s="58"/>
      <c r="X29" s="83"/>
    </row>
    <row r="30" spans="1:24" s="34" customFormat="1" x14ac:dyDescent="0.15">
      <c r="A30" s="162" t="s">
        <v>54</v>
      </c>
      <c r="B30" s="76" t="s">
        <v>53</v>
      </c>
      <c r="C30" s="76"/>
      <c r="D30" s="161" t="s">
        <v>25</v>
      </c>
      <c r="E30" s="57">
        <f t="shared" si="9"/>
        <v>0</v>
      </c>
      <c r="F30" s="57">
        <f t="shared" si="9"/>
        <v>0</v>
      </c>
      <c r="G30" s="57">
        <f t="shared" si="9"/>
        <v>0</v>
      </c>
      <c r="H30" s="81"/>
      <c r="I30" s="57">
        <f>SUM(N30,S30)</f>
        <v>0</v>
      </c>
      <c r="J30" s="168"/>
      <c r="K30" s="82"/>
      <c r="L30" s="82"/>
      <c r="M30" s="58"/>
      <c r="N30" s="82"/>
      <c r="O30" s="82"/>
      <c r="P30" s="82"/>
      <c r="Q30" s="82"/>
      <c r="R30" s="58"/>
      <c r="S30" s="82"/>
      <c r="T30" s="83"/>
      <c r="U30" s="83"/>
      <c r="V30" s="83"/>
      <c r="W30" s="58"/>
      <c r="X30" s="83"/>
    </row>
    <row r="31" spans="1:24" s="5" customFormat="1" ht="8.4" x14ac:dyDescent="0.2">
      <c r="A31" s="162" t="s">
        <v>55</v>
      </c>
      <c r="B31" s="66" t="s">
        <v>71</v>
      </c>
      <c r="C31" s="66"/>
      <c r="D31" s="161" t="s">
        <v>25</v>
      </c>
      <c r="E31" s="57">
        <f t="shared" si="9"/>
        <v>0</v>
      </c>
      <c r="F31" s="57">
        <f t="shared" si="9"/>
        <v>0</v>
      </c>
      <c r="G31" s="57">
        <f t="shared" si="9"/>
        <v>0</v>
      </c>
      <c r="H31" s="81"/>
      <c r="I31" s="57">
        <f>SUM(N31,S31)</f>
        <v>0</v>
      </c>
      <c r="J31" s="168"/>
      <c r="K31" s="84"/>
      <c r="L31" s="84"/>
      <c r="M31" s="58"/>
      <c r="N31" s="84"/>
      <c r="O31" s="84"/>
      <c r="P31" s="84"/>
      <c r="Q31" s="84"/>
      <c r="R31" s="58"/>
      <c r="S31" s="84"/>
      <c r="T31" s="31"/>
      <c r="U31" s="31"/>
      <c r="V31" s="31"/>
      <c r="W31" s="58"/>
      <c r="X31" s="31"/>
    </row>
    <row r="32" spans="1:24" s="5" customFormat="1" x14ac:dyDescent="0.15">
      <c r="A32" s="179" t="s">
        <v>56</v>
      </c>
      <c r="B32" s="80" t="s">
        <v>72</v>
      </c>
      <c r="C32" s="80"/>
      <c r="D32" s="161" t="s">
        <v>25</v>
      </c>
      <c r="E32" s="57">
        <f>SUM(J32,O32)</f>
        <v>0</v>
      </c>
      <c r="F32" s="57">
        <f>SUM(K32,P32)</f>
        <v>0</v>
      </c>
      <c r="G32" s="57">
        <f>SUM(L32,Q32)</f>
        <v>0</v>
      </c>
      <c r="H32" s="81"/>
      <c r="I32" s="57">
        <f>SUM(N32,S32)</f>
        <v>0</v>
      </c>
      <c r="J32" s="170"/>
      <c r="K32" s="31"/>
      <c r="L32" s="31"/>
      <c r="M32" s="58"/>
      <c r="N32" s="31"/>
      <c r="O32" s="31"/>
      <c r="P32" s="31"/>
      <c r="Q32" s="31"/>
      <c r="R32" s="58"/>
      <c r="S32" s="31"/>
      <c r="T32" s="31"/>
      <c r="U32" s="31"/>
      <c r="V32" s="31"/>
      <c r="W32" s="58"/>
      <c r="X32" s="31"/>
    </row>
    <row r="33" spans="1:24" s="5" customFormat="1" x14ac:dyDescent="0.15">
      <c r="A33" s="160" t="s">
        <v>57</v>
      </c>
      <c r="B33" s="88" t="s">
        <v>58</v>
      </c>
      <c r="C33" s="88"/>
      <c r="D33" s="161" t="s">
        <v>25</v>
      </c>
      <c r="E33" s="52">
        <f>E6-E11</f>
        <v>0.22000000067055225</v>
      </c>
      <c r="F33" s="52">
        <f t="shared" ref="F33:L33" si="10">F6-F11</f>
        <v>0.22000000067055225</v>
      </c>
      <c r="G33" s="52">
        <f t="shared" si="10"/>
        <v>57645.919999999925</v>
      </c>
      <c r="H33" s="89"/>
      <c r="I33" s="52">
        <f t="shared" si="10"/>
        <v>19917.629999998957</v>
      </c>
      <c r="J33" s="52">
        <f t="shared" si="10"/>
        <v>0</v>
      </c>
      <c r="K33" s="52">
        <f t="shared" si="10"/>
        <v>0</v>
      </c>
      <c r="L33" s="52">
        <f t="shared" si="10"/>
        <v>57645.589999999851</v>
      </c>
      <c r="M33" s="4"/>
      <c r="N33" s="52">
        <f t="shared" ref="N33:Q33" si="11">N6-N11</f>
        <v>19917.629999999423</v>
      </c>
      <c r="O33" s="52">
        <f t="shared" si="11"/>
        <v>0.22000000067055225</v>
      </c>
      <c r="P33" s="52">
        <f t="shared" si="11"/>
        <v>0.22000000067055225</v>
      </c>
      <c r="Q33" s="52">
        <f t="shared" si="11"/>
        <v>0.33000000007450581</v>
      </c>
      <c r="R33" s="4"/>
      <c r="S33" s="52">
        <f t="shared" ref="S33:V33" si="12">S6-S11</f>
        <v>0</v>
      </c>
      <c r="T33" s="52">
        <f t="shared" si="12"/>
        <v>5000</v>
      </c>
      <c r="U33" s="52">
        <f t="shared" si="12"/>
        <v>5000</v>
      </c>
      <c r="V33" s="52">
        <f t="shared" si="12"/>
        <v>0</v>
      </c>
      <c r="W33" s="58">
        <f t="shared" si="6"/>
        <v>0</v>
      </c>
      <c r="X33" s="52">
        <f>X6-X11</f>
        <v>0</v>
      </c>
    </row>
    <row r="34" spans="1:24" s="6" customFormat="1" x14ac:dyDescent="0.15">
      <c r="A34" s="171" t="s">
        <v>59</v>
      </c>
      <c r="B34" s="1239" t="s">
        <v>24</v>
      </c>
      <c r="C34" s="1239"/>
      <c r="D34" s="192" t="s">
        <v>25</v>
      </c>
      <c r="E34" s="57">
        <f t="shared" ref="E34:G36" si="13">SUM(J34,O34)</f>
        <v>29960</v>
      </c>
      <c r="F34" s="57">
        <f t="shared" si="13"/>
        <v>30815</v>
      </c>
      <c r="G34" s="57">
        <f t="shared" si="13"/>
        <v>29730</v>
      </c>
      <c r="H34" s="81">
        <f t="shared" si="0"/>
        <v>96.478987506084707</v>
      </c>
      <c r="I34" s="93"/>
      <c r="J34" s="96"/>
      <c r="K34" s="96"/>
      <c r="L34" s="96"/>
      <c r="M34" s="58"/>
      <c r="N34" s="96"/>
      <c r="O34" s="96">
        <v>29960</v>
      </c>
      <c r="P34" s="96">
        <v>30815</v>
      </c>
      <c r="Q34" s="96">
        <v>29730</v>
      </c>
      <c r="R34" s="58">
        <f t="shared" si="4"/>
        <v>96.478987506084707</v>
      </c>
      <c r="S34" s="96">
        <v>26180</v>
      </c>
      <c r="T34" s="96"/>
      <c r="U34" s="96"/>
      <c r="V34" s="96"/>
      <c r="W34" s="58"/>
      <c r="X34" s="96"/>
    </row>
    <row r="35" spans="1:24" s="6" customFormat="1" x14ac:dyDescent="0.15">
      <c r="A35" s="174" t="s">
        <v>60</v>
      </c>
      <c r="B35" s="1240" t="s">
        <v>33</v>
      </c>
      <c r="C35" s="1240"/>
      <c r="D35" s="196" t="s">
        <v>26</v>
      </c>
      <c r="E35" s="241">
        <f t="shared" si="13"/>
        <v>16.87</v>
      </c>
      <c r="F35" s="241">
        <f t="shared" si="13"/>
        <v>16.23</v>
      </c>
      <c r="G35" s="241">
        <f t="shared" si="13"/>
        <v>16.4069</v>
      </c>
      <c r="H35" s="81">
        <f t="shared" si="0"/>
        <v>101.08995686999384</v>
      </c>
      <c r="I35" s="93"/>
      <c r="J35" s="96"/>
      <c r="K35" s="96"/>
      <c r="L35" s="96"/>
      <c r="M35" s="58"/>
      <c r="N35" s="96"/>
      <c r="O35" s="242">
        <v>16.87</v>
      </c>
      <c r="P35" s="242">
        <v>16.23</v>
      </c>
      <c r="Q35" s="242">
        <v>16.4069</v>
      </c>
      <c r="R35" s="58">
        <f t="shared" si="4"/>
        <v>101.08995686999384</v>
      </c>
      <c r="S35" s="243">
        <v>14.55</v>
      </c>
      <c r="T35" s="96"/>
      <c r="U35" s="96"/>
      <c r="V35" s="96"/>
      <c r="W35" s="58"/>
      <c r="X35" s="96"/>
    </row>
    <row r="36" spans="1:24" s="6" customFormat="1" x14ac:dyDescent="0.15">
      <c r="A36" s="171" t="s">
        <v>61</v>
      </c>
      <c r="B36" s="1239" t="s">
        <v>27</v>
      </c>
      <c r="C36" s="1239"/>
      <c r="D36" s="192" t="s">
        <v>26</v>
      </c>
      <c r="E36" s="241">
        <f t="shared" si="13"/>
        <v>19</v>
      </c>
      <c r="F36" s="241">
        <f t="shared" si="13"/>
        <v>19</v>
      </c>
      <c r="G36" s="241">
        <f t="shared" si="13"/>
        <v>19</v>
      </c>
      <c r="H36" s="81">
        <f t="shared" si="0"/>
        <v>100</v>
      </c>
      <c r="I36" s="93"/>
      <c r="J36" s="96"/>
      <c r="K36" s="96"/>
      <c r="L36" s="96"/>
      <c r="M36" s="58"/>
      <c r="N36" s="96"/>
      <c r="O36" s="242">
        <v>19</v>
      </c>
      <c r="P36" s="242">
        <v>19</v>
      </c>
      <c r="Q36" s="242">
        <v>19</v>
      </c>
      <c r="R36" s="58">
        <f t="shared" si="4"/>
        <v>100</v>
      </c>
      <c r="S36" s="243">
        <v>16</v>
      </c>
      <c r="T36" s="96"/>
      <c r="U36" s="96"/>
      <c r="V36" s="96"/>
      <c r="W36" s="58"/>
      <c r="X36" s="96"/>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36" fitToHeight="7" orientation="landscape"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zoomScaleNormal="100" workbookViewId="0">
      <selection activeCell="P15" sqref="P15"/>
    </sheetView>
  </sheetViews>
  <sheetFormatPr defaultColWidth="16.3984375" defaultRowHeight="13.2" x14ac:dyDescent="0.25"/>
  <cols>
    <col min="1" max="1" width="59.3984375" style="44" customWidth="1"/>
    <col min="2" max="2" width="34.3984375" style="44" customWidth="1"/>
    <col min="3" max="5" width="26.3984375" style="44" customWidth="1"/>
    <col min="6" max="6" width="23.3984375" style="44" customWidth="1"/>
    <col min="7" max="16384" width="16.3984375" style="44"/>
  </cols>
  <sheetData>
    <row r="1" spans="1:9" s="852" customFormat="1" ht="17.399999999999999" x14ac:dyDescent="0.3">
      <c r="A1" s="862" t="s">
        <v>866</v>
      </c>
      <c r="B1" s="863"/>
    </row>
    <row r="3" spans="1:9" s="7" customFormat="1" ht="10.199999999999999" x14ac:dyDescent="0.2">
      <c r="A3" s="1248" t="s">
        <v>102</v>
      </c>
      <c r="B3" s="1248"/>
      <c r="C3" s="1248"/>
      <c r="D3" s="1248"/>
      <c r="E3" s="1248"/>
      <c r="F3" s="1248"/>
      <c r="G3" s="1248"/>
      <c r="H3" s="1248"/>
      <c r="I3" s="1248"/>
    </row>
    <row r="4" spans="1:9" s="8" customFormat="1" ht="10.199999999999999" x14ac:dyDescent="0.2"/>
    <row r="5" spans="1:9" s="9" customFormat="1" ht="7.8" x14ac:dyDescent="0.15">
      <c r="A5" s="1256" t="s">
        <v>76</v>
      </c>
      <c r="B5" s="1256"/>
      <c r="C5" s="847" t="s">
        <v>25</v>
      </c>
      <c r="D5" s="1256" t="s">
        <v>103</v>
      </c>
      <c r="E5" s="1256"/>
      <c r="F5" s="1256"/>
      <c r="G5" s="1256"/>
      <c r="H5" s="1256"/>
      <c r="I5" s="1256"/>
    </row>
    <row r="6" spans="1:9" s="8" customFormat="1" ht="15" customHeight="1" x14ac:dyDescent="0.2">
      <c r="A6" s="1267" t="s">
        <v>104</v>
      </c>
      <c r="B6" s="1267"/>
      <c r="C6" s="113">
        <f>SUM(C7:C9)</f>
        <v>57645.59</v>
      </c>
      <c r="D6" s="1262"/>
      <c r="E6" s="1263"/>
      <c r="F6" s="1263"/>
      <c r="G6" s="1263"/>
      <c r="H6" s="1263"/>
      <c r="I6" s="1263"/>
    </row>
    <row r="7" spans="1:9" s="8" customFormat="1" ht="29.25" customHeight="1" x14ac:dyDescent="0.2">
      <c r="A7" s="1257" t="s">
        <v>77</v>
      </c>
      <c r="B7" s="1258"/>
      <c r="C7" s="114">
        <v>57645.59</v>
      </c>
      <c r="D7" s="1261" t="s">
        <v>867</v>
      </c>
      <c r="E7" s="1261"/>
      <c r="F7" s="1261"/>
      <c r="G7" s="1261"/>
      <c r="H7" s="1261"/>
      <c r="I7" s="1261"/>
    </row>
    <row r="8" spans="1:9" s="7" customFormat="1" ht="29.25" customHeight="1" x14ac:dyDescent="0.2">
      <c r="A8" s="1259" t="s">
        <v>78</v>
      </c>
      <c r="B8" s="1260"/>
      <c r="C8" s="115">
        <v>0</v>
      </c>
      <c r="D8" s="1261" t="s">
        <v>868</v>
      </c>
      <c r="E8" s="1261"/>
      <c r="F8" s="1261"/>
      <c r="G8" s="1261"/>
      <c r="H8" s="1261"/>
      <c r="I8" s="1261"/>
    </row>
    <row r="9" spans="1:9" s="7" customFormat="1" ht="15" customHeight="1" x14ac:dyDescent="0.2">
      <c r="A9" s="1259" t="s">
        <v>79</v>
      </c>
      <c r="B9" s="1260"/>
      <c r="C9" s="115">
        <v>0</v>
      </c>
      <c r="D9" s="1264"/>
      <c r="E9" s="1265"/>
      <c r="F9" s="1265"/>
      <c r="G9" s="1265"/>
      <c r="H9" s="1265"/>
      <c r="I9" s="1266"/>
    </row>
    <row r="10" spans="1:9" s="8" customFormat="1" ht="10.199999999999999" x14ac:dyDescent="0.2">
      <c r="C10" s="116"/>
    </row>
    <row r="11" spans="1:9" s="8" customFormat="1" ht="10.199999999999999" x14ac:dyDescent="0.2">
      <c r="A11" s="1248" t="s">
        <v>107</v>
      </c>
      <c r="B11" s="1248"/>
      <c r="C11" s="1248"/>
      <c r="D11" s="1248"/>
      <c r="E11" s="1248"/>
      <c r="F11" s="1248"/>
      <c r="G11" s="1248"/>
      <c r="H11" s="1248"/>
      <c r="I11" s="1248"/>
    </row>
    <row r="12" spans="1:9" s="8" customFormat="1" ht="10.199999999999999" x14ac:dyDescent="0.2">
      <c r="C12" s="116"/>
      <c r="D12" s="117"/>
      <c r="E12" s="117"/>
      <c r="F12" s="117"/>
      <c r="G12" s="117"/>
      <c r="H12" s="117"/>
      <c r="I12" s="117"/>
    </row>
    <row r="13" spans="1:9" s="11" customFormat="1" ht="7.8" x14ac:dyDescent="0.15">
      <c r="A13" s="847" t="s">
        <v>76</v>
      </c>
      <c r="B13" s="847" t="s">
        <v>80</v>
      </c>
      <c r="C13" s="847" t="s">
        <v>25</v>
      </c>
      <c r="D13" s="118"/>
      <c r="E13" s="119"/>
      <c r="F13" s="119"/>
      <c r="G13" s="119"/>
      <c r="H13" s="119"/>
      <c r="I13" s="119"/>
    </row>
    <row r="14" spans="1:9" s="8" customFormat="1" ht="15" customHeight="1" x14ac:dyDescent="0.2">
      <c r="A14" s="12" t="s">
        <v>81</v>
      </c>
      <c r="B14" s="13"/>
      <c r="C14" s="120">
        <v>0</v>
      </c>
      <c r="D14" s="121"/>
      <c r="E14" s="122"/>
      <c r="F14" s="122"/>
      <c r="G14" s="122"/>
      <c r="H14" s="122"/>
      <c r="I14" s="122"/>
    </row>
    <row r="15" spans="1:9" s="8" customFormat="1" ht="15" customHeight="1" x14ac:dyDescent="0.2">
      <c r="A15" s="1249" t="s">
        <v>82</v>
      </c>
      <c r="B15" s="123" t="s">
        <v>98</v>
      </c>
      <c r="C15" s="124">
        <v>0</v>
      </c>
      <c r="I15" s="122"/>
    </row>
    <row r="16" spans="1:9" s="8" customFormat="1" ht="15" customHeight="1" x14ac:dyDescent="0.2">
      <c r="A16" s="1250"/>
      <c r="B16" s="14" t="s">
        <v>83</v>
      </c>
      <c r="C16" s="125">
        <v>57645.59</v>
      </c>
      <c r="D16" s="121" t="s">
        <v>869</v>
      </c>
      <c r="E16" s="122"/>
      <c r="F16" s="122"/>
      <c r="G16" s="122"/>
      <c r="H16" s="122"/>
      <c r="I16" s="127"/>
    </row>
    <row r="17" spans="1:9" s="8" customFormat="1" ht="15" customHeight="1" x14ac:dyDescent="0.2">
      <c r="A17" s="1251"/>
      <c r="B17" s="15" t="s">
        <v>84</v>
      </c>
      <c r="C17" s="128">
        <v>0</v>
      </c>
      <c r="D17" s="129"/>
      <c r="E17" s="130"/>
      <c r="F17" s="130"/>
      <c r="G17" s="130"/>
      <c r="H17" s="130"/>
      <c r="I17" s="130"/>
    </row>
    <row r="18" spans="1:9" s="8" customFormat="1" ht="15" customHeight="1" x14ac:dyDescent="0.2">
      <c r="A18" s="850" t="s">
        <v>104</v>
      </c>
      <c r="B18" s="16"/>
      <c r="C18" s="131">
        <f>SUM(C14:C17)</f>
        <v>57645.59</v>
      </c>
      <c r="D18" s="132"/>
      <c r="E18" s="132"/>
      <c r="F18" s="132"/>
      <c r="G18" s="132"/>
      <c r="H18" s="132"/>
      <c r="I18" s="132"/>
    </row>
    <row r="19" spans="1:9" s="134" customFormat="1" ht="10.199999999999999" x14ac:dyDescent="0.2">
      <c r="A19" s="133"/>
      <c r="C19" s="135"/>
      <c r="D19" s="136"/>
      <c r="E19" s="136"/>
      <c r="F19" s="136"/>
      <c r="G19" s="136"/>
      <c r="H19" s="136"/>
      <c r="I19" s="136"/>
    </row>
    <row r="20" spans="1:9" s="8" customFormat="1" ht="10.199999999999999" x14ac:dyDescent="0.2">
      <c r="A20" s="1248" t="s">
        <v>108</v>
      </c>
      <c r="B20" s="1248"/>
      <c r="C20" s="1248"/>
      <c r="D20" s="1248"/>
      <c r="E20" s="1248"/>
      <c r="F20" s="1248"/>
      <c r="G20" s="1248"/>
      <c r="H20" s="1248"/>
      <c r="I20" s="1248"/>
    </row>
    <row r="21" spans="1:9" s="8" customFormat="1" ht="10.199999999999999" x14ac:dyDescent="0.2">
      <c r="C21" s="116"/>
    </row>
    <row r="22" spans="1:9" s="138" customFormat="1" ht="7.8" x14ac:dyDescent="0.15">
      <c r="A22" s="847" t="s">
        <v>80</v>
      </c>
      <c r="B22" s="847" t="s">
        <v>109</v>
      </c>
      <c r="C22" s="851" t="s">
        <v>110</v>
      </c>
      <c r="D22" s="847" t="s">
        <v>111</v>
      </c>
      <c r="E22" s="847" t="s">
        <v>112</v>
      </c>
      <c r="F22" s="1256" t="s">
        <v>113</v>
      </c>
      <c r="G22" s="1256"/>
      <c r="H22" s="1256"/>
      <c r="I22" s="1256"/>
    </row>
    <row r="23" spans="1:9" s="8" customFormat="1" ht="41.1" customHeight="1" x14ac:dyDescent="0.2">
      <c r="A23" s="17" t="s">
        <v>85</v>
      </c>
      <c r="B23" s="139">
        <v>302015.71999999997</v>
      </c>
      <c r="C23" s="139">
        <v>596241.63</v>
      </c>
      <c r="D23" s="139">
        <v>190257.22</v>
      </c>
      <c r="E23" s="139">
        <f>B23+C23-D23</f>
        <v>708000.13</v>
      </c>
      <c r="F23" s="1253" t="s">
        <v>870</v>
      </c>
      <c r="G23" s="1254"/>
      <c r="H23" s="1254"/>
      <c r="I23" s="1255"/>
    </row>
    <row r="24" spans="1:9" s="8" customFormat="1" ht="41.1" customHeight="1" x14ac:dyDescent="0.2">
      <c r="A24" s="14" t="s">
        <v>86</v>
      </c>
      <c r="B24" s="140">
        <v>16975</v>
      </c>
      <c r="C24" s="140">
        <v>130728</v>
      </c>
      <c r="D24" s="140">
        <v>123264</v>
      </c>
      <c r="E24" s="140">
        <f t="shared" ref="E24:E26" si="0">B24+C24-D24</f>
        <v>24439</v>
      </c>
      <c r="F24" s="1242" t="s">
        <v>871</v>
      </c>
      <c r="G24" s="1243"/>
      <c r="H24" s="1243"/>
      <c r="I24" s="1244"/>
    </row>
    <row r="25" spans="1:9" s="8" customFormat="1" ht="41.1" customHeight="1" x14ac:dyDescent="0.2">
      <c r="A25" s="14" t="s">
        <v>84</v>
      </c>
      <c r="B25" s="140">
        <v>53000</v>
      </c>
      <c r="C25" s="140">
        <v>0</v>
      </c>
      <c r="D25" s="140">
        <v>0</v>
      </c>
      <c r="E25" s="140">
        <f t="shared" si="0"/>
        <v>53000</v>
      </c>
      <c r="F25" s="1242" t="s">
        <v>872</v>
      </c>
      <c r="G25" s="1243"/>
      <c r="H25" s="1243"/>
      <c r="I25" s="1244"/>
    </row>
    <row r="26" spans="1:9" s="8" customFormat="1" ht="41.1" customHeight="1" x14ac:dyDescent="0.2">
      <c r="A26" s="15" t="s">
        <v>87</v>
      </c>
      <c r="B26" s="141">
        <v>62280.02</v>
      </c>
      <c r="C26" s="141">
        <v>116375</v>
      </c>
      <c r="D26" s="141">
        <v>91084</v>
      </c>
      <c r="E26" s="140">
        <f t="shared" si="0"/>
        <v>87571.01999999999</v>
      </c>
      <c r="F26" s="1245" t="s">
        <v>873</v>
      </c>
      <c r="G26" s="1246"/>
      <c r="H26" s="1246"/>
      <c r="I26" s="1247"/>
    </row>
    <row r="27" spans="1:9" s="7" customFormat="1" ht="10.199999999999999" x14ac:dyDescent="0.2">
      <c r="A27" s="10" t="s">
        <v>34</v>
      </c>
      <c r="B27" s="113">
        <f>SUM(B23:B26)</f>
        <v>434270.74</v>
      </c>
      <c r="C27" s="113">
        <f t="shared" ref="C27:E27" si="1">SUM(C23:C26)</f>
        <v>843344.63</v>
      </c>
      <c r="D27" s="113">
        <f t="shared" si="1"/>
        <v>404605.22</v>
      </c>
      <c r="E27" s="113">
        <f t="shared" si="1"/>
        <v>873010.15</v>
      </c>
      <c r="F27" s="1268"/>
      <c r="G27" s="1268"/>
      <c r="H27" s="1268"/>
      <c r="I27" s="1269"/>
    </row>
    <row r="28" spans="1:9" s="8" customFormat="1" ht="10.199999999999999" x14ac:dyDescent="0.2">
      <c r="C28" s="116"/>
    </row>
    <row r="29" spans="1:9" s="8" customFormat="1" ht="10.199999999999999" x14ac:dyDescent="0.2">
      <c r="A29" s="1248" t="s">
        <v>118</v>
      </c>
      <c r="B29" s="1248"/>
      <c r="C29" s="1248"/>
      <c r="D29" s="1248"/>
      <c r="E29" s="1248"/>
      <c r="F29" s="1248"/>
      <c r="G29" s="1248"/>
      <c r="H29" s="1248"/>
      <c r="I29" s="1248"/>
    </row>
    <row r="30" spans="1:9" s="8" customFormat="1" ht="10.199999999999999" x14ac:dyDescent="0.2">
      <c r="A30" s="864" t="s">
        <v>874</v>
      </c>
      <c r="C30" s="116"/>
    </row>
    <row r="31" spans="1:9" s="8" customFormat="1" ht="10.199999999999999" x14ac:dyDescent="0.2">
      <c r="A31" s="847"/>
      <c r="B31" s="847"/>
      <c r="C31" s="851"/>
      <c r="D31" s="1256"/>
      <c r="E31" s="1256"/>
      <c r="F31" s="1256"/>
      <c r="G31" s="1256"/>
      <c r="H31" s="1256"/>
      <c r="I31" s="1256"/>
    </row>
    <row r="32" spans="1:9" s="8" customFormat="1" ht="10.199999999999999" x14ac:dyDescent="0.2">
      <c r="C32" s="116"/>
    </row>
    <row r="33" spans="1:9" s="8" customFormat="1" ht="10.199999999999999" x14ac:dyDescent="0.2">
      <c r="A33" s="1248" t="s">
        <v>119</v>
      </c>
      <c r="B33" s="1248"/>
      <c r="C33" s="1248"/>
      <c r="D33" s="1248"/>
      <c r="E33" s="1248"/>
      <c r="F33" s="1248"/>
      <c r="G33" s="1248"/>
      <c r="H33" s="1248"/>
      <c r="I33" s="1248"/>
    </row>
    <row r="34" spans="1:9" s="8" customFormat="1" ht="10.199999999999999" x14ac:dyDescent="0.2">
      <c r="A34" s="864" t="s">
        <v>875</v>
      </c>
      <c r="C34" s="116"/>
    </row>
    <row r="35" spans="1:9" s="8" customFormat="1" ht="10.199999999999999" x14ac:dyDescent="0.2">
      <c r="A35" s="847"/>
      <c r="B35" s="847"/>
      <c r="C35" s="851"/>
      <c r="D35" s="1279"/>
      <c r="E35" s="1279"/>
      <c r="F35" s="1279"/>
      <c r="G35" s="1279"/>
      <c r="H35" s="1279"/>
      <c r="I35" s="1280"/>
    </row>
    <row r="36" spans="1:9" s="8" customFormat="1" ht="10.199999999999999" x14ac:dyDescent="0.2">
      <c r="C36" s="116"/>
    </row>
    <row r="37" spans="1:9" s="8" customFormat="1" ht="10.199999999999999" x14ac:dyDescent="0.2">
      <c r="A37" s="1248" t="s">
        <v>120</v>
      </c>
      <c r="B37" s="1248"/>
      <c r="C37" s="1248"/>
      <c r="D37" s="1248"/>
      <c r="E37" s="1248"/>
      <c r="F37" s="1248"/>
      <c r="G37" s="1248"/>
      <c r="H37" s="1248"/>
      <c r="I37" s="1248"/>
    </row>
    <row r="38" spans="1:9" s="8" customFormat="1" ht="10.199999999999999" x14ac:dyDescent="0.2">
      <c r="C38" s="116"/>
    </row>
    <row r="39" spans="1:9" s="8" customFormat="1" ht="10.199999999999999" x14ac:dyDescent="0.2">
      <c r="A39" s="849" t="s">
        <v>25</v>
      </c>
      <c r="B39" s="848" t="s">
        <v>122</v>
      </c>
      <c r="C39" s="1285" t="s">
        <v>91</v>
      </c>
      <c r="D39" s="1285"/>
      <c r="E39" s="1285"/>
      <c r="F39" s="1285"/>
      <c r="G39" s="1285"/>
      <c r="H39" s="1285"/>
      <c r="I39" s="1286"/>
    </row>
    <row r="40" spans="1:9" s="8" customFormat="1" ht="10.199999999999999" x14ac:dyDescent="0.2">
      <c r="A40" s="865" t="s">
        <v>876</v>
      </c>
      <c r="B40" s="140">
        <v>0</v>
      </c>
      <c r="C40" s="1369" t="s">
        <v>877</v>
      </c>
      <c r="D40" s="1369"/>
      <c r="E40" s="1369"/>
      <c r="F40" s="1369"/>
      <c r="G40" s="1369"/>
      <c r="H40" s="1369"/>
      <c r="I40" s="1369"/>
    </row>
    <row r="41" spans="1:9" s="8" customFormat="1" ht="10.199999999999999" x14ac:dyDescent="0.2">
      <c r="A41" s="140"/>
      <c r="B41" s="140"/>
      <c r="C41" s="1287"/>
      <c r="D41" s="1287"/>
      <c r="E41" s="1287"/>
      <c r="F41" s="1287"/>
      <c r="G41" s="1287"/>
      <c r="H41" s="1287"/>
      <c r="I41" s="1287"/>
    </row>
    <row r="42" spans="1:9" s="8" customFormat="1" ht="10.199999999999999" x14ac:dyDescent="0.2">
      <c r="A42" s="141"/>
      <c r="B42" s="141"/>
      <c r="C42" s="1288"/>
      <c r="D42" s="1288"/>
      <c r="E42" s="1288"/>
      <c r="F42" s="1288"/>
      <c r="G42" s="1288"/>
      <c r="H42" s="1288"/>
      <c r="I42" s="1288"/>
    </row>
    <row r="43" spans="1:9" s="7" customFormat="1" ht="10.199999999999999" x14ac:dyDescent="0.2">
      <c r="A43" s="113">
        <v>25950</v>
      </c>
      <c r="B43" s="113">
        <f>B40+B41+B42</f>
        <v>0</v>
      </c>
      <c r="C43" s="1289" t="s">
        <v>34</v>
      </c>
      <c r="D43" s="1289"/>
      <c r="E43" s="1289"/>
      <c r="F43" s="1289"/>
      <c r="G43" s="1289"/>
      <c r="H43" s="1289"/>
      <c r="I43" s="1289"/>
    </row>
    <row r="44" spans="1:9" s="8" customFormat="1" ht="39.75" customHeight="1" x14ac:dyDescent="0.2">
      <c r="C44" s="116"/>
    </row>
    <row r="45" spans="1:9" s="866" customFormat="1" ht="15.6" x14ac:dyDescent="0.25">
      <c r="A45" s="1370" t="s">
        <v>878</v>
      </c>
      <c r="B45" s="1370"/>
      <c r="C45" s="1370"/>
      <c r="D45" s="1370"/>
      <c r="E45" s="1370"/>
      <c r="F45" s="1370"/>
      <c r="G45" s="1370"/>
    </row>
    <row r="46" spans="1:9" s="866" customFormat="1" ht="15" customHeight="1" x14ac:dyDescent="0.25">
      <c r="A46" s="867"/>
    </row>
    <row r="47" spans="1:9" s="866" customFormat="1" ht="35.25" customHeight="1" x14ac:dyDescent="0.25">
      <c r="A47" s="1371" t="s">
        <v>879</v>
      </c>
      <c r="B47" s="1372"/>
      <c r="C47" s="868" t="s">
        <v>621</v>
      </c>
      <c r="D47" s="868" t="s">
        <v>251</v>
      </c>
      <c r="E47" s="868" t="s">
        <v>252</v>
      </c>
      <c r="F47" s="868" t="s">
        <v>743</v>
      </c>
      <c r="G47" s="868" t="s">
        <v>623</v>
      </c>
    </row>
    <row r="48" spans="1:9" s="872" customFormat="1" ht="65.25" customHeight="1" x14ac:dyDescent="0.25">
      <c r="A48" s="1373" t="s">
        <v>880</v>
      </c>
      <c r="B48" s="1374"/>
      <c r="C48" s="869" t="s">
        <v>881</v>
      </c>
      <c r="D48" s="870" t="s">
        <v>882</v>
      </c>
      <c r="E48" s="870" t="s">
        <v>883</v>
      </c>
      <c r="F48" s="871" t="s">
        <v>884</v>
      </c>
      <c r="G48" s="871" t="s">
        <v>885</v>
      </c>
    </row>
    <row r="49" spans="1:7" s="872" customFormat="1" ht="77.25" customHeight="1" x14ac:dyDescent="0.25">
      <c r="A49" s="1375" t="s">
        <v>886</v>
      </c>
      <c r="B49" s="1376"/>
      <c r="C49" s="873" t="s">
        <v>887</v>
      </c>
      <c r="D49" s="874" t="s">
        <v>888</v>
      </c>
      <c r="E49" s="874" t="s">
        <v>889</v>
      </c>
      <c r="F49" s="875" t="s">
        <v>890</v>
      </c>
      <c r="G49" s="875" t="s">
        <v>891</v>
      </c>
    </row>
    <row r="50" spans="1:7" s="872" customFormat="1" ht="57.75" customHeight="1" x14ac:dyDescent="0.25">
      <c r="A50" s="1375" t="s">
        <v>892</v>
      </c>
      <c r="B50" s="1376"/>
      <c r="C50" s="876" t="s">
        <v>893</v>
      </c>
      <c r="D50" s="877" t="s">
        <v>894</v>
      </c>
      <c r="E50" s="877" t="s">
        <v>895</v>
      </c>
      <c r="F50" s="878" t="s">
        <v>896</v>
      </c>
      <c r="G50" s="878" t="s">
        <v>897</v>
      </c>
    </row>
    <row r="51" spans="1:7" s="872" customFormat="1" ht="30.75" customHeight="1" x14ac:dyDescent="0.25">
      <c r="A51" s="1377" t="s">
        <v>898</v>
      </c>
      <c r="B51" s="1378"/>
      <c r="C51" s="879">
        <v>502</v>
      </c>
      <c r="D51" s="880"/>
      <c r="E51" s="880">
        <v>-25000</v>
      </c>
      <c r="F51" s="881">
        <v>43761</v>
      </c>
      <c r="G51" s="881">
        <v>43761</v>
      </c>
    </row>
    <row r="52" spans="1:7" s="872" customFormat="1" ht="30" customHeight="1" x14ac:dyDescent="0.25">
      <c r="A52" s="1368" t="s">
        <v>899</v>
      </c>
      <c r="B52" s="1344"/>
      <c r="C52" s="879" t="s">
        <v>330</v>
      </c>
      <c r="D52" s="880"/>
      <c r="E52" s="880">
        <v>25000</v>
      </c>
      <c r="F52" s="881">
        <v>43761</v>
      </c>
      <c r="G52" s="881">
        <v>43761</v>
      </c>
    </row>
    <row r="53" spans="1:7" s="872" customFormat="1" ht="30" customHeight="1" x14ac:dyDescent="0.25">
      <c r="A53" s="1381" t="s">
        <v>900</v>
      </c>
      <c r="B53" s="1382"/>
      <c r="C53" s="879">
        <v>501</v>
      </c>
      <c r="D53" s="880"/>
      <c r="E53" s="880">
        <v>-8005</v>
      </c>
      <c r="F53" s="881">
        <v>43826</v>
      </c>
      <c r="G53" s="881">
        <v>43826</v>
      </c>
    </row>
    <row r="54" spans="1:7" s="872" customFormat="1" ht="25.5" customHeight="1" x14ac:dyDescent="0.25">
      <c r="A54" s="1368" t="s">
        <v>901</v>
      </c>
      <c r="B54" s="1344"/>
      <c r="C54" s="879" t="s">
        <v>300</v>
      </c>
      <c r="D54" s="882"/>
      <c r="E54" s="880">
        <v>8005</v>
      </c>
      <c r="F54" s="881">
        <v>43826</v>
      </c>
      <c r="G54" s="881">
        <v>43826</v>
      </c>
    </row>
    <row r="55" spans="1:7" s="872" customFormat="1" ht="30" customHeight="1" x14ac:dyDescent="0.25">
      <c r="A55" s="1377" t="s">
        <v>902</v>
      </c>
      <c r="B55" s="1378"/>
      <c r="C55" s="879">
        <v>518</v>
      </c>
      <c r="D55" s="880"/>
      <c r="E55" s="880">
        <v>-19327</v>
      </c>
      <c r="F55" s="881">
        <v>43826</v>
      </c>
      <c r="G55" s="881">
        <v>43826</v>
      </c>
    </row>
    <row r="56" spans="1:7" s="872" customFormat="1" ht="30" customHeight="1" x14ac:dyDescent="0.25">
      <c r="A56" s="1368" t="s">
        <v>903</v>
      </c>
      <c r="B56" s="1344"/>
      <c r="C56" s="879" t="s">
        <v>904</v>
      </c>
      <c r="D56" s="880"/>
      <c r="E56" s="880">
        <v>19327</v>
      </c>
      <c r="F56" s="881">
        <v>43826</v>
      </c>
      <c r="G56" s="881">
        <v>43826</v>
      </c>
    </row>
    <row r="57" spans="1:7" s="872" customFormat="1" ht="50.25" customHeight="1" x14ac:dyDescent="0.25">
      <c r="A57" s="1383" t="s">
        <v>905</v>
      </c>
      <c r="B57" s="1384"/>
      <c r="C57" s="876">
        <v>502</v>
      </c>
      <c r="D57" s="877"/>
      <c r="E57" s="877">
        <v>17216</v>
      </c>
      <c r="F57" s="878">
        <v>43829</v>
      </c>
      <c r="G57" s="878">
        <v>43829</v>
      </c>
    </row>
    <row r="58" spans="1:7" s="872" customFormat="1" ht="45" customHeight="1" x14ac:dyDescent="0.25">
      <c r="A58" s="1385" t="s">
        <v>906</v>
      </c>
      <c r="B58" s="1386"/>
      <c r="C58" s="876">
        <v>501</v>
      </c>
      <c r="D58" s="877"/>
      <c r="E58" s="877">
        <v>-6000</v>
      </c>
      <c r="F58" s="878">
        <v>43829</v>
      </c>
      <c r="G58" s="878">
        <v>43829</v>
      </c>
    </row>
    <row r="59" spans="1:7" s="872" customFormat="1" ht="30.75" customHeight="1" x14ac:dyDescent="0.25">
      <c r="A59" s="1368" t="s">
        <v>907</v>
      </c>
      <c r="B59" s="1344"/>
      <c r="C59" s="879">
        <v>511</v>
      </c>
      <c r="D59" s="880"/>
      <c r="E59" s="880">
        <v>-7800</v>
      </c>
      <c r="F59" s="881">
        <v>43829</v>
      </c>
      <c r="G59" s="881">
        <v>43829</v>
      </c>
    </row>
    <row r="60" spans="1:7" s="872" customFormat="1" ht="30.75" customHeight="1" x14ac:dyDescent="0.25">
      <c r="A60" s="1383" t="s">
        <v>908</v>
      </c>
      <c r="B60" s="1384"/>
      <c r="C60" s="876">
        <v>518</v>
      </c>
      <c r="D60" s="877"/>
      <c r="E60" s="877">
        <v>-2400</v>
      </c>
      <c r="F60" s="878">
        <v>43829</v>
      </c>
      <c r="G60" s="878">
        <v>43829</v>
      </c>
    </row>
    <row r="61" spans="1:7" s="872" customFormat="1" ht="28.5" customHeight="1" x14ac:dyDescent="0.25">
      <c r="A61" s="1368" t="s">
        <v>909</v>
      </c>
      <c r="B61" s="1344"/>
      <c r="C61" s="879">
        <v>549</v>
      </c>
      <c r="D61" s="880"/>
      <c r="E61" s="880">
        <v>-1016</v>
      </c>
      <c r="F61" s="881">
        <v>43829</v>
      </c>
      <c r="G61" s="881">
        <v>43829</v>
      </c>
    </row>
    <row r="62" spans="1:7" s="872" customFormat="1" ht="12" hidden="1" customHeight="1" x14ac:dyDescent="0.25">
      <c r="A62" s="1368"/>
      <c r="B62" s="1344"/>
      <c r="C62" s="879"/>
      <c r="D62" s="880"/>
      <c r="E62" s="880"/>
      <c r="F62" s="881"/>
      <c r="G62" s="881"/>
    </row>
    <row r="63" spans="1:7" s="872" customFormat="1" ht="24" hidden="1" customHeight="1" x14ac:dyDescent="0.25">
      <c r="A63" s="1381"/>
      <c r="B63" s="1382"/>
      <c r="C63" s="879"/>
      <c r="D63" s="880"/>
      <c r="E63" s="880"/>
      <c r="F63" s="881"/>
      <c r="G63" s="881"/>
    </row>
    <row r="64" spans="1:7" s="872" customFormat="1" ht="14.25" hidden="1" customHeight="1" x14ac:dyDescent="0.25">
      <c r="A64" s="1379"/>
      <c r="B64" s="1380"/>
      <c r="C64" s="883"/>
      <c r="D64" s="884"/>
      <c r="E64" s="884"/>
      <c r="F64" s="885"/>
      <c r="G64" s="885"/>
    </row>
    <row r="65" spans="1:9" s="872" customFormat="1" ht="21" hidden="1" customHeight="1" x14ac:dyDescent="0.25">
      <c r="A65" s="1379"/>
      <c r="B65" s="1380"/>
      <c r="C65" s="883"/>
      <c r="D65" s="884"/>
      <c r="E65" s="884"/>
      <c r="F65" s="885"/>
      <c r="G65" s="885"/>
    </row>
    <row r="66" spans="1:9" s="872" customFormat="1" ht="21.75" hidden="1" customHeight="1" x14ac:dyDescent="0.25">
      <c r="A66" s="1385"/>
      <c r="B66" s="1386"/>
      <c r="C66" s="876"/>
      <c r="D66" s="877"/>
      <c r="E66" s="877"/>
      <c r="F66" s="878"/>
      <c r="G66" s="878"/>
    </row>
    <row r="67" spans="1:9" s="872" customFormat="1" ht="18.75" hidden="1" customHeight="1" x14ac:dyDescent="0.25">
      <c r="A67" s="1385"/>
      <c r="B67" s="1386"/>
      <c r="C67" s="876"/>
      <c r="D67" s="877"/>
      <c r="E67" s="877"/>
      <c r="F67" s="878"/>
      <c r="G67" s="878"/>
    </row>
    <row r="68" spans="1:9" s="872" customFormat="1" ht="10.5" customHeight="1" x14ac:dyDescent="0.25">
      <c r="A68" s="1387"/>
      <c r="B68" s="1388"/>
      <c r="C68" s="886"/>
      <c r="D68" s="887"/>
      <c r="E68" s="887"/>
      <c r="F68" s="888"/>
      <c r="G68" s="888"/>
    </row>
    <row r="69" spans="1:9" s="872" customFormat="1" ht="12" customHeight="1" x14ac:dyDescent="0.25">
      <c r="A69" s="1389" t="s">
        <v>570</v>
      </c>
      <c r="B69" s="1390"/>
      <c r="C69" s="889"/>
      <c r="D69" s="890">
        <v>678499</v>
      </c>
      <c r="E69" s="890">
        <v>678499</v>
      </c>
      <c r="F69" s="1391"/>
      <c r="G69" s="1392"/>
    </row>
    <row r="70" spans="1:9" s="872" customFormat="1" ht="10.5" customHeight="1" x14ac:dyDescent="0.25">
      <c r="A70" s="1393"/>
      <c r="B70" s="1394"/>
      <c r="C70" s="1394"/>
      <c r="D70" s="1394"/>
      <c r="E70" s="1394"/>
      <c r="F70" s="1394"/>
      <c r="G70" s="1395"/>
    </row>
    <row r="71" spans="1:9" s="8" customFormat="1" ht="30.75" customHeight="1" x14ac:dyDescent="0.2">
      <c r="A71" s="147"/>
      <c r="B71" s="148"/>
      <c r="C71" s="149"/>
      <c r="D71" s="149"/>
      <c r="E71" s="150"/>
    </row>
    <row r="72" spans="1:9" s="8" customFormat="1" ht="10.199999999999999" x14ac:dyDescent="0.2">
      <c r="A72" s="1300" t="s">
        <v>154</v>
      </c>
      <c r="B72" s="1300"/>
      <c r="C72" s="1300"/>
      <c r="D72" s="1300"/>
      <c r="E72" s="1300"/>
      <c r="F72" s="1300"/>
      <c r="G72" s="1300"/>
      <c r="H72" s="1300"/>
      <c r="I72" s="1300"/>
    </row>
    <row r="73" spans="1:9" s="8" customFormat="1" ht="48" customHeight="1" x14ac:dyDescent="0.2">
      <c r="A73" s="1396" t="s">
        <v>910</v>
      </c>
      <c r="B73" s="1298"/>
      <c r="C73" s="1298"/>
      <c r="D73" s="1298"/>
      <c r="E73" s="1298"/>
      <c r="F73" s="1298"/>
      <c r="G73" s="1298"/>
      <c r="H73" s="1298"/>
      <c r="I73" s="1299"/>
    </row>
    <row r="74" spans="1:9" s="8" customFormat="1" ht="33.75" customHeight="1" x14ac:dyDescent="0.2"/>
    <row r="75" spans="1:9" s="8" customFormat="1" ht="10.5" hidden="1" customHeight="1" x14ac:dyDescent="0.2">
      <c r="A75" s="1297"/>
      <c r="B75" s="1298"/>
      <c r="C75" s="1298"/>
      <c r="D75" s="1298"/>
      <c r="E75" s="1298"/>
      <c r="F75" s="1298"/>
      <c r="G75" s="1298"/>
      <c r="H75" s="1298"/>
      <c r="I75" s="1299"/>
    </row>
    <row r="76" spans="1:9" s="7" customFormat="1" ht="10.199999999999999" x14ac:dyDescent="0.2">
      <c r="A76" s="1248" t="s">
        <v>156</v>
      </c>
      <c r="B76" s="1248"/>
      <c r="C76" s="1248"/>
      <c r="D76" s="1248"/>
      <c r="E76" s="1248"/>
      <c r="F76" s="1248"/>
      <c r="G76" s="1248"/>
      <c r="H76" s="1248"/>
      <c r="I76" s="1248"/>
    </row>
    <row r="77" spans="1:9" s="8" customFormat="1" ht="10.199999999999999" hidden="1" x14ac:dyDescent="0.2"/>
    <row r="78" spans="1:9" s="8" customFormat="1" ht="156" customHeight="1" x14ac:dyDescent="0.2">
      <c r="A78" s="1297" t="s">
        <v>911</v>
      </c>
      <c r="B78" s="1298"/>
      <c r="C78" s="1298"/>
      <c r="D78" s="1298"/>
      <c r="E78" s="1298"/>
      <c r="F78" s="1298"/>
      <c r="G78" s="1298"/>
      <c r="H78" s="1298"/>
      <c r="I78" s="1299"/>
    </row>
    <row r="80" spans="1:9" x14ac:dyDescent="0.25">
      <c r="A80" s="8" t="s">
        <v>912</v>
      </c>
      <c r="E80" s="44" t="s">
        <v>913</v>
      </c>
    </row>
    <row r="81" spans="1:1" x14ac:dyDescent="0.25">
      <c r="A81" s="26"/>
    </row>
    <row r="82" spans="1:1" x14ac:dyDescent="0.25">
      <c r="A82" s="26"/>
    </row>
  </sheetData>
  <mergeCells count="61">
    <mergeCell ref="A78:I78"/>
    <mergeCell ref="A65:B65"/>
    <mergeCell ref="A66:B66"/>
    <mergeCell ref="A67:B67"/>
    <mergeCell ref="A68:B68"/>
    <mergeCell ref="A69:B69"/>
    <mergeCell ref="F69:G69"/>
    <mergeCell ref="A70:G70"/>
    <mergeCell ref="A72:I72"/>
    <mergeCell ref="A73:I73"/>
    <mergeCell ref="A75:I75"/>
    <mergeCell ref="A76:I76"/>
    <mergeCell ref="A64:B64"/>
    <mergeCell ref="A53:B53"/>
    <mergeCell ref="A54:B54"/>
    <mergeCell ref="A55:B55"/>
    <mergeCell ref="A56:B56"/>
    <mergeCell ref="A57:B57"/>
    <mergeCell ref="A58:B58"/>
    <mergeCell ref="A59:B59"/>
    <mergeCell ref="A60:B60"/>
    <mergeCell ref="A61:B61"/>
    <mergeCell ref="A62:B62"/>
    <mergeCell ref="A63:B63"/>
    <mergeCell ref="A52:B52"/>
    <mergeCell ref="C39:I39"/>
    <mergeCell ref="C40:I40"/>
    <mergeCell ref="C41:I41"/>
    <mergeCell ref="C42:I42"/>
    <mergeCell ref="C43:I43"/>
    <mergeCell ref="A45:G45"/>
    <mergeCell ref="A47:B47"/>
    <mergeCell ref="A48:B48"/>
    <mergeCell ref="A49:B49"/>
    <mergeCell ref="A50:B50"/>
    <mergeCell ref="A51:B51"/>
    <mergeCell ref="A37:I37"/>
    <mergeCell ref="A20:I20"/>
    <mergeCell ref="F22:I22"/>
    <mergeCell ref="F23:I23"/>
    <mergeCell ref="F24:I24"/>
    <mergeCell ref="F25:I25"/>
    <mergeCell ref="F26:I26"/>
    <mergeCell ref="F27:I27"/>
    <mergeCell ref="A29:I29"/>
    <mergeCell ref="D31:I31"/>
    <mergeCell ref="A33:I33"/>
    <mergeCell ref="D35:I35"/>
    <mergeCell ref="A15:A17"/>
    <mergeCell ref="A3:I3"/>
    <mergeCell ref="A5:B5"/>
    <mergeCell ref="D5:I5"/>
    <mergeCell ref="A6:B6"/>
    <mergeCell ref="D6:I6"/>
    <mergeCell ref="A7:B7"/>
    <mergeCell ref="D7:I7"/>
    <mergeCell ref="A8:B8"/>
    <mergeCell ref="D8:I8"/>
    <mergeCell ref="A9:B9"/>
    <mergeCell ref="D9:I9"/>
    <mergeCell ref="A11:I11"/>
  </mergeCells>
  <pageMargins left="0.70866141732283472" right="0.70866141732283472" top="0.78740157480314965" bottom="0.78740157480314965" header="0.31496062992125984" footer="0.31496062992125984"/>
  <pageSetup paperSize="9" firstPageNumber="137" orientation="landscape" useFirstPageNumber="1"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6"/>
  <sheetViews>
    <sheetView zoomScale="130" zoomScaleNormal="130" workbookViewId="0">
      <selection activeCell="J22" sqref="J22"/>
    </sheetView>
  </sheetViews>
  <sheetFormatPr defaultColWidth="6.3984375" defaultRowHeight="7.8" x14ac:dyDescent="0.15"/>
  <cols>
    <col min="1" max="1" width="5.3984375" style="1" customWidth="1"/>
    <col min="2" max="2" width="6.3984375" customWidth="1"/>
    <col min="3" max="3" width="36.796875" customWidth="1"/>
    <col min="4" max="4" width="9.3984375" customWidth="1"/>
    <col min="5" max="7" width="11" customWidth="1"/>
    <col min="8" max="8" width="8.796875" customWidth="1"/>
    <col min="9" max="12" width="11" customWidth="1"/>
    <col min="13" max="13" width="8.796875" customWidth="1"/>
    <col min="14" max="14" width="11" customWidth="1"/>
    <col min="15" max="15" width="11.796875" customWidth="1"/>
    <col min="16" max="17" width="11" customWidth="1"/>
    <col min="18" max="18" width="8.796875" customWidth="1"/>
    <col min="19" max="22" width="11" customWidth="1"/>
    <col min="23" max="23" width="8.796875" customWidth="1"/>
    <col min="24" max="24" width="11" customWidth="1"/>
  </cols>
  <sheetData>
    <row r="1" spans="1:24" s="2" customFormat="1" ht="15.6" x14ac:dyDescent="0.3">
      <c r="A1" s="1216" t="s">
        <v>233</v>
      </c>
      <c r="B1" s="1216"/>
      <c r="C1" s="1216"/>
      <c r="D1" s="1216"/>
      <c r="E1" s="1216"/>
      <c r="F1" s="1216"/>
      <c r="G1" s="1216"/>
      <c r="H1" s="1216"/>
      <c r="I1" s="1216"/>
      <c r="J1" s="1216"/>
      <c r="K1" s="1216"/>
      <c r="L1" s="1216"/>
      <c r="M1" s="1216"/>
      <c r="N1" s="1216"/>
      <c r="O1" s="1216"/>
      <c r="P1" s="1216"/>
      <c r="Q1" s="1216"/>
      <c r="R1" s="1216"/>
      <c r="S1" s="1216"/>
      <c r="T1" s="1216"/>
      <c r="U1" s="1216"/>
      <c r="V1" s="1216"/>
      <c r="W1" s="1216"/>
      <c r="X1" s="1216"/>
    </row>
    <row r="2" spans="1:24" ht="8.4" thickBot="1" x14ac:dyDescent="0.2"/>
    <row r="3" spans="1:24" s="34" customFormat="1" x14ac:dyDescent="0.15">
      <c r="A3" s="1217" t="s">
        <v>40</v>
      </c>
      <c r="B3" s="1219" t="s">
        <v>41</v>
      </c>
      <c r="C3" s="1220"/>
      <c r="D3" s="1222" t="s">
        <v>42</v>
      </c>
      <c r="E3" s="1224" t="s">
        <v>34</v>
      </c>
      <c r="F3" s="1225"/>
      <c r="G3" s="1225"/>
      <c r="H3" s="1225"/>
      <c r="I3" s="1226"/>
      <c r="J3" s="1224" t="s">
        <v>39</v>
      </c>
      <c r="K3" s="1225"/>
      <c r="L3" s="1225"/>
      <c r="M3" s="1225"/>
      <c r="N3" s="1226"/>
      <c r="O3" s="1224" t="s">
        <v>43</v>
      </c>
      <c r="P3" s="1225"/>
      <c r="Q3" s="1225"/>
      <c r="R3" s="1225"/>
      <c r="S3" s="1226"/>
      <c r="T3" s="1224" t="s">
        <v>38</v>
      </c>
      <c r="U3" s="1225"/>
      <c r="V3" s="1225"/>
      <c r="W3" s="1225"/>
      <c r="X3" s="1226"/>
    </row>
    <row r="4" spans="1:24" s="35" customFormat="1" x14ac:dyDescent="0.15">
      <c r="A4" s="1218"/>
      <c r="B4" s="1221"/>
      <c r="C4" s="1221"/>
      <c r="D4" s="1223"/>
      <c r="E4" s="1228" t="s">
        <v>44</v>
      </c>
      <c r="F4" s="1229" t="s">
        <v>100</v>
      </c>
      <c r="G4" s="1229"/>
      <c r="H4" s="1229"/>
      <c r="I4" s="1230" t="s">
        <v>101</v>
      </c>
      <c r="J4" s="1228" t="s">
        <v>44</v>
      </c>
      <c r="K4" s="1229" t="s">
        <v>100</v>
      </c>
      <c r="L4" s="1229"/>
      <c r="M4" s="1229"/>
      <c r="N4" s="1230" t="s">
        <v>101</v>
      </c>
      <c r="O4" s="1228" t="s">
        <v>44</v>
      </c>
      <c r="P4" s="1229" t="s">
        <v>100</v>
      </c>
      <c r="Q4" s="1229"/>
      <c r="R4" s="1229"/>
      <c r="S4" s="1230" t="s">
        <v>101</v>
      </c>
      <c r="T4" s="1228" t="s">
        <v>44</v>
      </c>
      <c r="U4" s="1229" t="s">
        <v>100</v>
      </c>
      <c r="V4" s="1229"/>
      <c r="W4" s="1229"/>
      <c r="X4" s="1230" t="s">
        <v>101</v>
      </c>
    </row>
    <row r="5" spans="1:24" s="36" customFormat="1" x14ac:dyDescent="0.15">
      <c r="A5" s="1218"/>
      <c r="B5" s="1221"/>
      <c r="C5" s="1221"/>
      <c r="D5" s="1223"/>
      <c r="E5" s="1228"/>
      <c r="F5" s="3" t="s">
        <v>35</v>
      </c>
      <c r="G5" s="3" t="s">
        <v>36</v>
      </c>
      <c r="H5" s="3" t="s">
        <v>37</v>
      </c>
      <c r="I5" s="1230"/>
      <c r="J5" s="1228"/>
      <c r="K5" s="3" t="s">
        <v>35</v>
      </c>
      <c r="L5" s="3" t="s">
        <v>36</v>
      </c>
      <c r="M5" s="3" t="s">
        <v>37</v>
      </c>
      <c r="N5" s="1230"/>
      <c r="O5" s="1228"/>
      <c r="P5" s="3" t="s">
        <v>35</v>
      </c>
      <c r="Q5" s="3" t="s">
        <v>36</v>
      </c>
      <c r="R5" s="3" t="s">
        <v>37</v>
      </c>
      <c r="S5" s="1230"/>
      <c r="T5" s="1228"/>
      <c r="U5" s="3" t="s">
        <v>35</v>
      </c>
      <c r="V5" s="3" t="s">
        <v>36</v>
      </c>
      <c r="W5" s="3" t="s">
        <v>37</v>
      </c>
      <c r="X5" s="1230"/>
    </row>
    <row r="6" spans="1:24" s="34" customFormat="1" x14ac:dyDescent="0.15">
      <c r="A6" s="49" t="s">
        <v>0</v>
      </c>
      <c r="B6" s="1236" t="s">
        <v>1</v>
      </c>
      <c r="C6" s="1236"/>
      <c r="D6" s="50" t="s">
        <v>25</v>
      </c>
      <c r="E6" s="51">
        <f>SUM(E7:E9)</f>
        <v>25141562</v>
      </c>
      <c r="F6" s="52">
        <f>SUM(F7:F9)</f>
        <v>28040979</v>
      </c>
      <c r="G6" s="52">
        <f>SUM(G7:G9)</f>
        <v>28184083</v>
      </c>
      <c r="H6" s="4">
        <f t="shared" ref="H6:H36" si="0">G6/F6*100</f>
        <v>100.51033881520328</v>
      </c>
      <c r="I6" s="53">
        <f>SUM(I7:I9)</f>
        <v>23560041</v>
      </c>
      <c r="J6" s="51">
        <f>SUM(J7:J9)</f>
        <v>5455442</v>
      </c>
      <c r="K6" s="52">
        <f t="shared" ref="K6:X6" si="1">SUM(K7:K9)</f>
        <v>5961323</v>
      </c>
      <c r="L6" s="52">
        <f t="shared" si="1"/>
        <v>6105483</v>
      </c>
      <c r="M6" s="4">
        <f t="shared" ref="M6:M29" si="2">L6/K6*100</f>
        <v>102.41825514235683</v>
      </c>
      <c r="N6" s="53">
        <f t="shared" si="1"/>
        <v>6251862</v>
      </c>
      <c r="O6" s="51">
        <f t="shared" si="1"/>
        <v>19686120</v>
      </c>
      <c r="P6" s="52">
        <f t="shared" si="1"/>
        <v>22079656</v>
      </c>
      <c r="Q6" s="52">
        <f t="shared" si="1"/>
        <v>22078600</v>
      </c>
      <c r="R6" s="4">
        <f t="shared" ref="R6:R36" si="3">Q6/P6*100</f>
        <v>99.995217316791525</v>
      </c>
      <c r="S6" s="53">
        <f t="shared" si="1"/>
        <v>17308179</v>
      </c>
      <c r="T6" s="51">
        <f t="shared" si="1"/>
        <v>0</v>
      </c>
      <c r="U6" s="52">
        <f t="shared" si="1"/>
        <v>0</v>
      </c>
      <c r="V6" s="52">
        <f t="shared" si="1"/>
        <v>5000</v>
      </c>
      <c r="W6" s="4">
        <v>0</v>
      </c>
      <c r="X6" s="53">
        <f t="shared" si="1"/>
        <v>0</v>
      </c>
    </row>
    <row r="7" spans="1:24" s="34" customFormat="1" x14ac:dyDescent="0.15">
      <c r="A7" s="55" t="s">
        <v>2</v>
      </c>
      <c r="B7" s="1233" t="s">
        <v>46</v>
      </c>
      <c r="C7" s="1233"/>
      <c r="D7" s="50" t="s">
        <v>25</v>
      </c>
      <c r="E7" s="56">
        <v>1880000</v>
      </c>
      <c r="F7" s="57">
        <f t="shared" ref="E7:G10" si="4">SUM(K7,P7)</f>
        <v>1905881</v>
      </c>
      <c r="G7" s="57">
        <f t="shared" si="4"/>
        <v>2050041</v>
      </c>
      <c r="H7" s="58">
        <f t="shared" si="0"/>
        <v>107.56395598675887</v>
      </c>
      <c r="I7" s="59">
        <v>2146420</v>
      </c>
      <c r="J7" s="60">
        <v>1880000</v>
      </c>
      <c r="K7" s="61">
        <v>1905881</v>
      </c>
      <c r="L7" s="61">
        <v>2050041</v>
      </c>
      <c r="M7" s="58">
        <f t="shared" si="2"/>
        <v>107.56395598675887</v>
      </c>
      <c r="N7" s="244">
        <v>2146420</v>
      </c>
      <c r="O7" s="245">
        <v>0</v>
      </c>
      <c r="P7" s="61">
        <v>0</v>
      </c>
      <c r="Q7" s="61">
        <v>0</v>
      </c>
      <c r="R7" s="58">
        <v>0</v>
      </c>
      <c r="S7" s="244">
        <v>0</v>
      </c>
      <c r="T7" s="245"/>
      <c r="U7" s="61"/>
      <c r="V7" s="61">
        <v>5000</v>
      </c>
      <c r="W7" s="58">
        <v>0</v>
      </c>
      <c r="X7" s="244"/>
    </row>
    <row r="8" spans="1:24" s="34" customFormat="1" x14ac:dyDescent="0.15">
      <c r="A8" s="63" t="s">
        <v>3</v>
      </c>
      <c r="B8" s="1237" t="s">
        <v>47</v>
      </c>
      <c r="C8" s="1237"/>
      <c r="D8" s="50" t="s">
        <v>25</v>
      </c>
      <c r="E8" s="56">
        <f t="shared" si="4"/>
        <v>0</v>
      </c>
      <c r="F8" s="57">
        <f t="shared" si="4"/>
        <v>0</v>
      </c>
      <c r="G8" s="57">
        <f t="shared" si="4"/>
        <v>0</v>
      </c>
      <c r="H8" s="58">
        <v>0</v>
      </c>
      <c r="I8" s="59">
        <f>SUM(N8,S8)</f>
        <v>0</v>
      </c>
      <c r="J8" s="64">
        <v>0</v>
      </c>
      <c r="K8" s="57"/>
      <c r="L8" s="57"/>
      <c r="M8" s="58">
        <v>0</v>
      </c>
      <c r="N8" s="59">
        <v>0</v>
      </c>
      <c r="O8" s="56">
        <v>0</v>
      </c>
      <c r="P8" s="57">
        <v>0</v>
      </c>
      <c r="Q8" s="57">
        <v>0</v>
      </c>
      <c r="R8" s="58">
        <v>0</v>
      </c>
      <c r="S8" s="59">
        <v>0</v>
      </c>
      <c r="T8" s="56"/>
      <c r="U8" s="57"/>
      <c r="V8" s="57"/>
      <c r="W8" s="58">
        <v>0</v>
      </c>
      <c r="X8" s="59"/>
    </row>
    <row r="9" spans="1:24" s="34" customFormat="1" ht="8.4" x14ac:dyDescent="0.2">
      <c r="A9" s="63" t="s">
        <v>4</v>
      </c>
      <c r="B9" s="66" t="s">
        <v>62</v>
      </c>
      <c r="C9" s="67"/>
      <c r="D9" s="50" t="s">
        <v>25</v>
      </c>
      <c r="E9" s="56">
        <v>23261562</v>
      </c>
      <c r="F9" s="57">
        <f t="shared" si="4"/>
        <v>26135098</v>
      </c>
      <c r="G9" s="57">
        <f t="shared" si="4"/>
        <v>26134042</v>
      </c>
      <c r="H9" s="58">
        <f t="shared" si="0"/>
        <v>99.995959456513233</v>
      </c>
      <c r="I9" s="59">
        <v>21413621</v>
      </c>
      <c r="J9" s="64">
        <v>3575442</v>
      </c>
      <c r="K9" s="57">
        <v>4055442</v>
      </c>
      <c r="L9" s="57">
        <v>4055442</v>
      </c>
      <c r="M9" s="58">
        <f t="shared" si="2"/>
        <v>100</v>
      </c>
      <c r="N9" s="59">
        <v>4105442</v>
      </c>
      <c r="O9" s="56">
        <v>19686120</v>
      </c>
      <c r="P9" s="57">
        <v>22079656</v>
      </c>
      <c r="Q9" s="57">
        <v>22078600</v>
      </c>
      <c r="R9" s="58">
        <f t="shared" si="3"/>
        <v>99.995217316791525</v>
      </c>
      <c r="S9" s="59">
        <v>17308179</v>
      </c>
      <c r="T9" s="56"/>
      <c r="U9" s="57"/>
      <c r="V9" s="57"/>
      <c r="W9" s="58">
        <v>0</v>
      </c>
      <c r="X9" s="59"/>
    </row>
    <row r="10" spans="1:24" s="34" customFormat="1" x14ac:dyDescent="0.15">
      <c r="A10" s="49" t="s">
        <v>5</v>
      </c>
      <c r="B10" s="1236" t="s">
        <v>7</v>
      </c>
      <c r="C10" s="1236"/>
      <c r="D10" s="50" t="s">
        <v>25</v>
      </c>
      <c r="E10" s="68">
        <f t="shared" si="4"/>
        <v>0</v>
      </c>
      <c r="F10" s="69">
        <f t="shared" si="4"/>
        <v>0</v>
      </c>
      <c r="G10" s="69">
        <f t="shared" si="4"/>
        <v>0</v>
      </c>
      <c r="H10" s="4">
        <v>0</v>
      </c>
      <c r="I10" s="70">
        <f>SUM(N10,S10)</f>
        <v>0</v>
      </c>
      <c r="J10" s="71"/>
      <c r="K10" s="69"/>
      <c r="L10" s="69"/>
      <c r="M10" s="4">
        <v>0</v>
      </c>
      <c r="N10" s="70"/>
      <c r="O10" s="68"/>
      <c r="P10" s="69"/>
      <c r="Q10" s="69"/>
      <c r="R10" s="4">
        <v>0</v>
      </c>
      <c r="S10" s="70"/>
      <c r="T10" s="68"/>
      <c r="U10" s="69"/>
      <c r="V10" s="69"/>
      <c r="W10" s="4">
        <v>0</v>
      </c>
      <c r="X10" s="70"/>
    </row>
    <row r="11" spans="1:24" s="34" customFormat="1" x14ac:dyDescent="0.15">
      <c r="A11" s="49" t="s">
        <v>6</v>
      </c>
      <c r="B11" s="1236" t="s">
        <v>9</v>
      </c>
      <c r="C11" s="1236"/>
      <c r="D11" s="50" t="s">
        <v>25</v>
      </c>
      <c r="E11" s="51">
        <f>SUM(E12:E31)</f>
        <v>24865142</v>
      </c>
      <c r="F11" s="52">
        <f>SUM(F12:F31)</f>
        <v>28040979</v>
      </c>
      <c r="G11" s="52">
        <f>SUM(G12:G31)</f>
        <v>27974406</v>
      </c>
      <c r="H11" s="4">
        <f t="shared" si="0"/>
        <v>99.76258674848691</v>
      </c>
      <c r="I11" s="53">
        <f>SUM(I12:I31)</f>
        <v>23395065</v>
      </c>
      <c r="J11" s="51">
        <f>SUM(J12:J31)</f>
        <v>5455442</v>
      </c>
      <c r="K11" s="52">
        <f>SUM(K12:K31)</f>
        <v>5961323</v>
      </c>
      <c r="L11" s="52">
        <f>SUM(L12:L31)</f>
        <v>5895278</v>
      </c>
      <c r="M11" s="4">
        <f t="shared" si="2"/>
        <v>98.892108345748085</v>
      </c>
      <c r="N11" s="53">
        <f>SUM(N12:N31)</f>
        <v>6086886</v>
      </c>
      <c r="O11" s="51">
        <f>SUM(O12:O31)</f>
        <v>19686120</v>
      </c>
      <c r="P11" s="52">
        <f>SUM(P12:P31)</f>
        <v>22079656</v>
      </c>
      <c r="Q11" s="52">
        <f>SUM(Q12:Q31)</f>
        <v>22079128</v>
      </c>
      <c r="R11" s="4">
        <f t="shared" si="3"/>
        <v>99.997608658395762</v>
      </c>
      <c r="S11" s="53">
        <f>SUM(S12:S31)</f>
        <v>17308179</v>
      </c>
      <c r="T11" s="51">
        <f>SUM(T12:T31)</f>
        <v>0</v>
      </c>
      <c r="U11" s="52">
        <f>SUM(U12:U31)</f>
        <v>0</v>
      </c>
      <c r="V11" s="52">
        <f>SUM(V12:V31)</f>
        <v>0</v>
      </c>
      <c r="W11" s="4">
        <v>0</v>
      </c>
      <c r="X11" s="53">
        <f>SUM(X12:X31)</f>
        <v>0</v>
      </c>
    </row>
    <row r="12" spans="1:24" s="34" customFormat="1" x14ac:dyDescent="0.15">
      <c r="A12" s="73" t="s">
        <v>8</v>
      </c>
      <c r="B12" s="1238" t="s">
        <v>28</v>
      </c>
      <c r="C12" s="1238"/>
      <c r="D12" s="50" t="s">
        <v>25</v>
      </c>
      <c r="E12" s="56">
        <f>SUM(J12,O12)</f>
        <v>1657100</v>
      </c>
      <c r="F12" s="57">
        <f t="shared" ref="E12:I27" si="5">SUM(K12,P12)</f>
        <v>1825137</v>
      </c>
      <c r="G12" s="57">
        <f t="shared" si="5"/>
        <v>1824601</v>
      </c>
      <c r="H12" s="58">
        <f t="shared" si="0"/>
        <v>99.97063234157217</v>
      </c>
      <c r="I12" s="59">
        <v>1911377</v>
      </c>
      <c r="J12" s="74">
        <v>1627100</v>
      </c>
      <c r="K12" s="75">
        <v>1717981</v>
      </c>
      <c r="L12" s="75">
        <v>1717445</v>
      </c>
      <c r="M12" s="58">
        <f t="shared" si="2"/>
        <v>99.96880058626958</v>
      </c>
      <c r="N12" s="246">
        <v>1851167</v>
      </c>
      <c r="O12" s="247">
        <v>30000</v>
      </c>
      <c r="P12" s="75">
        <v>107156</v>
      </c>
      <c r="Q12" s="75">
        <v>107156</v>
      </c>
      <c r="R12" s="58">
        <f t="shared" si="3"/>
        <v>100</v>
      </c>
      <c r="S12" s="248">
        <v>60210</v>
      </c>
      <c r="T12" s="247"/>
      <c r="U12" s="75"/>
      <c r="V12" s="75"/>
      <c r="W12" s="58">
        <v>0</v>
      </c>
      <c r="X12" s="246"/>
    </row>
    <row r="13" spans="1:24" s="34" customFormat="1" x14ac:dyDescent="0.15">
      <c r="A13" s="55" t="s">
        <v>10</v>
      </c>
      <c r="B13" s="1233" t="s">
        <v>29</v>
      </c>
      <c r="C13" s="1233"/>
      <c r="D13" s="50" t="s">
        <v>25</v>
      </c>
      <c r="E13" s="56">
        <f t="shared" si="5"/>
        <v>1410000</v>
      </c>
      <c r="F13" s="57">
        <f t="shared" si="5"/>
        <v>1260803</v>
      </c>
      <c r="G13" s="57">
        <f t="shared" si="5"/>
        <v>1203913</v>
      </c>
      <c r="H13" s="58">
        <f t="shared" si="0"/>
        <v>95.487796269520302</v>
      </c>
      <c r="I13" s="59">
        <v>1061978</v>
      </c>
      <c r="J13" s="74">
        <v>1410000</v>
      </c>
      <c r="K13" s="57">
        <v>1260803</v>
      </c>
      <c r="L13" s="57">
        <v>1203913</v>
      </c>
      <c r="M13" s="58">
        <f t="shared" si="2"/>
        <v>95.487796269520302</v>
      </c>
      <c r="N13" s="59">
        <v>1061978</v>
      </c>
      <c r="O13" s="56">
        <v>0</v>
      </c>
      <c r="P13" s="57">
        <v>0</v>
      </c>
      <c r="Q13" s="57">
        <v>0</v>
      </c>
      <c r="R13" s="58">
        <v>0</v>
      </c>
      <c r="S13" s="59">
        <v>0</v>
      </c>
      <c r="T13" s="56"/>
      <c r="U13" s="57"/>
      <c r="V13" s="57"/>
      <c r="W13" s="58">
        <v>0</v>
      </c>
      <c r="X13" s="59"/>
    </row>
    <row r="14" spans="1:24" s="34" customFormat="1" x14ac:dyDescent="0.15">
      <c r="A14" s="55" t="s">
        <v>11</v>
      </c>
      <c r="B14" s="76" t="s">
        <v>63</v>
      </c>
      <c r="C14" s="76"/>
      <c r="D14" s="50" t="s">
        <v>25</v>
      </c>
      <c r="E14" s="56">
        <f t="shared" si="5"/>
        <v>0</v>
      </c>
      <c r="F14" s="57">
        <f t="shared" si="5"/>
        <v>0</v>
      </c>
      <c r="G14" s="57">
        <f t="shared" si="5"/>
        <v>0</v>
      </c>
      <c r="H14" s="58">
        <v>0</v>
      </c>
      <c r="I14" s="59">
        <f t="shared" si="5"/>
        <v>0</v>
      </c>
      <c r="J14" s="74">
        <v>0</v>
      </c>
      <c r="K14" s="57">
        <v>0</v>
      </c>
      <c r="L14" s="57">
        <v>0</v>
      </c>
      <c r="M14" s="58">
        <v>0</v>
      </c>
      <c r="N14" s="59"/>
      <c r="O14" s="56">
        <v>0</v>
      </c>
      <c r="P14" s="57">
        <v>0</v>
      </c>
      <c r="Q14" s="57">
        <v>0</v>
      </c>
      <c r="R14" s="58">
        <v>0</v>
      </c>
      <c r="S14" s="59">
        <v>0</v>
      </c>
      <c r="T14" s="56"/>
      <c r="U14" s="57"/>
      <c r="V14" s="57"/>
      <c r="W14" s="58">
        <v>0</v>
      </c>
      <c r="X14" s="59"/>
    </row>
    <row r="15" spans="1:24" s="34" customFormat="1" x14ac:dyDescent="0.15">
      <c r="A15" s="55" t="s">
        <v>12</v>
      </c>
      <c r="B15" s="1233" t="s">
        <v>64</v>
      </c>
      <c r="C15" s="1233"/>
      <c r="D15" s="50" t="s">
        <v>25</v>
      </c>
      <c r="E15" s="56">
        <f t="shared" si="5"/>
        <v>710000</v>
      </c>
      <c r="F15" s="57">
        <f t="shared" si="5"/>
        <v>1243000</v>
      </c>
      <c r="G15" s="57">
        <f t="shared" si="5"/>
        <v>1236806</v>
      </c>
      <c r="H15" s="58">
        <f t="shared" si="0"/>
        <v>99.501689460981495</v>
      </c>
      <c r="I15" s="59">
        <v>1313975</v>
      </c>
      <c r="J15" s="74">
        <v>710000</v>
      </c>
      <c r="K15" s="57">
        <v>1243000</v>
      </c>
      <c r="L15" s="57">
        <v>1236806</v>
      </c>
      <c r="M15" s="58">
        <f t="shared" si="2"/>
        <v>99.501689460981495</v>
      </c>
      <c r="N15" s="59">
        <v>1313975</v>
      </c>
      <c r="O15" s="56">
        <v>0</v>
      </c>
      <c r="P15" s="57">
        <v>0</v>
      </c>
      <c r="Q15" s="57">
        <v>0</v>
      </c>
      <c r="R15" s="58">
        <v>0</v>
      </c>
      <c r="S15" s="59">
        <v>0</v>
      </c>
      <c r="T15" s="56"/>
      <c r="U15" s="57"/>
      <c r="V15" s="57"/>
      <c r="W15" s="58">
        <v>0</v>
      </c>
      <c r="X15" s="59"/>
    </row>
    <row r="16" spans="1:24" s="34" customFormat="1" x14ac:dyDescent="0.15">
      <c r="A16" s="55" t="s">
        <v>13</v>
      </c>
      <c r="B16" s="1233" t="s">
        <v>30</v>
      </c>
      <c r="C16" s="1233"/>
      <c r="D16" s="50" t="s">
        <v>25</v>
      </c>
      <c r="E16" s="56">
        <f t="shared" si="5"/>
        <v>2000</v>
      </c>
      <c r="F16" s="57">
        <f t="shared" si="5"/>
        <v>2000</v>
      </c>
      <c r="G16" s="57">
        <f t="shared" si="5"/>
        <v>1340</v>
      </c>
      <c r="H16" s="58">
        <f t="shared" si="0"/>
        <v>67</v>
      </c>
      <c r="I16" s="59">
        <v>876</v>
      </c>
      <c r="J16" s="74">
        <v>2000</v>
      </c>
      <c r="K16" s="57">
        <v>2000</v>
      </c>
      <c r="L16" s="57">
        <v>1340</v>
      </c>
      <c r="M16" s="58">
        <f t="shared" si="2"/>
        <v>67</v>
      </c>
      <c r="N16" s="59">
        <v>876</v>
      </c>
      <c r="O16" s="56">
        <v>0</v>
      </c>
      <c r="P16" s="57">
        <v>0</v>
      </c>
      <c r="Q16" s="57">
        <v>0</v>
      </c>
      <c r="R16" s="58">
        <v>0</v>
      </c>
      <c r="S16" s="59">
        <v>0</v>
      </c>
      <c r="T16" s="56"/>
      <c r="U16" s="57"/>
      <c r="V16" s="57"/>
      <c r="W16" s="58">
        <v>0</v>
      </c>
      <c r="X16" s="59"/>
    </row>
    <row r="17" spans="1:24" s="34" customFormat="1" x14ac:dyDescent="0.15">
      <c r="A17" s="55" t="s">
        <v>14</v>
      </c>
      <c r="B17" s="76" t="s">
        <v>48</v>
      </c>
      <c r="C17" s="76"/>
      <c r="D17" s="50" t="s">
        <v>25</v>
      </c>
      <c r="E17" s="56">
        <f t="shared" si="5"/>
        <v>1000</v>
      </c>
      <c r="F17" s="57">
        <f t="shared" si="5"/>
        <v>500</v>
      </c>
      <c r="G17" s="57">
        <f t="shared" si="5"/>
        <v>449</v>
      </c>
      <c r="H17" s="58">
        <f t="shared" si="0"/>
        <v>89.8</v>
      </c>
      <c r="I17" s="59">
        <v>535</v>
      </c>
      <c r="J17" s="74">
        <v>1000</v>
      </c>
      <c r="K17" s="57">
        <v>500</v>
      </c>
      <c r="L17" s="57">
        <v>449</v>
      </c>
      <c r="M17" s="58">
        <f t="shared" si="2"/>
        <v>89.8</v>
      </c>
      <c r="N17" s="59">
        <v>535</v>
      </c>
      <c r="O17" s="56">
        <v>0</v>
      </c>
      <c r="P17" s="57">
        <v>0</v>
      </c>
      <c r="Q17" s="57">
        <v>0</v>
      </c>
      <c r="R17" s="58">
        <v>0</v>
      </c>
      <c r="S17" s="59">
        <v>0</v>
      </c>
      <c r="T17" s="56"/>
      <c r="U17" s="57"/>
      <c r="V17" s="57"/>
      <c r="W17" s="58">
        <v>0</v>
      </c>
      <c r="X17" s="59"/>
    </row>
    <row r="18" spans="1:24" s="34" customFormat="1" x14ac:dyDescent="0.15">
      <c r="A18" s="55" t="s">
        <v>15</v>
      </c>
      <c r="B18" s="1233" t="s">
        <v>31</v>
      </c>
      <c r="C18" s="1233"/>
      <c r="D18" s="50" t="s">
        <v>25</v>
      </c>
      <c r="E18" s="56">
        <f t="shared" si="5"/>
        <v>776000</v>
      </c>
      <c r="F18" s="57">
        <f t="shared" si="5"/>
        <v>786693</v>
      </c>
      <c r="G18" s="57">
        <f t="shared" si="5"/>
        <v>785863</v>
      </c>
      <c r="H18" s="58">
        <f t="shared" si="0"/>
        <v>99.894495057156988</v>
      </c>
      <c r="I18" s="59">
        <v>807043</v>
      </c>
      <c r="J18" s="74">
        <v>716000</v>
      </c>
      <c r="K18" s="57">
        <v>737500</v>
      </c>
      <c r="L18" s="57">
        <v>736670</v>
      </c>
      <c r="M18" s="58">
        <f t="shared" si="2"/>
        <v>99.88745762711865</v>
      </c>
      <c r="N18" s="59">
        <v>741245</v>
      </c>
      <c r="O18" s="56">
        <v>60000</v>
      </c>
      <c r="P18" s="57">
        <v>49193</v>
      </c>
      <c r="Q18" s="57">
        <v>49193</v>
      </c>
      <c r="R18" s="58">
        <f t="shared" si="3"/>
        <v>100</v>
      </c>
      <c r="S18" s="59">
        <v>65798</v>
      </c>
      <c r="T18" s="56"/>
      <c r="U18" s="57"/>
      <c r="V18" s="57"/>
      <c r="W18" s="58">
        <v>0</v>
      </c>
      <c r="X18" s="59"/>
    </row>
    <row r="19" spans="1:24" s="37" customFormat="1" x14ac:dyDescent="0.15">
      <c r="A19" s="55" t="s">
        <v>16</v>
      </c>
      <c r="B19" s="1233" t="s">
        <v>32</v>
      </c>
      <c r="C19" s="1233"/>
      <c r="D19" s="50" t="s">
        <v>25</v>
      </c>
      <c r="E19" s="56">
        <f t="shared" si="5"/>
        <v>14367400</v>
      </c>
      <c r="F19" s="57">
        <f t="shared" si="5"/>
        <v>16078020</v>
      </c>
      <c r="G19" s="57">
        <f t="shared" si="5"/>
        <v>16078020</v>
      </c>
      <c r="H19" s="58">
        <f t="shared" si="0"/>
        <v>100</v>
      </c>
      <c r="I19" s="59">
        <v>12602171</v>
      </c>
      <c r="J19" s="77">
        <v>0</v>
      </c>
      <c r="K19" s="57">
        <v>0</v>
      </c>
      <c r="L19" s="57">
        <v>0</v>
      </c>
      <c r="M19" s="58">
        <v>0</v>
      </c>
      <c r="N19" s="59">
        <v>0</v>
      </c>
      <c r="O19" s="56">
        <v>14367400</v>
      </c>
      <c r="P19" s="57">
        <v>16078020</v>
      </c>
      <c r="Q19" s="57">
        <v>16078020</v>
      </c>
      <c r="R19" s="58">
        <f t="shared" si="3"/>
        <v>100</v>
      </c>
      <c r="S19" s="59">
        <v>12602171</v>
      </c>
      <c r="T19" s="249"/>
      <c r="U19" s="78"/>
      <c r="V19" s="78"/>
      <c r="W19" s="58">
        <v>0</v>
      </c>
      <c r="X19" s="250"/>
    </row>
    <row r="20" spans="1:24" s="34" customFormat="1" x14ac:dyDescent="0.15">
      <c r="A20" s="55" t="s">
        <v>17</v>
      </c>
      <c r="B20" s="1233" t="s">
        <v>49</v>
      </c>
      <c r="C20" s="1233"/>
      <c r="D20" s="50" t="s">
        <v>25</v>
      </c>
      <c r="E20" s="56">
        <f t="shared" si="5"/>
        <v>4884950</v>
      </c>
      <c r="F20" s="57">
        <f t="shared" si="5"/>
        <v>5469575</v>
      </c>
      <c r="G20" s="57">
        <f t="shared" si="5"/>
        <v>5469048</v>
      </c>
      <c r="H20" s="58">
        <f t="shared" si="0"/>
        <v>99.990364882097779</v>
      </c>
      <c r="I20" s="59">
        <v>4297806</v>
      </c>
      <c r="J20" s="74">
        <v>0</v>
      </c>
      <c r="K20" s="57">
        <v>0</v>
      </c>
      <c r="L20" s="57">
        <v>0</v>
      </c>
      <c r="M20" s="58">
        <v>0</v>
      </c>
      <c r="N20" s="59">
        <v>0</v>
      </c>
      <c r="O20" s="56">
        <v>4884950</v>
      </c>
      <c r="P20" s="57">
        <v>5469575</v>
      </c>
      <c r="Q20" s="57">
        <v>5469048</v>
      </c>
      <c r="R20" s="58">
        <f t="shared" si="3"/>
        <v>99.990364882097779</v>
      </c>
      <c r="S20" s="59">
        <v>4297806</v>
      </c>
      <c r="T20" s="56"/>
      <c r="U20" s="57"/>
      <c r="V20" s="57"/>
      <c r="W20" s="58">
        <v>0</v>
      </c>
      <c r="X20" s="59"/>
    </row>
    <row r="21" spans="1:24" s="34" customFormat="1" x14ac:dyDescent="0.15">
      <c r="A21" s="55" t="s">
        <v>18</v>
      </c>
      <c r="B21" s="1233" t="s">
        <v>50</v>
      </c>
      <c r="C21" s="1233"/>
      <c r="D21" s="50" t="s">
        <v>25</v>
      </c>
      <c r="E21" s="56">
        <f t="shared" si="5"/>
        <v>287350</v>
      </c>
      <c r="F21" s="57">
        <f t="shared" si="5"/>
        <v>323732</v>
      </c>
      <c r="G21" s="57">
        <f t="shared" si="5"/>
        <v>323731</v>
      </c>
      <c r="H21" s="58">
        <f t="shared" si="0"/>
        <v>99.999691102516891</v>
      </c>
      <c r="I21" s="59">
        <v>282194</v>
      </c>
      <c r="J21" s="74">
        <v>0</v>
      </c>
      <c r="K21" s="57">
        <v>0</v>
      </c>
      <c r="L21" s="57">
        <v>0</v>
      </c>
      <c r="M21" s="58">
        <v>0</v>
      </c>
      <c r="N21" s="59">
        <v>0</v>
      </c>
      <c r="O21" s="56">
        <v>287350</v>
      </c>
      <c r="P21" s="57">
        <v>323732</v>
      </c>
      <c r="Q21" s="57">
        <v>323731</v>
      </c>
      <c r="R21" s="58">
        <f t="shared" si="3"/>
        <v>99.999691102516891</v>
      </c>
      <c r="S21" s="59">
        <v>282194</v>
      </c>
      <c r="T21" s="56"/>
      <c r="U21" s="57"/>
      <c r="V21" s="57"/>
      <c r="W21" s="58">
        <v>0</v>
      </c>
      <c r="X21" s="59"/>
    </row>
    <row r="22" spans="1:24" s="34" customFormat="1" x14ac:dyDescent="0.15">
      <c r="A22" s="55" t="s">
        <v>19</v>
      </c>
      <c r="B22" s="1233" t="s">
        <v>65</v>
      </c>
      <c r="C22" s="1233"/>
      <c r="D22" s="50" t="s">
        <v>25</v>
      </c>
      <c r="E22" s="56">
        <f t="shared" si="5"/>
        <v>0</v>
      </c>
      <c r="F22" s="57">
        <f t="shared" si="5"/>
        <v>0</v>
      </c>
      <c r="G22" s="57">
        <f t="shared" si="5"/>
        <v>0</v>
      </c>
      <c r="H22" s="58">
        <v>0</v>
      </c>
      <c r="I22" s="59">
        <f t="shared" si="5"/>
        <v>0</v>
      </c>
      <c r="J22" s="74">
        <v>0</v>
      </c>
      <c r="K22" s="57">
        <v>0</v>
      </c>
      <c r="L22" s="57">
        <v>0</v>
      </c>
      <c r="M22" s="58">
        <v>0</v>
      </c>
      <c r="N22" s="59">
        <v>0</v>
      </c>
      <c r="O22" s="56">
        <v>0</v>
      </c>
      <c r="P22" s="57">
        <v>0</v>
      </c>
      <c r="Q22" s="57">
        <v>0</v>
      </c>
      <c r="R22" s="58">
        <v>0</v>
      </c>
      <c r="S22" s="59">
        <v>0</v>
      </c>
      <c r="T22" s="56"/>
      <c r="U22" s="57"/>
      <c r="V22" s="57"/>
      <c r="W22" s="58">
        <v>0</v>
      </c>
      <c r="X22" s="59"/>
    </row>
    <row r="23" spans="1:24" s="34" customFormat="1" x14ac:dyDescent="0.15">
      <c r="A23" s="55" t="s">
        <v>20</v>
      </c>
      <c r="B23" s="76" t="s">
        <v>66</v>
      </c>
      <c r="C23" s="76"/>
      <c r="D23" s="50" t="s">
        <v>25</v>
      </c>
      <c r="E23" s="56">
        <f t="shared" si="5"/>
        <v>0</v>
      </c>
      <c r="F23" s="57">
        <f t="shared" si="5"/>
        <v>1000</v>
      </c>
      <c r="G23" s="57">
        <f t="shared" si="5"/>
        <v>1000</v>
      </c>
      <c r="H23" s="58">
        <f t="shared" si="0"/>
        <v>100</v>
      </c>
      <c r="I23" s="59">
        <f t="shared" si="5"/>
        <v>0</v>
      </c>
      <c r="J23" s="74">
        <v>0</v>
      </c>
      <c r="K23" s="57">
        <v>1000</v>
      </c>
      <c r="L23" s="57">
        <v>1000</v>
      </c>
      <c r="M23" s="58">
        <f t="shared" si="2"/>
        <v>100</v>
      </c>
      <c r="N23" s="59">
        <v>0</v>
      </c>
      <c r="O23" s="56">
        <v>0</v>
      </c>
      <c r="P23" s="57">
        <v>0</v>
      </c>
      <c r="Q23" s="57">
        <v>0</v>
      </c>
      <c r="R23" s="58">
        <v>0</v>
      </c>
      <c r="S23" s="59">
        <v>0</v>
      </c>
      <c r="T23" s="56"/>
      <c r="U23" s="57"/>
      <c r="V23" s="57"/>
      <c r="W23" s="58">
        <v>0</v>
      </c>
      <c r="X23" s="59"/>
    </row>
    <row r="24" spans="1:24" s="34" customFormat="1" x14ac:dyDescent="0.15">
      <c r="A24" s="55" t="s">
        <v>21</v>
      </c>
      <c r="B24" s="76" t="s">
        <v>73</v>
      </c>
      <c r="C24" s="76"/>
      <c r="D24" s="50" t="s">
        <v>25</v>
      </c>
      <c r="E24" s="56">
        <f t="shared" si="5"/>
        <v>0</v>
      </c>
      <c r="F24" s="57">
        <f t="shared" si="5"/>
        <v>0</v>
      </c>
      <c r="G24" s="57">
        <f t="shared" si="5"/>
        <v>0</v>
      </c>
      <c r="H24" s="58">
        <v>0</v>
      </c>
      <c r="I24" s="59">
        <f t="shared" si="5"/>
        <v>0</v>
      </c>
      <c r="J24" s="74">
        <v>0</v>
      </c>
      <c r="K24" s="57">
        <v>0</v>
      </c>
      <c r="L24" s="57">
        <v>0</v>
      </c>
      <c r="M24" s="58">
        <v>0</v>
      </c>
      <c r="N24" s="59">
        <v>0</v>
      </c>
      <c r="O24" s="56">
        <v>0</v>
      </c>
      <c r="P24" s="57">
        <v>0</v>
      </c>
      <c r="Q24" s="57">
        <v>0</v>
      </c>
      <c r="R24" s="58">
        <v>0</v>
      </c>
      <c r="S24" s="59">
        <v>0</v>
      </c>
      <c r="T24" s="56"/>
      <c r="U24" s="57"/>
      <c r="V24" s="57"/>
      <c r="W24" s="58">
        <v>0</v>
      </c>
      <c r="X24" s="59"/>
    </row>
    <row r="25" spans="1:24" s="34" customFormat="1" x14ac:dyDescent="0.15">
      <c r="A25" s="73" t="s">
        <v>22</v>
      </c>
      <c r="B25" s="80" t="s">
        <v>68</v>
      </c>
      <c r="C25" s="80"/>
      <c r="D25" s="50" t="s">
        <v>25</v>
      </c>
      <c r="E25" s="56">
        <f t="shared" si="5"/>
        <v>0</v>
      </c>
      <c r="F25" s="57">
        <f t="shared" si="5"/>
        <v>0</v>
      </c>
      <c r="G25" s="57">
        <f t="shared" si="5"/>
        <v>0</v>
      </c>
      <c r="H25" s="58">
        <v>0</v>
      </c>
      <c r="I25" s="59">
        <f t="shared" si="5"/>
        <v>0</v>
      </c>
      <c r="J25" s="74">
        <v>0</v>
      </c>
      <c r="K25" s="75">
        <v>0</v>
      </c>
      <c r="L25" s="75">
        <v>0</v>
      </c>
      <c r="M25" s="58">
        <v>0</v>
      </c>
      <c r="N25" s="246">
        <v>0</v>
      </c>
      <c r="O25" s="247">
        <v>0</v>
      </c>
      <c r="P25" s="75">
        <v>0</v>
      </c>
      <c r="Q25" s="75">
        <v>0</v>
      </c>
      <c r="R25" s="58">
        <v>0</v>
      </c>
      <c r="S25" s="248">
        <v>0</v>
      </c>
      <c r="T25" s="247"/>
      <c r="U25" s="75"/>
      <c r="V25" s="75"/>
      <c r="W25" s="58">
        <v>0</v>
      </c>
      <c r="X25" s="248"/>
    </row>
    <row r="26" spans="1:24" s="38" customFormat="1" x14ac:dyDescent="0.15">
      <c r="A26" s="55" t="s">
        <v>23</v>
      </c>
      <c r="B26" s="1233" t="s">
        <v>69</v>
      </c>
      <c r="C26" s="1233"/>
      <c r="D26" s="50" t="s">
        <v>25</v>
      </c>
      <c r="E26" s="56">
        <f t="shared" si="5"/>
        <v>759842</v>
      </c>
      <c r="F26" s="57">
        <f t="shared" si="5"/>
        <v>774039</v>
      </c>
      <c r="G26" s="57">
        <f t="shared" si="5"/>
        <v>774039</v>
      </c>
      <c r="H26" s="81">
        <f t="shared" si="0"/>
        <v>100</v>
      </c>
      <c r="I26" s="59">
        <v>765118</v>
      </c>
      <c r="J26" s="74">
        <v>759842</v>
      </c>
      <c r="K26" s="82">
        <v>774039</v>
      </c>
      <c r="L26" s="82">
        <v>774039</v>
      </c>
      <c r="M26" s="58">
        <f t="shared" si="2"/>
        <v>100</v>
      </c>
      <c r="N26" s="59">
        <v>765118</v>
      </c>
      <c r="O26" s="251">
        <v>0</v>
      </c>
      <c r="P26" s="82">
        <v>0</v>
      </c>
      <c r="Q26" s="82">
        <v>0</v>
      </c>
      <c r="R26" s="58">
        <v>0</v>
      </c>
      <c r="S26" s="246">
        <v>0</v>
      </c>
      <c r="T26" s="252"/>
      <c r="U26" s="83"/>
      <c r="V26" s="83"/>
      <c r="W26" s="58">
        <v>0</v>
      </c>
      <c r="X26" s="253"/>
    </row>
    <row r="27" spans="1:24" s="39" customFormat="1" x14ac:dyDescent="0.15">
      <c r="A27" s="55" t="s">
        <v>45</v>
      </c>
      <c r="B27" s="76" t="s">
        <v>70</v>
      </c>
      <c r="C27" s="76"/>
      <c r="D27" s="50" t="s">
        <v>25</v>
      </c>
      <c r="E27" s="56">
        <f t="shared" si="5"/>
        <v>0</v>
      </c>
      <c r="F27" s="57">
        <f t="shared" si="5"/>
        <v>0</v>
      </c>
      <c r="G27" s="57">
        <f t="shared" si="5"/>
        <v>0</v>
      </c>
      <c r="H27" s="81">
        <v>0</v>
      </c>
      <c r="I27" s="59">
        <f t="shared" si="5"/>
        <v>0</v>
      </c>
      <c r="J27" s="74">
        <v>0</v>
      </c>
      <c r="K27" s="82">
        <v>0</v>
      </c>
      <c r="L27" s="82">
        <v>0</v>
      </c>
      <c r="M27" s="58">
        <v>0</v>
      </c>
      <c r="N27" s="246">
        <v>0</v>
      </c>
      <c r="O27" s="251">
        <v>0</v>
      </c>
      <c r="P27" s="82">
        <v>0</v>
      </c>
      <c r="Q27" s="82">
        <v>0</v>
      </c>
      <c r="R27" s="58">
        <v>0</v>
      </c>
      <c r="S27" s="246">
        <v>0</v>
      </c>
      <c r="T27" s="252"/>
      <c r="U27" s="83"/>
      <c r="V27" s="83"/>
      <c r="W27" s="58">
        <v>0</v>
      </c>
      <c r="X27" s="253"/>
    </row>
    <row r="28" spans="1:24" s="39" customFormat="1" x14ac:dyDescent="0.15">
      <c r="A28" s="55" t="s">
        <v>51</v>
      </c>
      <c r="B28" s="76" t="s">
        <v>74</v>
      </c>
      <c r="C28" s="76"/>
      <c r="D28" s="50" t="s">
        <v>25</v>
      </c>
      <c r="E28" s="56">
        <v>0</v>
      </c>
      <c r="F28" s="57">
        <v>275980</v>
      </c>
      <c r="G28" s="57">
        <v>275205</v>
      </c>
      <c r="H28" s="81">
        <f t="shared" si="0"/>
        <v>99.719182549460101</v>
      </c>
      <c r="I28" s="59">
        <v>351601</v>
      </c>
      <c r="J28" s="74">
        <v>220000</v>
      </c>
      <c r="K28" s="82">
        <v>224000</v>
      </c>
      <c r="L28" s="82">
        <v>223225</v>
      </c>
      <c r="M28" s="58">
        <f t="shared" si="2"/>
        <v>99.654017857142861</v>
      </c>
      <c r="N28" s="246">
        <v>351601</v>
      </c>
      <c r="O28" s="251">
        <v>56420</v>
      </c>
      <c r="P28" s="82">
        <v>51980</v>
      </c>
      <c r="Q28" s="82">
        <v>51980</v>
      </c>
      <c r="R28" s="58">
        <f t="shared" si="3"/>
        <v>100</v>
      </c>
      <c r="S28" s="246">
        <v>0</v>
      </c>
      <c r="T28" s="252"/>
      <c r="U28" s="83"/>
      <c r="V28" s="83"/>
      <c r="W28" s="58">
        <v>0</v>
      </c>
      <c r="X28" s="253"/>
    </row>
    <row r="29" spans="1:24" s="38" customFormat="1" x14ac:dyDescent="0.15">
      <c r="A29" s="55" t="s">
        <v>52</v>
      </c>
      <c r="B29" s="1233" t="s">
        <v>67</v>
      </c>
      <c r="C29" s="1233"/>
      <c r="D29" s="50" t="s">
        <v>25</v>
      </c>
      <c r="E29" s="56">
        <f t="shared" ref="E29:G31" si="6">SUM(J29,O29)</f>
        <v>9500</v>
      </c>
      <c r="F29" s="57">
        <f t="shared" si="6"/>
        <v>500</v>
      </c>
      <c r="G29" s="57">
        <f t="shared" si="6"/>
        <v>391</v>
      </c>
      <c r="H29" s="81">
        <f t="shared" si="0"/>
        <v>78.2</v>
      </c>
      <c r="I29" s="59">
        <v>391</v>
      </c>
      <c r="J29" s="74">
        <v>9500</v>
      </c>
      <c r="K29" s="82">
        <v>500</v>
      </c>
      <c r="L29" s="82">
        <v>391</v>
      </c>
      <c r="M29" s="58">
        <f t="shared" si="2"/>
        <v>78.2</v>
      </c>
      <c r="N29" s="246">
        <v>391</v>
      </c>
      <c r="O29" s="251">
        <v>0</v>
      </c>
      <c r="P29" s="82">
        <v>0</v>
      </c>
      <c r="Q29" s="82">
        <v>0</v>
      </c>
      <c r="R29" s="58">
        <v>0</v>
      </c>
      <c r="S29" s="246">
        <v>0</v>
      </c>
      <c r="T29" s="252"/>
      <c r="U29" s="83"/>
      <c r="V29" s="83"/>
      <c r="W29" s="58">
        <v>0</v>
      </c>
      <c r="X29" s="253"/>
    </row>
    <row r="30" spans="1:24" s="34" customFormat="1" x14ac:dyDescent="0.15">
      <c r="A30" s="55" t="s">
        <v>54</v>
      </c>
      <c r="B30" s="76" t="s">
        <v>53</v>
      </c>
      <c r="C30" s="76"/>
      <c r="D30" s="50" t="s">
        <v>25</v>
      </c>
      <c r="E30" s="56">
        <f t="shared" si="6"/>
        <v>0</v>
      </c>
      <c r="F30" s="57">
        <f t="shared" si="6"/>
        <v>0</v>
      </c>
      <c r="G30" s="57">
        <f t="shared" si="6"/>
        <v>0</v>
      </c>
      <c r="H30" s="81">
        <v>0</v>
      </c>
      <c r="I30" s="59">
        <f>SUM(N30,S30)</f>
        <v>0</v>
      </c>
      <c r="J30" s="74">
        <v>0</v>
      </c>
      <c r="K30" s="82">
        <v>0</v>
      </c>
      <c r="L30" s="82">
        <v>0</v>
      </c>
      <c r="M30" s="58">
        <v>0</v>
      </c>
      <c r="N30" s="246">
        <v>0</v>
      </c>
      <c r="O30" s="251">
        <v>0</v>
      </c>
      <c r="P30" s="82">
        <v>0</v>
      </c>
      <c r="Q30" s="82">
        <v>0</v>
      </c>
      <c r="R30" s="58">
        <v>0</v>
      </c>
      <c r="S30" s="246">
        <v>0</v>
      </c>
      <c r="T30" s="252"/>
      <c r="U30" s="83"/>
      <c r="V30" s="83"/>
      <c r="W30" s="58">
        <v>0</v>
      </c>
      <c r="X30" s="253"/>
    </row>
    <row r="31" spans="1:24" s="5" customFormat="1" ht="8.4" x14ac:dyDescent="0.2">
      <c r="A31" s="55" t="s">
        <v>55</v>
      </c>
      <c r="B31" s="66" t="s">
        <v>71</v>
      </c>
      <c r="C31" s="66"/>
      <c r="D31" s="50" t="s">
        <v>25</v>
      </c>
      <c r="E31" s="56">
        <f t="shared" si="6"/>
        <v>0</v>
      </c>
      <c r="F31" s="57">
        <f t="shared" si="6"/>
        <v>0</v>
      </c>
      <c r="G31" s="57">
        <f t="shared" si="6"/>
        <v>0</v>
      </c>
      <c r="H31" s="81">
        <v>0</v>
      </c>
      <c r="I31" s="59">
        <f>SUM(N31,S31)</f>
        <v>0</v>
      </c>
      <c r="J31" s="74">
        <v>0</v>
      </c>
      <c r="K31" s="84">
        <v>0</v>
      </c>
      <c r="L31" s="84">
        <v>0</v>
      </c>
      <c r="M31" s="58">
        <v>0</v>
      </c>
      <c r="N31" s="254">
        <v>0</v>
      </c>
      <c r="O31" s="255">
        <v>0</v>
      </c>
      <c r="P31" s="84">
        <v>0</v>
      </c>
      <c r="Q31" s="84">
        <v>0</v>
      </c>
      <c r="R31" s="58">
        <v>0</v>
      </c>
      <c r="S31" s="254">
        <v>0</v>
      </c>
      <c r="T31" s="256"/>
      <c r="U31" s="31"/>
      <c r="V31" s="31"/>
      <c r="W31" s="58">
        <v>0</v>
      </c>
      <c r="X31" s="257"/>
    </row>
    <row r="32" spans="1:24" s="5" customFormat="1" x14ac:dyDescent="0.15">
      <c r="A32" s="73" t="s">
        <v>56</v>
      </c>
      <c r="B32" s="80" t="s">
        <v>72</v>
      </c>
      <c r="C32" s="80"/>
      <c r="D32" s="50" t="s">
        <v>25</v>
      </c>
      <c r="E32" s="56">
        <f>SUM(J32,O32)</f>
        <v>0</v>
      </c>
      <c r="F32" s="57">
        <f>SUM(K32,P32)</f>
        <v>0</v>
      </c>
      <c r="G32" s="57">
        <f>SUM(L32,Q32)</f>
        <v>0</v>
      </c>
      <c r="H32" s="81">
        <v>0</v>
      </c>
      <c r="I32" s="59">
        <f>SUM(N32,S32)</f>
        <v>0</v>
      </c>
      <c r="J32" s="86">
        <v>0</v>
      </c>
      <c r="K32" s="31">
        <v>0</v>
      </c>
      <c r="L32" s="31">
        <v>0</v>
      </c>
      <c r="M32" s="58">
        <v>0</v>
      </c>
      <c r="N32" s="257">
        <v>0</v>
      </c>
      <c r="O32" s="256">
        <v>0</v>
      </c>
      <c r="P32" s="31">
        <v>0</v>
      </c>
      <c r="Q32" s="31">
        <v>0</v>
      </c>
      <c r="R32" s="58">
        <v>0</v>
      </c>
      <c r="S32" s="257">
        <v>0</v>
      </c>
      <c r="T32" s="256"/>
      <c r="U32" s="31"/>
      <c r="V32" s="31"/>
      <c r="W32" s="58">
        <v>0</v>
      </c>
      <c r="X32" s="257"/>
    </row>
    <row r="33" spans="1:24" s="5" customFormat="1" x14ac:dyDescent="0.15">
      <c r="A33" s="49" t="s">
        <v>57</v>
      </c>
      <c r="B33" s="88" t="s">
        <v>58</v>
      </c>
      <c r="C33" s="88"/>
      <c r="D33" s="50" t="s">
        <v>25</v>
      </c>
      <c r="E33" s="51">
        <v>0</v>
      </c>
      <c r="F33" s="52">
        <f t="shared" ref="F33:G33" si="7">F6-F11</f>
        <v>0</v>
      </c>
      <c r="G33" s="52">
        <f t="shared" si="7"/>
        <v>209677</v>
      </c>
      <c r="H33" s="89">
        <v>0</v>
      </c>
      <c r="I33" s="53">
        <f t="shared" ref="I33:L33" si="8">I6-I11</f>
        <v>164976</v>
      </c>
      <c r="J33" s="51">
        <f t="shared" si="8"/>
        <v>0</v>
      </c>
      <c r="K33" s="52">
        <f t="shared" si="8"/>
        <v>0</v>
      </c>
      <c r="L33" s="52">
        <f t="shared" si="8"/>
        <v>210205</v>
      </c>
      <c r="M33" s="4">
        <v>0</v>
      </c>
      <c r="N33" s="53">
        <f t="shared" ref="N33:Q33" si="9">N6-N11</f>
        <v>164976</v>
      </c>
      <c r="O33" s="51">
        <f t="shared" si="9"/>
        <v>0</v>
      </c>
      <c r="P33" s="52">
        <f t="shared" si="9"/>
        <v>0</v>
      </c>
      <c r="Q33" s="52">
        <f t="shared" si="9"/>
        <v>-528</v>
      </c>
      <c r="R33" s="4">
        <v>0</v>
      </c>
      <c r="S33" s="53">
        <f t="shared" ref="S33:V33" si="10">S6-S11</f>
        <v>0</v>
      </c>
      <c r="T33" s="51"/>
      <c r="U33" s="52">
        <f t="shared" si="10"/>
        <v>0</v>
      </c>
      <c r="V33" s="52">
        <f t="shared" si="10"/>
        <v>5000</v>
      </c>
      <c r="W33" s="4">
        <v>0</v>
      </c>
      <c r="X33" s="53">
        <f>X6-X11</f>
        <v>0</v>
      </c>
    </row>
    <row r="34" spans="1:24" s="6" customFormat="1" x14ac:dyDescent="0.15">
      <c r="A34" s="90" t="s">
        <v>59</v>
      </c>
      <c r="B34" s="1239" t="s">
        <v>24</v>
      </c>
      <c r="C34" s="1239"/>
      <c r="D34" s="91" t="s">
        <v>25</v>
      </c>
      <c r="E34" s="92">
        <v>22358</v>
      </c>
      <c r="F34" s="93">
        <v>25766</v>
      </c>
      <c r="G34" s="93">
        <v>25766</v>
      </c>
      <c r="H34" s="81">
        <f t="shared" si="0"/>
        <v>100</v>
      </c>
      <c r="I34" s="94">
        <v>21879</v>
      </c>
      <c r="J34" s="258"/>
      <c r="K34" s="96"/>
      <c r="L34" s="96"/>
      <c r="M34" s="58">
        <v>0</v>
      </c>
      <c r="N34" s="259"/>
      <c r="O34" s="258">
        <v>22358</v>
      </c>
      <c r="P34" s="96">
        <v>25766</v>
      </c>
      <c r="Q34" s="96">
        <v>25766</v>
      </c>
      <c r="R34" s="58">
        <f t="shared" si="3"/>
        <v>100</v>
      </c>
      <c r="S34" s="259">
        <v>21879</v>
      </c>
      <c r="T34" s="258"/>
      <c r="U34" s="96"/>
      <c r="V34" s="96"/>
      <c r="W34" s="58">
        <v>0</v>
      </c>
      <c r="X34" s="259"/>
    </row>
    <row r="35" spans="1:24" s="6" customFormat="1" x14ac:dyDescent="0.15">
      <c r="A35" s="99" t="s">
        <v>60</v>
      </c>
      <c r="B35" s="1240" t="s">
        <v>33</v>
      </c>
      <c r="C35" s="1240"/>
      <c r="D35" s="100" t="s">
        <v>26</v>
      </c>
      <c r="E35" s="260">
        <v>47.07</v>
      </c>
      <c r="F35" s="198">
        <v>48.92</v>
      </c>
      <c r="G35" s="198">
        <v>48.92</v>
      </c>
      <c r="H35" s="81">
        <f t="shared" si="0"/>
        <v>100</v>
      </c>
      <c r="I35" s="94">
        <v>42</v>
      </c>
      <c r="J35" s="258"/>
      <c r="K35" s="96"/>
      <c r="L35" s="96"/>
      <c r="M35" s="58">
        <v>0</v>
      </c>
      <c r="N35" s="259"/>
      <c r="O35" s="261">
        <v>47.07</v>
      </c>
      <c r="P35" s="243">
        <v>48.92</v>
      </c>
      <c r="Q35" s="243">
        <v>48.92</v>
      </c>
      <c r="R35" s="58">
        <f t="shared" si="3"/>
        <v>100</v>
      </c>
      <c r="S35" s="259">
        <v>42</v>
      </c>
      <c r="T35" s="258"/>
      <c r="U35" s="96"/>
      <c r="V35" s="96"/>
      <c r="W35" s="58">
        <v>0</v>
      </c>
      <c r="X35" s="259"/>
    </row>
    <row r="36" spans="1:24" s="6" customFormat="1" ht="8.4" thickBot="1" x14ac:dyDescent="0.2">
      <c r="A36" s="103" t="s">
        <v>61</v>
      </c>
      <c r="B36" s="1241" t="s">
        <v>27</v>
      </c>
      <c r="C36" s="1241"/>
      <c r="D36" s="104" t="s">
        <v>26</v>
      </c>
      <c r="E36" s="262">
        <v>50</v>
      </c>
      <c r="F36" s="106">
        <v>52</v>
      </c>
      <c r="G36" s="263">
        <v>52</v>
      </c>
      <c r="H36" s="107">
        <f t="shared" si="0"/>
        <v>100</v>
      </c>
      <c r="I36" s="108">
        <v>48</v>
      </c>
      <c r="J36" s="264"/>
      <c r="K36" s="110"/>
      <c r="L36" s="110"/>
      <c r="M36" s="111">
        <v>0</v>
      </c>
      <c r="N36" s="265"/>
      <c r="O36" s="266">
        <v>50</v>
      </c>
      <c r="P36" s="110">
        <v>52</v>
      </c>
      <c r="Q36" s="110">
        <v>52</v>
      </c>
      <c r="R36" s="111">
        <f t="shared" si="3"/>
        <v>100</v>
      </c>
      <c r="S36" s="265">
        <v>48</v>
      </c>
      <c r="T36" s="264"/>
      <c r="U36" s="110"/>
      <c r="V36" s="110"/>
      <c r="W36" s="111">
        <v>0</v>
      </c>
      <c r="X36" s="265"/>
    </row>
  </sheetData>
  <mergeCells count="39">
    <mergeCell ref="A1:X1"/>
    <mergeCell ref="A3:A5"/>
    <mergeCell ref="B3:C5"/>
    <mergeCell ref="D3:D5"/>
    <mergeCell ref="E3:I3"/>
    <mergeCell ref="J3:N3"/>
    <mergeCell ref="O3:S3"/>
    <mergeCell ref="T3:X3"/>
    <mergeCell ref="E4:E5"/>
    <mergeCell ref="F4:H4"/>
    <mergeCell ref="S4:S5"/>
    <mergeCell ref="T4:T5"/>
    <mergeCell ref="U4:W4"/>
    <mergeCell ref="X4:X5"/>
    <mergeCell ref="O4:O5"/>
    <mergeCell ref="P4:R4"/>
    <mergeCell ref="B7:C7"/>
    <mergeCell ref="I4:I5"/>
    <mergeCell ref="J4:J5"/>
    <mergeCell ref="K4:M4"/>
    <mergeCell ref="N4:N5"/>
    <mergeCell ref="B6:C6"/>
    <mergeCell ref="B22:C22"/>
    <mergeCell ref="B8:C8"/>
    <mergeCell ref="B10:C10"/>
    <mergeCell ref="B11:C11"/>
    <mergeCell ref="B12:C12"/>
    <mergeCell ref="B13:C13"/>
    <mergeCell ref="B15:C15"/>
    <mergeCell ref="B16:C16"/>
    <mergeCell ref="B18:C18"/>
    <mergeCell ref="B19:C19"/>
    <mergeCell ref="B20:C20"/>
    <mergeCell ref="B21:C21"/>
    <mergeCell ref="B26:C26"/>
    <mergeCell ref="B29:C29"/>
    <mergeCell ref="B34:C34"/>
    <mergeCell ref="B35:C35"/>
    <mergeCell ref="B36:C36"/>
  </mergeCells>
  <pageMargins left="0.23622047244094491" right="0.23622047244094491" top="0.74803149606299213" bottom="0.74803149606299213" header="0.31496062992125984" footer="0.31496062992125984"/>
  <pageSetup paperSize="9" scale="99" firstPageNumber="141" fitToHeight="8"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2</vt:i4>
      </vt:variant>
    </vt:vector>
  </HeadingPairs>
  <TitlesOfParts>
    <vt:vector size="40" baseType="lpstr">
      <vt:lpstr>MŠ Smet1</vt:lpstr>
      <vt:lpstr>MŠ Smet</vt:lpstr>
      <vt:lpstr>MŠ Šárka1</vt:lpstr>
      <vt:lpstr>MŠ Šárka</vt:lpstr>
      <vt:lpstr>MŠ Rumun1</vt:lpstr>
      <vt:lpstr>MŠ Rumun</vt:lpstr>
      <vt:lpstr>MŠ Mor1</vt:lpstr>
      <vt:lpstr>MŠ Mor</vt:lpstr>
      <vt:lpstr>MŠ Part1</vt:lpstr>
      <vt:lpstr>MŠ Part</vt:lpstr>
      <vt:lpstr>ZŠ Melan1</vt:lpstr>
      <vt:lpstr>ZŠ Melan</vt:lpstr>
      <vt:lpstr>ZŠ Val1</vt:lpstr>
      <vt:lpstr>ZŠ Val</vt:lpstr>
      <vt:lpstr>ZŠ Pal1</vt:lpstr>
      <vt:lpstr>ZŠ Pal</vt:lpstr>
      <vt:lpstr>ZŠ Koll1</vt:lpstr>
      <vt:lpstr>ZŠ Koll</vt:lpstr>
      <vt:lpstr>ZŠ JŽ1</vt:lpstr>
      <vt:lpstr>ZŠ JŽ</vt:lpstr>
      <vt:lpstr>ZŠ Maj1</vt:lpstr>
      <vt:lpstr>ZŠ Maj</vt:lpstr>
      <vt:lpstr>ZŠ Dr.Hor1</vt:lpstr>
      <vt:lpstr>ZŠ Dr.Hor</vt:lpstr>
      <vt:lpstr>RG a ZŠ1</vt:lpstr>
      <vt:lpstr>RG a ZŠ</vt:lpstr>
      <vt:lpstr>ZUŠ1</vt:lpstr>
      <vt:lpstr>ZUŠ</vt:lpstr>
      <vt:lpstr>Sportcentrum1</vt:lpstr>
      <vt:lpstr>Sportcentrum</vt:lpstr>
      <vt:lpstr>Knihovna1</vt:lpstr>
      <vt:lpstr>Knihovna</vt:lpstr>
      <vt:lpstr>Divadlo1</vt:lpstr>
      <vt:lpstr>Divadlo</vt:lpstr>
      <vt:lpstr>Jesle1</vt:lpstr>
      <vt:lpstr>Jesle</vt:lpstr>
      <vt:lpstr>Kino1</vt:lpstr>
      <vt:lpstr>Kino</vt:lpstr>
      <vt:lpstr>'ZŠ Koll'!Oblast_tisku</vt:lpstr>
      <vt:lpstr>'ZŠ Val'!Oblast_tisku</vt:lpstr>
    </vt:vector>
  </TitlesOfParts>
  <Company>Městský úřad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Městský úřad</dc:creator>
  <cp:lastModifiedBy>pokus</cp:lastModifiedBy>
  <cp:lastPrinted>2020-05-12T10:02:22Z</cp:lastPrinted>
  <dcterms:created xsi:type="dcterms:W3CDTF">1998-11-03T08:17:51Z</dcterms:created>
  <dcterms:modified xsi:type="dcterms:W3CDTF">2020-05-12T10:02:43Z</dcterms:modified>
</cp:coreProperties>
</file>