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tackova eva\Documents\Závěrečný účet\Závěrečný účet 2021\RMP - Závěrečný účet\"/>
    </mc:Choice>
  </mc:AlternateContent>
  <bookViews>
    <workbookView xWindow="-105" yWindow="-105" windowWidth="19425" windowHeight="10425" firstSheet="27" activeTab="37"/>
  </bookViews>
  <sheets>
    <sheet name="MŠ Smet1" sheetId="81" r:id="rId1"/>
    <sheet name="MŠ Smet" sheetId="63" r:id="rId2"/>
    <sheet name="MŠ Šárka1" sheetId="82" r:id="rId3"/>
    <sheet name="MŠ Šárka" sheetId="64" r:id="rId4"/>
    <sheet name="MŠ Rumun1" sheetId="83" r:id="rId5"/>
    <sheet name="MŠ Rumun" sheetId="65" r:id="rId6"/>
    <sheet name="MŠ Mor1" sheetId="84" r:id="rId7"/>
    <sheet name="MŠ Mor" sheetId="66" r:id="rId8"/>
    <sheet name="MŠ Part1" sheetId="85" r:id="rId9"/>
    <sheet name="MŠ Part" sheetId="67" r:id="rId10"/>
    <sheet name="ZŠ Melan1" sheetId="89" r:id="rId11"/>
    <sheet name="ZŠ Melan" sheetId="68" r:id="rId12"/>
    <sheet name="ZŠ Val1" sheetId="69" r:id="rId13"/>
    <sheet name="ZŠ Val" sheetId="86" r:id="rId14"/>
    <sheet name="ZŠ Pal1" sheetId="70" r:id="rId15"/>
    <sheet name="ZŠ Pal" sheetId="87" r:id="rId16"/>
    <sheet name="ZŠ Koll1" sheetId="90" r:id="rId17"/>
    <sheet name="ZŠ Koll" sheetId="71" r:id="rId18"/>
    <sheet name="ZŠ JŽ1" sheetId="91" r:id="rId19"/>
    <sheet name="ZŠ JŽ" sheetId="72" r:id="rId20"/>
    <sheet name="ZŠ Maj1" sheetId="92" r:id="rId21"/>
    <sheet name="ZŠ Maj" sheetId="73" r:id="rId22"/>
    <sheet name="ZŠ Dr.Hor1" sheetId="93" r:id="rId23"/>
    <sheet name="ZŠ Dr.Hor" sheetId="74" r:id="rId24"/>
    <sheet name="RG a ZŠ1" sheetId="94" r:id="rId25"/>
    <sheet name="RG a ZŠ" sheetId="75" r:id="rId26"/>
    <sheet name="ZUŠ1" sheetId="96" r:id="rId27"/>
    <sheet name="ZUŠ" sheetId="76" r:id="rId28"/>
    <sheet name="Sportcentrum1" sheetId="97" r:id="rId29"/>
    <sheet name="Sportcentrum" sheetId="77" r:id="rId30"/>
    <sheet name="Knihovna1" sheetId="98" r:id="rId31"/>
    <sheet name="Knihovna" sheetId="78" r:id="rId32"/>
    <sheet name="Divadlo1" sheetId="99" r:id="rId33"/>
    <sheet name="Divadlo" sheetId="103" r:id="rId34"/>
    <sheet name="Jesle1" sheetId="100" r:id="rId35"/>
    <sheet name="Jesle" sheetId="79" r:id="rId36"/>
    <sheet name="Kino1" sheetId="102" r:id="rId37"/>
    <sheet name="Kino" sheetId="101" r:id="rId38"/>
  </sheets>
  <externalReferences>
    <externalReference r:id="rId39"/>
  </externalReferences>
  <definedNames>
    <definedName name="_xlnm.Print_Area" localSheetId="17">'ZŠ Koll'!$A$1:$I$164</definedName>
    <definedName name="_xlnm.Print_Area" localSheetId="13">'ZŠ Val'!$A$1:$I$119</definedName>
  </definedNames>
  <calcPr calcId="152511"/>
</workbook>
</file>

<file path=xl/calcChain.xml><?xml version="1.0" encoding="utf-8"?>
<calcChain xmlns="http://schemas.openxmlformats.org/spreadsheetml/2006/main">
  <c r="D156" i="77" l="1"/>
  <c r="E98" i="77"/>
  <c r="E156" i="77" s="1"/>
  <c r="D97" i="77"/>
  <c r="B51" i="77"/>
  <c r="A51" i="77"/>
  <c r="B43" i="77"/>
  <c r="B35" i="77"/>
  <c r="D27" i="77"/>
  <c r="C27" i="77"/>
  <c r="B27" i="77"/>
  <c r="E26" i="77"/>
  <c r="E25" i="77"/>
  <c r="E24" i="77"/>
  <c r="E27" i="77" s="1"/>
  <c r="E23" i="77"/>
  <c r="C18" i="77"/>
  <c r="C6" i="77"/>
  <c r="E34" i="82" l="1"/>
  <c r="E107" i="101" l="1"/>
  <c r="D107" i="101"/>
  <c r="E105" i="101"/>
  <c r="E104" i="101"/>
  <c r="E94" i="101"/>
  <c r="D94" i="101"/>
  <c r="E83" i="101"/>
  <c r="B51" i="101"/>
  <c r="B43" i="101"/>
  <c r="B35" i="101"/>
  <c r="D27" i="101"/>
  <c r="C27" i="101"/>
  <c r="B27" i="101"/>
  <c r="E26" i="101"/>
  <c r="E25" i="101"/>
  <c r="E24" i="101"/>
  <c r="E23" i="101"/>
  <c r="E27" i="101" s="1"/>
  <c r="C18" i="101"/>
  <c r="C6" i="101"/>
  <c r="J33" i="102" l="1"/>
  <c r="I32" i="102"/>
  <c r="G32" i="102"/>
  <c r="F32" i="102"/>
  <c r="E32" i="102"/>
  <c r="I31" i="102"/>
  <c r="G31" i="102"/>
  <c r="F31" i="102"/>
  <c r="E31" i="102"/>
  <c r="I30" i="102"/>
  <c r="G30" i="102"/>
  <c r="F30" i="102"/>
  <c r="E30" i="102"/>
  <c r="W29" i="102"/>
  <c r="M29" i="102"/>
  <c r="I29" i="102"/>
  <c r="G29" i="102"/>
  <c r="H29" i="102" s="1"/>
  <c r="F29" i="102"/>
  <c r="E29" i="102"/>
  <c r="W28" i="102"/>
  <c r="R28" i="102"/>
  <c r="N28" i="102"/>
  <c r="M28" i="102"/>
  <c r="I28" i="102"/>
  <c r="G28" i="102"/>
  <c r="H28" i="102" s="1"/>
  <c r="F28" i="102"/>
  <c r="E28" i="102"/>
  <c r="I27" i="102"/>
  <c r="G27" i="102"/>
  <c r="F27" i="102"/>
  <c r="E27" i="102"/>
  <c r="W26" i="102"/>
  <c r="N26" i="102"/>
  <c r="N11" i="102" s="1"/>
  <c r="M26" i="102"/>
  <c r="I26" i="102"/>
  <c r="H26" i="102"/>
  <c r="G26" i="102"/>
  <c r="F26" i="102"/>
  <c r="E26" i="102"/>
  <c r="I25" i="102"/>
  <c r="G25" i="102"/>
  <c r="F25" i="102"/>
  <c r="E25" i="102"/>
  <c r="I24" i="102"/>
  <c r="G24" i="102"/>
  <c r="F24" i="102"/>
  <c r="E24" i="102"/>
  <c r="M23" i="102"/>
  <c r="I23" i="102"/>
  <c r="G23" i="102"/>
  <c r="H23" i="102" s="1"/>
  <c r="F23" i="102"/>
  <c r="E23" i="102"/>
  <c r="N22" i="102"/>
  <c r="M22" i="102"/>
  <c r="I22" i="102"/>
  <c r="G22" i="102"/>
  <c r="F22" i="102"/>
  <c r="H22" i="102" s="1"/>
  <c r="E22" i="102"/>
  <c r="M21" i="102"/>
  <c r="I21" i="102"/>
  <c r="G21" i="102"/>
  <c r="H21" i="102" s="1"/>
  <c r="F21" i="102"/>
  <c r="E21" i="102"/>
  <c r="W20" i="102"/>
  <c r="M20" i="102"/>
  <c r="I20" i="102"/>
  <c r="G20" i="102"/>
  <c r="H20" i="102" s="1"/>
  <c r="F20" i="102"/>
  <c r="E20" i="102"/>
  <c r="W19" i="102"/>
  <c r="M19" i="102"/>
  <c r="I19" i="102"/>
  <c r="G19" i="102"/>
  <c r="F19" i="102"/>
  <c r="H19" i="102" s="1"/>
  <c r="E19" i="102"/>
  <c r="W18" i="102"/>
  <c r="R18" i="102"/>
  <c r="M18" i="102"/>
  <c r="I18" i="102"/>
  <c r="G18" i="102"/>
  <c r="F18" i="102"/>
  <c r="H18" i="102" s="1"/>
  <c r="E18" i="102"/>
  <c r="M17" i="102"/>
  <c r="I17" i="102"/>
  <c r="H17" i="102"/>
  <c r="G17" i="102"/>
  <c r="F17" i="102"/>
  <c r="E17" i="102"/>
  <c r="W16" i="102"/>
  <c r="M16" i="102"/>
  <c r="I16" i="102"/>
  <c r="G16" i="102"/>
  <c r="H16" i="102" s="1"/>
  <c r="F16" i="102"/>
  <c r="E16" i="102"/>
  <c r="M15" i="102"/>
  <c r="I15" i="102"/>
  <c r="G15" i="102"/>
  <c r="H15" i="102" s="1"/>
  <c r="F15" i="102"/>
  <c r="F11" i="102" s="1"/>
  <c r="E15" i="102"/>
  <c r="E11" i="102" s="1"/>
  <c r="I14" i="102"/>
  <c r="G14" i="102"/>
  <c r="F14" i="102"/>
  <c r="E14" i="102"/>
  <c r="W13" i="102"/>
  <c r="M13" i="102"/>
  <c r="I13" i="102"/>
  <c r="H13" i="102"/>
  <c r="G13" i="102"/>
  <c r="F13" i="102"/>
  <c r="E13" i="102"/>
  <c r="W12" i="102"/>
  <c r="M12" i="102"/>
  <c r="I12" i="102"/>
  <c r="I11" i="102" s="1"/>
  <c r="G12" i="102"/>
  <c r="H12" i="102" s="1"/>
  <c r="F12" i="102"/>
  <c r="E12" i="102"/>
  <c r="X11" i="102"/>
  <c r="V11" i="102"/>
  <c r="W11" i="102" s="1"/>
  <c r="U11" i="102"/>
  <c r="U33" i="102" s="1"/>
  <c r="T11" i="102"/>
  <c r="T33" i="102" s="1"/>
  <c r="S11" i="102"/>
  <c r="Q11" i="102"/>
  <c r="R11" i="102" s="1"/>
  <c r="P11" i="102"/>
  <c r="O11" i="102"/>
  <c r="L11" i="102"/>
  <c r="L33" i="102" s="1"/>
  <c r="K11" i="102"/>
  <c r="K33" i="102" s="1"/>
  <c r="J11" i="102"/>
  <c r="G10" i="102"/>
  <c r="F10" i="102"/>
  <c r="E10" i="102"/>
  <c r="R9" i="102"/>
  <c r="M9" i="102"/>
  <c r="I9" i="102"/>
  <c r="G9" i="102"/>
  <c r="G6" i="102" s="1"/>
  <c r="F9" i="102"/>
  <c r="E9" i="102"/>
  <c r="M8" i="102"/>
  <c r="I8" i="102"/>
  <c r="G8" i="102"/>
  <c r="H8" i="102" s="1"/>
  <c r="F8" i="102"/>
  <c r="E8" i="102"/>
  <c r="W7" i="102"/>
  <c r="M7" i="102"/>
  <c r="I7" i="102"/>
  <c r="G7" i="102"/>
  <c r="F7" i="102"/>
  <c r="H7" i="102" s="1"/>
  <c r="E7" i="102"/>
  <c r="E6" i="102" s="1"/>
  <c r="E33" i="102" s="1"/>
  <c r="X6" i="102"/>
  <c r="X33" i="102" s="1"/>
  <c r="V6" i="102"/>
  <c r="W6" i="102" s="1"/>
  <c r="U6" i="102"/>
  <c r="T6" i="102"/>
  <c r="S6" i="102"/>
  <c r="S33" i="102" s="1"/>
  <c r="Q6" i="102"/>
  <c r="Q33" i="102" s="1"/>
  <c r="P6" i="102"/>
  <c r="P33" i="102" s="1"/>
  <c r="O6" i="102"/>
  <c r="O33" i="102" s="1"/>
  <c r="N6" i="102"/>
  <c r="N33" i="102" s="1"/>
  <c r="L6" i="102"/>
  <c r="M6" i="102" s="1"/>
  <c r="K6" i="102"/>
  <c r="J6" i="102"/>
  <c r="I6" i="102"/>
  <c r="I33" i="102" s="1"/>
  <c r="F6" i="102"/>
  <c r="H6" i="102" l="1"/>
  <c r="F33" i="102"/>
  <c r="M11" i="102"/>
  <c r="V33" i="102"/>
  <c r="R6" i="102"/>
  <c r="H9" i="102"/>
  <c r="G11" i="102"/>
  <c r="H11" i="102" s="1"/>
  <c r="G33" i="102" l="1"/>
  <c r="E72" i="79" l="1"/>
  <c r="D72" i="79"/>
  <c r="B44" i="79"/>
  <c r="A44" i="79"/>
  <c r="B38" i="79"/>
  <c r="B32" i="79"/>
  <c r="D26" i="79"/>
  <c r="C26" i="79"/>
  <c r="B26" i="79"/>
  <c r="E25" i="79"/>
  <c r="E24" i="79"/>
  <c r="E23" i="79"/>
  <c r="E26" i="79" s="1"/>
  <c r="C18" i="79"/>
  <c r="M36" i="100" l="1"/>
  <c r="H36" i="100"/>
  <c r="E36" i="100"/>
  <c r="M35" i="100"/>
  <c r="H35" i="100"/>
  <c r="E35" i="100"/>
  <c r="M34" i="100"/>
  <c r="H34" i="100"/>
  <c r="E34" i="100"/>
  <c r="X33" i="100"/>
  <c r="U33" i="100"/>
  <c r="Q33" i="100"/>
  <c r="P33" i="100"/>
  <c r="O33" i="100"/>
  <c r="I32" i="100"/>
  <c r="G32" i="100"/>
  <c r="F32" i="100"/>
  <c r="E32" i="100"/>
  <c r="I31" i="100"/>
  <c r="G31" i="100"/>
  <c r="F31" i="100"/>
  <c r="E31" i="100"/>
  <c r="I30" i="100"/>
  <c r="G30" i="100"/>
  <c r="F30" i="100"/>
  <c r="E30" i="100"/>
  <c r="M29" i="100"/>
  <c r="I29" i="100"/>
  <c r="G29" i="100"/>
  <c r="H29" i="100" s="1"/>
  <c r="F29" i="100"/>
  <c r="E29" i="100"/>
  <c r="M28" i="100"/>
  <c r="I28" i="100"/>
  <c r="G28" i="100"/>
  <c r="H28" i="100" s="1"/>
  <c r="F28" i="100"/>
  <c r="E28" i="100"/>
  <c r="I27" i="100"/>
  <c r="G27" i="100"/>
  <c r="F27" i="100"/>
  <c r="E27" i="100"/>
  <c r="I26" i="100"/>
  <c r="G26" i="100"/>
  <c r="F26" i="100"/>
  <c r="E26" i="100"/>
  <c r="I25" i="100"/>
  <c r="G25" i="100"/>
  <c r="F25" i="100"/>
  <c r="E25" i="100"/>
  <c r="I24" i="100"/>
  <c r="G24" i="100"/>
  <c r="F24" i="100"/>
  <c r="E24" i="100"/>
  <c r="I23" i="100"/>
  <c r="G23" i="100"/>
  <c r="F23" i="100"/>
  <c r="E23" i="100"/>
  <c r="I22" i="100"/>
  <c r="G22" i="100"/>
  <c r="F22" i="100"/>
  <c r="E22" i="100"/>
  <c r="M21" i="100"/>
  <c r="I21" i="100"/>
  <c r="H21" i="100"/>
  <c r="G21" i="100"/>
  <c r="F21" i="100"/>
  <c r="E21" i="100"/>
  <c r="M20" i="100"/>
  <c r="I20" i="100"/>
  <c r="G20" i="100"/>
  <c r="H20" i="100" s="1"/>
  <c r="F20" i="100"/>
  <c r="E20" i="100"/>
  <c r="M19" i="100"/>
  <c r="I19" i="100"/>
  <c r="G19" i="100"/>
  <c r="H19" i="100" s="1"/>
  <c r="F19" i="100"/>
  <c r="E19" i="100"/>
  <c r="M18" i="100"/>
  <c r="I18" i="100"/>
  <c r="G18" i="100"/>
  <c r="H18" i="100" s="1"/>
  <c r="F18" i="100"/>
  <c r="E18" i="100"/>
  <c r="M17" i="100"/>
  <c r="I17" i="100"/>
  <c r="H17" i="100"/>
  <c r="G17" i="100"/>
  <c r="F17" i="100"/>
  <c r="E17" i="100"/>
  <c r="M16" i="100"/>
  <c r="I16" i="100"/>
  <c r="G16" i="100"/>
  <c r="H16" i="100" s="1"/>
  <c r="F16" i="100"/>
  <c r="E16" i="100"/>
  <c r="M15" i="100"/>
  <c r="I15" i="100"/>
  <c r="G15" i="100"/>
  <c r="H15" i="100" s="1"/>
  <c r="F15" i="100"/>
  <c r="E15" i="100"/>
  <c r="M13" i="100"/>
  <c r="I13" i="100"/>
  <c r="G13" i="100"/>
  <c r="H13" i="100" s="1"/>
  <c r="F13" i="100"/>
  <c r="E13" i="100"/>
  <c r="M12" i="100"/>
  <c r="I12" i="100"/>
  <c r="I11" i="100" s="1"/>
  <c r="H12" i="100"/>
  <c r="G12" i="100"/>
  <c r="F12" i="100"/>
  <c r="E12" i="100"/>
  <c r="E11" i="100" s="1"/>
  <c r="W11" i="100"/>
  <c r="V11" i="100"/>
  <c r="U11" i="100"/>
  <c r="T11" i="100"/>
  <c r="S11" i="100"/>
  <c r="R11" i="100"/>
  <c r="Q11" i="100"/>
  <c r="P11" i="100"/>
  <c r="O11" i="100"/>
  <c r="N11" i="100"/>
  <c r="L11" i="100"/>
  <c r="M11" i="100" s="1"/>
  <c r="K11" i="100"/>
  <c r="J11" i="100"/>
  <c r="F11" i="100"/>
  <c r="M9" i="100"/>
  <c r="I9" i="100"/>
  <c r="I6" i="100" s="1"/>
  <c r="G9" i="100"/>
  <c r="H9" i="100" s="1"/>
  <c r="F9" i="100"/>
  <c r="E9" i="100"/>
  <c r="E6" i="100" s="1"/>
  <c r="E33" i="100" s="1"/>
  <c r="M7" i="100"/>
  <c r="I7" i="100"/>
  <c r="G7" i="100"/>
  <c r="H7" i="100" s="1"/>
  <c r="F7" i="100"/>
  <c r="E7" i="100"/>
  <c r="X6" i="100"/>
  <c r="W6" i="100"/>
  <c r="W33" i="100" s="1"/>
  <c r="V6" i="100"/>
  <c r="V33" i="100" s="1"/>
  <c r="U6" i="100"/>
  <c r="T6" i="100"/>
  <c r="T33" i="100" s="1"/>
  <c r="S6" i="100"/>
  <c r="S33" i="100" s="1"/>
  <c r="R6" i="100"/>
  <c r="Q6" i="100"/>
  <c r="P6" i="100"/>
  <c r="O6" i="100"/>
  <c r="N6" i="100"/>
  <c r="N33" i="100" s="1"/>
  <c r="L6" i="100"/>
  <c r="M6" i="100" s="1"/>
  <c r="K6" i="100"/>
  <c r="K33" i="100" s="1"/>
  <c r="J6" i="100"/>
  <c r="J33" i="100" s="1"/>
  <c r="F6" i="100"/>
  <c r="F33" i="100" s="1"/>
  <c r="I33" i="100" l="1"/>
  <c r="G6" i="100"/>
  <c r="G11" i="100"/>
  <c r="H11" i="100" s="1"/>
  <c r="L33" i="100"/>
  <c r="G33" i="100" l="1"/>
  <c r="H6" i="100"/>
  <c r="E113" i="103" l="1"/>
  <c r="D113" i="103"/>
  <c r="B51" i="103"/>
  <c r="A51" i="103"/>
  <c r="B43" i="103"/>
  <c r="B35" i="103"/>
  <c r="E27" i="103"/>
  <c r="D27" i="103"/>
  <c r="C27" i="103"/>
  <c r="B27" i="103"/>
  <c r="E26" i="103"/>
  <c r="E25" i="103"/>
  <c r="E24" i="103"/>
  <c r="E23" i="103"/>
  <c r="C18" i="103"/>
  <c r="C6" i="103"/>
  <c r="W37" i="99" l="1"/>
  <c r="R37" i="99"/>
  <c r="M37" i="99"/>
  <c r="H37" i="99"/>
  <c r="W36" i="99"/>
  <c r="R36" i="99"/>
  <c r="M36" i="99"/>
  <c r="H36" i="99"/>
  <c r="W35" i="99"/>
  <c r="R35" i="99"/>
  <c r="M35" i="99"/>
  <c r="H35" i="99"/>
  <c r="W34" i="99"/>
  <c r="R34" i="99"/>
  <c r="M34" i="99"/>
  <c r="H34" i="99"/>
  <c r="W32" i="99"/>
  <c r="R32" i="99"/>
  <c r="N32" i="99"/>
  <c r="L32" i="99"/>
  <c r="G32" i="99" s="1"/>
  <c r="K32" i="99"/>
  <c r="F32" i="99" s="1"/>
  <c r="J32" i="99"/>
  <c r="I32" i="99"/>
  <c r="E32" i="99"/>
  <c r="W31" i="99"/>
  <c r="R31" i="99"/>
  <c r="N31" i="99"/>
  <c r="L31" i="99"/>
  <c r="M31" i="99" s="1"/>
  <c r="K31" i="99"/>
  <c r="F31" i="99" s="1"/>
  <c r="J31" i="99"/>
  <c r="I31" i="99"/>
  <c r="G31" i="99"/>
  <c r="E31" i="99"/>
  <c r="W30" i="99"/>
  <c r="R30" i="99"/>
  <c r="N30" i="99"/>
  <c r="L30" i="99"/>
  <c r="G30" i="99" s="1"/>
  <c r="K30" i="99"/>
  <c r="F30" i="99" s="1"/>
  <c r="J30" i="99"/>
  <c r="I30" i="99"/>
  <c r="E30" i="99"/>
  <c r="W29" i="99"/>
  <c r="R29" i="99"/>
  <c r="M29" i="99"/>
  <c r="H29" i="99"/>
  <c r="W28" i="99"/>
  <c r="R28" i="99"/>
  <c r="M28" i="99"/>
  <c r="H28" i="99"/>
  <c r="W27" i="99"/>
  <c r="R27" i="99"/>
  <c r="N27" i="99"/>
  <c r="L27" i="99"/>
  <c r="M27" i="99" s="1"/>
  <c r="K27" i="99"/>
  <c r="F27" i="99" s="1"/>
  <c r="J27" i="99"/>
  <c r="I27" i="99"/>
  <c r="G27" i="99"/>
  <c r="H27" i="99" s="1"/>
  <c r="E27" i="99"/>
  <c r="W26" i="99"/>
  <c r="R26" i="99"/>
  <c r="M26" i="99"/>
  <c r="H26" i="99"/>
  <c r="W25" i="99"/>
  <c r="R25" i="99"/>
  <c r="L25" i="99"/>
  <c r="M25" i="99" s="1"/>
  <c r="K25" i="99"/>
  <c r="F25" i="99" s="1"/>
  <c r="J25" i="99"/>
  <c r="G25" i="99"/>
  <c r="E25" i="99"/>
  <c r="W24" i="99"/>
  <c r="R24" i="99"/>
  <c r="N24" i="99"/>
  <c r="L24" i="99"/>
  <c r="K24" i="99"/>
  <c r="M24" i="99" s="1"/>
  <c r="J24" i="99"/>
  <c r="E24" i="99" s="1"/>
  <c r="I24" i="99"/>
  <c r="G24" i="99"/>
  <c r="H24" i="99" s="1"/>
  <c r="F24" i="99"/>
  <c r="W23" i="99"/>
  <c r="R23" i="99"/>
  <c r="N23" i="99"/>
  <c r="N11" i="99" s="1"/>
  <c r="M23" i="99"/>
  <c r="L23" i="99"/>
  <c r="K23" i="99"/>
  <c r="J23" i="99"/>
  <c r="G23" i="99"/>
  <c r="H23" i="99" s="1"/>
  <c r="F23" i="99"/>
  <c r="E23" i="99"/>
  <c r="W22" i="99"/>
  <c r="R22" i="99"/>
  <c r="M22" i="99"/>
  <c r="H22" i="99"/>
  <c r="W21" i="99"/>
  <c r="R21" i="99"/>
  <c r="M21" i="99"/>
  <c r="H21" i="99"/>
  <c r="W20" i="99"/>
  <c r="R20" i="99"/>
  <c r="M20" i="99"/>
  <c r="H20" i="99"/>
  <c r="W19" i="99"/>
  <c r="R19" i="99"/>
  <c r="M19" i="99"/>
  <c r="H19" i="99"/>
  <c r="W18" i="99"/>
  <c r="R18" i="99"/>
  <c r="M18" i="99"/>
  <c r="H18" i="99"/>
  <c r="W17" i="99"/>
  <c r="R17" i="99"/>
  <c r="M17" i="99"/>
  <c r="H17" i="99"/>
  <c r="W16" i="99"/>
  <c r="R16" i="99"/>
  <c r="M16" i="99"/>
  <c r="H16" i="99"/>
  <c r="W15" i="99"/>
  <c r="R15" i="99"/>
  <c r="M15" i="99"/>
  <c r="H15" i="99"/>
  <c r="W14" i="99"/>
  <c r="R14" i="99"/>
  <c r="M14" i="99"/>
  <c r="J14" i="99"/>
  <c r="J11" i="99" s="1"/>
  <c r="H14" i="99"/>
  <c r="E14" i="99"/>
  <c r="E11" i="99" s="1"/>
  <c r="W13" i="99"/>
  <c r="R13" i="99"/>
  <c r="M13" i="99"/>
  <c r="H13" i="99"/>
  <c r="W12" i="99"/>
  <c r="R12" i="99"/>
  <c r="M12" i="99"/>
  <c r="H12" i="99"/>
  <c r="X11" i="99"/>
  <c r="W11" i="99"/>
  <c r="V11" i="99"/>
  <c r="U11" i="99"/>
  <c r="T11" i="99"/>
  <c r="T33" i="99" s="1"/>
  <c r="S11" i="99"/>
  <c r="Q11" i="99"/>
  <c r="Q33" i="99" s="1"/>
  <c r="R33" i="99" s="1"/>
  <c r="P11" i="99"/>
  <c r="O11" i="99"/>
  <c r="O33" i="99" s="1"/>
  <c r="L11" i="99"/>
  <c r="W10" i="99"/>
  <c r="R10" i="99"/>
  <c r="M10" i="99"/>
  <c r="H10" i="99"/>
  <c r="W9" i="99"/>
  <c r="R9" i="99"/>
  <c r="M9" i="99"/>
  <c r="H9" i="99"/>
  <c r="W8" i="99"/>
  <c r="R8" i="99"/>
  <c r="M8" i="99"/>
  <c r="H8" i="99"/>
  <c r="W7" i="99"/>
  <c r="R7" i="99"/>
  <c r="M7" i="99"/>
  <c r="H7" i="99"/>
  <c r="X6" i="99"/>
  <c r="X33" i="99" s="1"/>
  <c r="V6" i="99"/>
  <c r="V33" i="99" s="1"/>
  <c r="W33" i="99" s="1"/>
  <c r="U6" i="99"/>
  <c r="U33" i="99" s="1"/>
  <c r="T6" i="99"/>
  <c r="S6" i="99"/>
  <c r="S33" i="99" s="1"/>
  <c r="Q6" i="99"/>
  <c r="R6" i="99" s="1"/>
  <c r="P6" i="99"/>
  <c r="P33" i="99" s="1"/>
  <c r="O6" i="99"/>
  <c r="N6" i="99"/>
  <c r="N33" i="99" s="1"/>
  <c r="L6" i="99"/>
  <c r="K6" i="99"/>
  <c r="J6" i="99"/>
  <c r="J33" i="99" s="1"/>
  <c r="I6" i="99"/>
  <c r="H6" i="99"/>
  <c r="G6" i="99"/>
  <c r="F6" i="99"/>
  <c r="E6" i="99"/>
  <c r="E33" i="99" s="1"/>
  <c r="F33" i="99" l="1"/>
  <c r="M11" i="99"/>
  <c r="H31" i="99"/>
  <c r="F11" i="99"/>
  <c r="H30" i="99"/>
  <c r="G11" i="99"/>
  <c r="H25" i="99"/>
  <c r="H32" i="99"/>
  <c r="K33" i="99"/>
  <c r="M30" i="99"/>
  <c r="M32" i="99"/>
  <c r="R11" i="99"/>
  <c r="M6" i="99"/>
  <c r="W6" i="99"/>
  <c r="K11" i="99"/>
  <c r="I23" i="99"/>
  <c r="I11" i="99" s="1"/>
  <c r="I33" i="99" s="1"/>
  <c r="L33" i="99"/>
  <c r="M33" i="99" s="1"/>
  <c r="H11" i="99" l="1"/>
  <c r="G33" i="99"/>
  <c r="H33" i="99" s="1"/>
  <c r="E69" i="78" l="1"/>
  <c r="D69" i="78"/>
  <c r="B39" i="78"/>
  <c r="B33" i="78"/>
  <c r="E27" i="78"/>
  <c r="D27" i="78"/>
  <c r="C27" i="78"/>
  <c r="B27" i="78"/>
  <c r="E26" i="78"/>
  <c r="E25" i="78"/>
  <c r="E24" i="78"/>
  <c r="E23" i="78"/>
  <c r="C18" i="78"/>
  <c r="C6" i="78"/>
  <c r="W37" i="98" l="1"/>
  <c r="R37" i="98"/>
  <c r="M37" i="98"/>
  <c r="H37" i="98"/>
  <c r="W36" i="98"/>
  <c r="R36" i="98"/>
  <c r="M36" i="98"/>
  <c r="H36" i="98"/>
  <c r="W35" i="98"/>
  <c r="R35" i="98"/>
  <c r="M35" i="98"/>
  <c r="H35" i="98"/>
  <c r="W34" i="98"/>
  <c r="R34" i="98"/>
  <c r="M34" i="98"/>
  <c r="H34" i="98"/>
  <c r="W32" i="98"/>
  <c r="R32" i="98"/>
  <c r="M32" i="98"/>
  <c r="I32" i="98"/>
  <c r="G32" i="98"/>
  <c r="H32" i="98" s="1"/>
  <c r="F32" i="98"/>
  <c r="E32" i="98"/>
  <c r="W31" i="98"/>
  <c r="R31" i="98"/>
  <c r="M31" i="98"/>
  <c r="I31" i="98"/>
  <c r="G31" i="98"/>
  <c r="H31" i="98" s="1"/>
  <c r="F31" i="98"/>
  <c r="E31" i="98"/>
  <c r="W30" i="98"/>
  <c r="R30" i="98"/>
  <c r="M30" i="98"/>
  <c r="I30" i="98"/>
  <c r="G30" i="98"/>
  <c r="H30" i="98" s="1"/>
  <c r="F30" i="98"/>
  <c r="E30" i="98"/>
  <c r="W29" i="98"/>
  <c r="R29" i="98"/>
  <c r="M29" i="98"/>
  <c r="I29" i="98"/>
  <c r="G29" i="98"/>
  <c r="H29" i="98" s="1"/>
  <c r="F29" i="98"/>
  <c r="E29" i="98"/>
  <c r="W28" i="98"/>
  <c r="R28" i="98"/>
  <c r="M28" i="98"/>
  <c r="I28" i="98"/>
  <c r="G28" i="98"/>
  <c r="H28" i="98" s="1"/>
  <c r="F28" i="98"/>
  <c r="E28" i="98"/>
  <c r="W27" i="98"/>
  <c r="R27" i="98"/>
  <c r="M27" i="98"/>
  <c r="I27" i="98"/>
  <c r="G27" i="98"/>
  <c r="H27" i="98" s="1"/>
  <c r="F27" i="98"/>
  <c r="E27" i="98"/>
  <c r="W26" i="98"/>
  <c r="R26" i="98"/>
  <c r="M26" i="98"/>
  <c r="I26" i="98"/>
  <c r="G26" i="98"/>
  <c r="H26" i="98" s="1"/>
  <c r="F26" i="98"/>
  <c r="E26" i="98"/>
  <c r="W25" i="98"/>
  <c r="R25" i="98"/>
  <c r="M25" i="98"/>
  <c r="I25" i="98"/>
  <c r="G25" i="98"/>
  <c r="H25" i="98" s="1"/>
  <c r="F25" i="98"/>
  <c r="E25" i="98"/>
  <c r="W24" i="98"/>
  <c r="R24" i="98"/>
  <c r="M24" i="98"/>
  <c r="I24" i="98"/>
  <c r="G24" i="98"/>
  <c r="H24" i="98" s="1"/>
  <c r="F24" i="98"/>
  <c r="E24" i="98"/>
  <c r="W23" i="98"/>
  <c r="R23" i="98"/>
  <c r="M23" i="98"/>
  <c r="I23" i="98"/>
  <c r="G23" i="98"/>
  <c r="H23" i="98" s="1"/>
  <c r="F23" i="98"/>
  <c r="E23" i="98"/>
  <c r="W22" i="98"/>
  <c r="R22" i="98"/>
  <c r="M22" i="98"/>
  <c r="I22" i="98"/>
  <c r="G22" i="98"/>
  <c r="H22" i="98" s="1"/>
  <c r="F22" i="98"/>
  <c r="E22" i="98"/>
  <c r="W21" i="98"/>
  <c r="R21" i="98"/>
  <c r="M21" i="98"/>
  <c r="I21" i="98"/>
  <c r="G21" i="98"/>
  <c r="H21" i="98" s="1"/>
  <c r="F21" i="98"/>
  <c r="E21" i="98"/>
  <c r="W20" i="98"/>
  <c r="R20" i="98"/>
  <c r="M20" i="98"/>
  <c r="I20" i="98"/>
  <c r="G20" i="98"/>
  <c r="H20" i="98" s="1"/>
  <c r="F20" i="98"/>
  <c r="E20" i="98"/>
  <c r="W19" i="98"/>
  <c r="R19" i="98"/>
  <c r="M19" i="98"/>
  <c r="I19" i="98"/>
  <c r="G19" i="98"/>
  <c r="H19" i="98" s="1"/>
  <c r="F19" i="98"/>
  <c r="E19" i="98"/>
  <c r="W18" i="98"/>
  <c r="R18" i="98"/>
  <c r="M18" i="98"/>
  <c r="I18" i="98"/>
  <c r="G18" i="98"/>
  <c r="H18" i="98" s="1"/>
  <c r="F18" i="98"/>
  <c r="E18" i="98"/>
  <c r="W17" i="98"/>
  <c r="R17" i="98"/>
  <c r="M17" i="98"/>
  <c r="I17" i="98"/>
  <c r="G17" i="98"/>
  <c r="H17" i="98" s="1"/>
  <c r="F17" i="98"/>
  <c r="E17" i="98"/>
  <c r="W16" i="98"/>
  <c r="R16" i="98"/>
  <c r="M16" i="98"/>
  <c r="I16" i="98"/>
  <c r="G16" i="98"/>
  <c r="H16" i="98" s="1"/>
  <c r="F16" i="98"/>
  <c r="E16" i="98"/>
  <c r="W15" i="98"/>
  <c r="R15" i="98"/>
  <c r="M15" i="98"/>
  <c r="I15" i="98"/>
  <c r="G15" i="98"/>
  <c r="H15" i="98" s="1"/>
  <c r="F15" i="98"/>
  <c r="E15" i="98"/>
  <c r="W14" i="98"/>
  <c r="R14" i="98"/>
  <c r="M14" i="98"/>
  <c r="I14" i="98"/>
  <c r="G14" i="98"/>
  <c r="H14" i="98" s="1"/>
  <c r="F14" i="98"/>
  <c r="E14" i="98"/>
  <c r="W13" i="98"/>
  <c r="R13" i="98"/>
  <c r="M13" i="98"/>
  <c r="I13" i="98"/>
  <c r="G13" i="98"/>
  <c r="H13" i="98" s="1"/>
  <c r="F13" i="98"/>
  <c r="E13" i="98"/>
  <c r="W12" i="98"/>
  <c r="R12" i="98"/>
  <c r="M12" i="98"/>
  <c r="I12" i="98"/>
  <c r="I11" i="98" s="1"/>
  <c r="G12" i="98"/>
  <c r="H12" i="98" s="1"/>
  <c r="F12" i="98"/>
  <c r="E12" i="98"/>
  <c r="X11" i="98"/>
  <c r="V11" i="98"/>
  <c r="U11" i="98"/>
  <c r="W11" i="98" s="1"/>
  <c r="T11" i="98"/>
  <c r="S11" i="98"/>
  <c r="Q11" i="98"/>
  <c r="R11" i="98" s="1"/>
  <c r="P11" i="98"/>
  <c r="O11" i="98"/>
  <c r="N11" i="98"/>
  <c r="M11" i="98"/>
  <c r="L11" i="98"/>
  <c r="K11" i="98"/>
  <c r="J11" i="98"/>
  <c r="G11" i="98"/>
  <c r="H11" i="98" s="1"/>
  <c r="F11" i="98"/>
  <c r="E11" i="98"/>
  <c r="W10" i="98"/>
  <c r="R10" i="98"/>
  <c r="M10" i="98"/>
  <c r="I10" i="98"/>
  <c r="G10" i="98"/>
  <c r="H10" i="98" s="1"/>
  <c r="F10" i="98"/>
  <c r="E10" i="98"/>
  <c r="W9" i="98"/>
  <c r="R9" i="98"/>
  <c r="M9" i="98"/>
  <c r="I9" i="98"/>
  <c r="G9" i="98"/>
  <c r="H9" i="98" s="1"/>
  <c r="F9" i="98"/>
  <c r="E9" i="98"/>
  <c r="W8" i="98"/>
  <c r="R8" i="98"/>
  <c r="M8" i="98"/>
  <c r="I8" i="98"/>
  <c r="G8" i="98"/>
  <c r="H8" i="98" s="1"/>
  <c r="F8" i="98"/>
  <c r="E8" i="98"/>
  <c r="W7" i="98"/>
  <c r="R7" i="98"/>
  <c r="M7" i="98"/>
  <c r="I7" i="98"/>
  <c r="G7" i="98"/>
  <c r="G6" i="98" s="1"/>
  <c r="F7" i="98"/>
  <c r="F6" i="98" s="1"/>
  <c r="F33" i="98" s="1"/>
  <c r="E7" i="98"/>
  <c r="E6" i="98" s="1"/>
  <c r="E33" i="98" s="1"/>
  <c r="X6" i="98"/>
  <c r="X33" i="98" s="1"/>
  <c r="W6" i="98"/>
  <c r="V6" i="98"/>
  <c r="V33" i="98" s="1"/>
  <c r="U6" i="98"/>
  <c r="U33" i="98" s="1"/>
  <c r="T6" i="98"/>
  <c r="T33" i="98" s="1"/>
  <c r="S6" i="98"/>
  <c r="S33" i="98" s="1"/>
  <c r="Q6" i="98"/>
  <c r="R6" i="98" s="1"/>
  <c r="P6" i="98"/>
  <c r="P33" i="98" s="1"/>
  <c r="O6" i="98"/>
  <c r="O33" i="98" s="1"/>
  <c r="N6" i="98"/>
  <c r="N33" i="98" s="1"/>
  <c r="L6" i="98"/>
  <c r="M6" i="98" s="1"/>
  <c r="K6" i="98"/>
  <c r="K33" i="98" s="1"/>
  <c r="J6" i="98"/>
  <c r="J33" i="98" s="1"/>
  <c r="I6" i="98"/>
  <c r="I33" i="98" l="1"/>
  <c r="W33" i="98"/>
  <c r="H6" i="98"/>
  <c r="G33" i="98"/>
  <c r="H33" i="98" s="1"/>
  <c r="Q33" i="98"/>
  <c r="R33" i="98" s="1"/>
  <c r="H7" i="98"/>
  <c r="L33" i="98"/>
  <c r="M33" i="98" s="1"/>
  <c r="AB37" i="97" l="1"/>
  <c r="W37" i="97"/>
  <c r="R37" i="97"/>
  <c r="M37" i="97"/>
  <c r="H37" i="97"/>
  <c r="AB36" i="97"/>
  <c r="W36" i="97"/>
  <c r="R36" i="97"/>
  <c r="M36" i="97"/>
  <c r="H36" i="97"/>
  <c r="AB35" i="97"/>
  <c r="W35" i="97"/>
  <c r="R35" i="97"/>
  <c r="M35" i="97"/>
  <c r="H35" i="97"/>
  <c r="AC34" i="97"/>
  <c r="AA34" i="97"/>
  <c r="AB34" i="97" s="1"/>
  <c r="Z34" i="97"/>
  <c r="Y34" i="97"/>
  <c r="W34" i="97"/>
  <c r="R34" i="97"/>
  <c r="Q34" i="97"/>
  <c r="P34" i="97"/>
  <c r="N34" i="97"/>
  <c r="L34" i="97"/>
  <c r="K34" i="97"/>
  <c r="M34" i="97" s="1"/>
  <c r="J34" i="97"/>
  <c r="H34" i="97"/>
  <c r="V33" i="97"/>
  <c r="AB32" i="97"/>
  <c r="W32" i="97"/>
  <c r="R32" i="97"/>
  <c r="M32" i="97"/>
  <c r="I32" i="97"/>
  <c r="G32" i="97"/>
  <c r="H32" i="97" s="1"/>
  <c r="F32" i="97"/>
  <c r="E32" i="97"/>
  <c r="AB31" i="97"/>
  <c r="W31" i="97"/>
  <c r="R31" i="97"/>
  <c r="M31" i="97"/>
  <c r="I31" i="97"/>
  <c r="G31" i="97"/>
  <c r="H31" i="97" s="1"/>
  <c r="F31" i="97"/>
  <c r="E31" i="97"/>
  <c r="AB30" i="97"/>
  <c r="W30" i="97"/>
  <c r="R30" i="97"/>
  <c r="M30" i="97"/>
  <c r="I30" i="97"/>
  <c r="H30" i="97"/>
  <c r="G30" i="97"/>
  <c r="F30" i="97"/>
  <c r="E30" i="97"/>
  <c r="AB29" i="97"/>
  <c r="W29" i="97"/>
  <c r="R29" i="97"/>
  <c r="K29" i="97"/>
  <c r="F29" i="97" s="1"/>
  <c r="H29" i="97" s="1"/>
  <c r="I29" i="97"/>
  <c r="G29" i="97"/>
  <c r="E29" i="97"/>
  <c r="AB28" i="97"/>
  <c r="W28" i="97"/>
  <c r="R28" i="97"/>
  <c r="M28" i="97"/>
  <c r="K28" i="97"/>
  <c r="I28" i="97"/>
  <c r="G28" i="97"/>
  <c r="H28" i="97" s="1"/>
  <c r="F28" i="97"/>
  <c r="E28" i="97"/>
  <c r="AB27" i="97"/>
  <c r="W27" i="97"/>
  <c r="R27" i="97"/>
  <c r="M27" i="97"/>
  <c r="I27" i="97"/>
  <c r="G27" i="97"/>
  <c r="H27" i="97" s="1"/>
  <c r="F27" i="97"/>
  <c r="E27" i="97"/>
  <c r="AB26" i="97"/>
  <c r="AA26" i="97"/>
  <c r="W26" i="97"/>
  <c r="R26" i="97"/>
  <c r="M26" i="97"/>
  <c r="I26" i="97"/>
  <c r="G26" i="97"/>
  <c r="H26" i="97" s="1"/>
  <c r="F26" i="97"/>
  <c r="E26" i="97"/>
  <c r="AB25" i="97"/>
  <c r="W25" i="97"/>
  <c r="R25" i="97"/>
  <c r="M25" i="97"/>
  <c r="I25" i="97"/>
  <c r="H25" i="97"/>
  <c r="G25" i="97"/>
  <c r="F25" i="97"/>
  <c r="E25" i="97"/>
  <c r="AB24" i="97"/>
  <c r="W24" i="97"/>
  <c r="R24" i="97"/>
  <c r="M24" i="97"/>
  <c r="I24" i="97"/>
  <c r="H24" i="97"/>
  <c r="G24" i="97"/>
  <c r="F24" i="97"/>
  <c r="E24" i="97"/>
  <c r="AB23" i="97"/>
  <c r="W23" i="97"/>
  <c r="R23" i="97"/>
  <c r="M23" i="97"/>
  <c r="I23" i="97"/>
  <c r="G23" i="97"/>
  <c r="H23" i="97" s="1"/>
  <c r="F23" i="97"/>
  <c r="E23" i="97"/>
  <c r="AC22" i="97"/>
  <c r="AA22" i="97"/>
  <c r="AA11" i="97" s="1"/>
  <c r="AB11" i="97" s="1"/>
  <c r="W22" i="97"/>
  <c r="R22" i="97"/>
  <c r="M22" i="97"/>
  <c r="I22" i="97"/>
  <c r="G22" i="97"/>
  <c r="H22" i="97" s="1"/>
  <c r="F22" i="97"/>
  <c r="E22" i="97"/>
  <c r="AC21" i="97"/>
  <c r="AC11" i="97" s="1"/>
  <c r="AB21" i="97"/>
  <c r="X21" i="97"/>
  <c r="I21" i="97" s="1"/>
  <c r="W21" i="97"/>
  <c r="T21" i="97"/>
  <c r="R21" i="97"/>
  <c r="N21" i="97"/>
  <c r="M21" i="97"/>
  <c r="L21" i="97"/>
  <c r="G21" i="97" s="1"/>
  <c r="H21" i="97" s="1"/>
  <c r="F21" i="97"/>
  <c r="E21" i="97"/>
  <c r="AC20" i="97"/>
  <c r="AB20" i="97"/>
  <c r="X20" i="97"/>
  <c r="I20" i="97" s="1"/>
  <c r="V20" i="97"/>
  <c r="W20" i="97" s="1"/>
  <c r="T20" i="97"/>
  <c r="Q20" i="97"/>
  <c r="R20" i="97" s="1"/>
  <c r="N20" i="97"/>
  <c r="M20" i="97"/>
  <c r="L20" i="97"/>
  <c r="G20" i="97" s="1"/>
  <c r="H20" i="97" s="1"/>
  <c r="F20" i="97"/>
  <c r="E20" i="97"/>
  <c r="AB19" i="97"/>
  <c r="X19" i="97"/>
  <c r="I19" i="97" s="1"/>
  <c r="I11" i="97" s="1"/>
  <c r="W19" i="97"/>
  <c r="T19" i="97"/>
  <c r="R19" i="97"/>
  <c r="M19" i="97"/>
  <c r="G19" i="97"/>
  <c r="H19" i="97" s="1"/>
  <c r="F19" i="97"/>
  <c r="E19" i="97"/>
  <c r="AB18" i="97"/>
  <c r="U18" i="97"/>
  <c r="W18" i="97" s="1"/>
  <c r="T18" i="97"/>
  <c r="R18" i="97"/>
  <c r="M18" i="97"/>
  <c r="I18" i="97"/>
  <c r="H18" i="97"/>
  <c r="G18" i="97"/>
  <c r="F18" i="97"/>
  <c r="E18" i="97"/>
  <c r="AB17" i="97"/>
  <c r="W17" i="97"/>
  <c r="R17" i="97"/>
  <c r="M17" i="97"/>
  <c r="I17" i="97"/>
  <c r="G17" i="97"/>
  <c r="H17" i="97" s="1"/>
  <c r="F17" i="97"/>
  <c r="E17" i="97"/>
  <c r="AB16" i="97"/>
  <c r="W16" i="97"/>
  <c r="R16" i="97"/>
  <c r="M16" i="97"/>
  <c r="I16" i="97"/>
  <c r="G16" i="97"/>
  <c r="H16" i="97" s="1"/>
  <c r="F16" i="97"/>
  <c r="E16" i="97"/>
  <c r="AB15" i="97"/>
  <c r="W15" i="97"/>
  <c r="R15" i="97"/>
  <c r="M15" i="97"/>
  <c r="I15" i="97"/>
  <c r="G15" i="97"/>
  <c r="H15" i="97" s="1"/>
  <c r="F15" i="97"/>
  <c r="E15" i="97"/>
  <c r="AB14" i="97"/>
  <c r="W14" i="97"/>
  <c r="R14" i="97"/>
  <c r="M14" i="97"/>
  <c r="I14" i="97"/>
  <c r="G14" i="97"/>
  <c r="H14" i="97" s="1"/>
  <c r="E14" i="97"/>
  <c r="AB13" i="97"/>
  <c r="W13" i="97"/>
  <c r="R13" i="97"/>
  <c r="K13" i="97"/>
  <c r="M13" i="97" s="1"/>
  <c r="I13" i="97"/>
  <c r="G13" i="97"/>
  <c r="H13" i="97" s="1"/>
  <c r="F13" i="97"/>
  <c r="E13" i="97"/>
  <c r="E11" i="97" s="1"/>
  <c r="AB12" i="97"/>
  <c r="W12" i="97"/>
  <c r="T12" i="97"/>
  <c r="R12" i="97"/>
  <c r="M12" i="97"/>
  <c r="I12" i="97"/>
  <c r="H12" i="97"/>
  <c r="G12" i="97"/>
  <c r="G11" i="97" s="1"/>
  <c r="F12" i="97"/>
  <c r="E12" i="97"/>
  <c r="Z11" i="97"/>
  <c r="Y11" i="97"/>
  <c r="X11" i="97"/>
  <c r="V11" i="97"/>
  <c r="W11" i="97" s="1"/>
  <c r="U11" i="97"/>
  <c r="T11" i="97"/>
  <c r="S11" i="97"/>
  <c r="Q11" i="97"/>
  <c r="R11" i="97" s="1"/>
  <c r="P11" i="97"/>
  <c r="O11" i="97"/>
  <c r="N11" i="97"/>
  <c r="J11" i="97"/>
  <c r="AB10" i="97"/>
  <c r="W10" i="97"/>
  <c r="R10" i="97"/>
  <c r="M10" i="97"/>
  <c r="H10" i="97"/>
  <c r="G10" i="97"/>
  <c r="F10" i="97"/>
  <c r="E10" i="97"/>
  <c r="AB9" i="97"/>
  <c r="W9" i="97"/>
  <c r="T9" i="97"/>
  <c r="R9" i="97"/>
  <c r="M9" i="97"/>
  <c r="I9" i="97"/>
  <c r="G9" i="97"/>
  <c r="H9" i="97" s="1"/>
  <c r="F9" i="97"/>
  <c r="E9" i="97"/>
  <c r="AB8" i="97"/>
  <c r="W8" i="97"/>
  <c r="R8" i="97"/>
  <c r="R6" i="97" s="1"/>
  <c r="N8" i="97"/>
  <c r="I8" i="97" s="1"/>
  <c r="L8" i="97"/>
  <c r="M8" i="97" s="1"/>
  <c r="F8" i="97"/>
  <c r="F6" i="97" s="1"/>
  <c r="E8" i="97"/>
  <c r="E6" i="97" s="1"/>
  <c r="AC7" i="97"/>
  <c r="AC6" i="97" s="1"/>
  <c r="AC33" i="97" s="1"/>
  <c r="AA7" i="97"/>
  <c r="AB7" i="97" s="1"/>
  <c r="W7" i="97"/>
  <c r="R7" i="97"/>
  <c r="N7" i="97"/>
  <c r="M7" i="97"/>
  <c r="L7" i="97"/>
  <c r="G7" i="97" s="1"/>
  <c r="I7" i="97"/>
  <c r="F7" i="97"/>
  <c r="E7" i="97"/>
  <c r="AB6" i="97"/>
  <c r="AA6" i="97"/>
  <c r="AA33" i="97" s="1"/>
  <c r="Z6" i="97"/>
  <c r="Z33" i="97" s="1"/>
  <c r="Y6" i="97"/>
  <c r="Y33" i="97" s="1"/>
  <c r="X6" i="97"/>
  <c r="X33" i="97" s="1"/>
  <c r="V6" i="97"/>
  <c r="W6" i="97" s="1"/>
  <c r="U6" i="97"/>
  <c r="U33" i="97" s="1"/>
  <c r="T6" i="97"/>
  <c r="T33" i="97" s="1"/>
  <c r="S6" i="97"/>
  <c r="S33" i="97" s="1"/>
  <c r="Q6" i="97"/>
  <c r="P6" i="97"/>
  <c r="P33" i="97" s="1"/>
  <c r="R33" i="97" s="1"/>
  <c r="O6" i="97"/>
  <c r="O33" i="97" s="1"/>
  <c r="L6" i="97"/>
  <c r="M6" i="97" s="1"/>
  <c r="K6" i="97"/>
  <c r="J6" i="97"/>
  <c r="J33" i="97" s="1"/>
  <c r="F11" i="97" l="1"/>
  <c r="H11" i="97" s="1"/>
  <c r="K33" i="97"/>
  <c r="I6" i="97"/>
  <c r="I33" i="97" s="1"/>
  <c r="E33" i="97"/>
  <c r="H7" i="97"/>
  <c r="G6" i="97"/>
  <c r="W33" i="97"/>
  <c r="AB33" i="97"/>
  <c r="L33" i="97"/>
  <c r="M33" i="97" s="1"/>
  <c r="G8" i="97"/>
  <c r="H8" i="97" s="1"/>
  <c r="AB22" i="97"/>
  <c r="M29" i="97"/>
  <c r="N6" i="97"/>
  <c r="N33" i="97" s="1"/>
  <c r="K11" i="97"/>
  <c r="L11" i="97"/>
  <c r="M11" i="97" s="1"/>
  <c r="F33" i="97" l="1"/>
  <c r="H6" i="97"/>
  <c r="G33" i="97"/>
  <c r="H33" i="97" s="1"/>
  <c r="E116" i="76" l="1"/>
  <c r="D116" i="76"/>
  <c r="B51" i="76"/>
  <c r="B43" i="76"/>
  <c r="B35" i="76"/>
  <c r="D27" i="76"/>
  <c r="C27" i="76"/>
  <c r="B27" i="76"/>
  <c r="E26" i="76"/>
  <c r="E25" i="76"/>
  <c r="E24" i="76"/>
  <c r="E23" i="76"/>
  <c r="E27" i="76" s="1"/>
  <c r="C18" i="76"/>
  <c r="C6" i="76"/>
  <c r="O33" i="96" l="1"/>
  <c r="M29" i="96"/>
  <c r="I29" i="96"/>
  <c r="H29" i="96"/>
  <c r="G29" i="96"/>
  <c r="F29" i="96"/>
  <c r="E29" i="96"/>
  <c r="R28" i="96"/>
  <c r="M28" i="96"/>
  <c r="H28" i="96"/>
  <c r="M26" i="96"/>
  <c r="I26" i="96"/>
  <c r="G26" i="96"/>
  <c r="H26" i="96" s="1"/>
  <c r="F26" i="96"/>
  <c r="E26" i="96"/>
  <c r="M22" i="96"/>
  <c r="I22" i="96"/>
  <c r="H22" i="96"/>
  <c r="F22" i="96"/>
  <c r="E22" i="96"/>
  <c r="R21" i="96"/>
  <c r="M21" i="96"/>
  <c r="I21" i="96"/>
  <c r="H21" i="96"/>
  <c r="G21" i="96"/>
  <c r="F21" i="96"/>
  <c r="E21" i="96"/>
  <c r="R20" i="96"/>
  <c r="M20" i="96"/>
  <c r="I20" i="96"/>
  <c r="G20" i="96"/>
  <c r="H20" i="96" s="1"/>
  <c r="F20" i="96"/>
  <c r="E20" i="96"/>
  <c r="R19" i="96"/>
  <c r="I19" i="96"/>
  <c r="G19" i="96"/>
  <c r="H19" i="96" s="1"/>
  <c r="F19" i="96"/>
  <c r="E19" i="96"/>
  <c r="R18" i="96"/>
  <c r="M18" i="96"/>
  <c r="I18" i="96"/>
  <c r="G18" i="96"/>
  <c r="H18" i="96" s="1"/>
  <c r="F18" i="96"/>
  <c r="E18" i="96"/>
  <c r="M17" i="96"/>
  <c r="I17" i="96"/>
  <c r="G17" i="96"/>
  <c r="H17" i="96" s="1"/>
  <c r="F17" i="96"/>
  <c r="E17" i="96"/>
  <c r="R16" i="96"/>
  <c r="M16" i="96"/>
  <c r="I16" i="96"/>
  <c r="G16" i="96"/>
  <c r="H16" i="96" s="1"/>
  <c r="F16" i="96"/>
  <c r="E16" i="96"/>
  <c r="M15" i="96"/>
  <c r="I15" i="96"/>
  <c r="G15" i="96"/>
  <c r="H15" i="96" s="1"/>
  <c r="F15" i="96"/>
  <c r="E15" i="96"/>
  <c r="G14" i="96"/>
  <c r="F14" i="96"/>
  <c r="E14" i="96"/>
  <c r="M13" i="96"/>
  <c r="I13" i="96"/>
  <c r="H13" i="96"/>
  <c r="G13" i="96"/>
  <c r="F13" i="96"/>
  <c r="F11" i="96" s="1"/>
  <c r="E13" i="96"/>
  <c r="R12" i="96"/>
  <c r="M12" i="96"/>
  <c r="I12" i="96"/>
  <c r="I11" i="96" s="1"/>
  <c r="G12" i="96"/>
  <c r="H12" i="96" s="1"/>
  <c r="F12" i="96"/>
  <c r="E12" i="96"/>
  <c r="E11" i="96" s="1"/>
  <c r="X11" i="96"/>
  <c r="V11" i="96"/>
  <c r="U11" i="96"/>
  <c r="T11" i="96"/>
  <c r="S11" i="96"/>
  <c r="R11" i="96"/>
  <c r="Q11" i="96"/>
  <c r="P11" i="96"/>
  <c r="O11" i="96"/>
  <c r="N11" i="96"/>
  <c r="L11" i="96"/>
  <c r="M11" i="96" s="1"/>
  <c r="K11" i="96"/>
  <c r="J11" i="96"/>
  <c r="R9" i="96"/>
  <c r="M9" i="96"/>
  <c r="I9" i="96"/>
  <c r="I6" i="96" s="1"/>
  <c r="G9" i="96"/>
  <c r="H9" i="96" s="1"/>
  <c r="F9" i="96"/>
  <c r="E9" i="96"/>
  <c r="M8" i="96"/>
  <c r="I8" i="96"/>
  <c r="G8" i="96"/>
  <c r="H8" i="96" s="1"/>
  <c r="F8" i="96"/>
  <c r="E8" i="96"/>
  <c r="M7" i="96"/>
  <c r="I7" i="96"/>
  <c r="G7" i="96"/>
  <c r="G6" i="96" s="1"/>
  <c r="F7" i="96"/>
  <c r="F6" i="96" s="1"/>
  <c r="F33" i="96" s="1"/>
  <c r="E7" i="96"/>
  <c r="E6" i="96" s="1"/>
  <c r="E33" i="96" s="1"/>
  <c r="X6" i="96"/>
  <c r="X33" i="96" s="1"/>
  <c r="V6" i="96"/>
  <c r="V33" i="96" s="1"/>
  <c r="U6" i="96"/>
  <c r="U33" i="96" s="1"/>
  <c r="T6" i="96"/>
  <c r="T33" i="96" s="1"/>
  <c r="S6" i="96"/>
  <c r="S33" i="96" s="1"/>
  <c r="Q6" i="96"/>
  <c r="R6" i="96" s="1"/>
  <c r="P6" i="96"/>
  <c r="P33" i="96" s="1"/>
  <c r="O6" i="96"/>
  <c r="N6" i="96"/>
  <c r="N33" i="96" s="1"/>
  <c r="M6" i="96"/>
  <c r="L6" i="96"/>
  <c r="L33" i="96" s="1"/>
  <c r="K6" i="96"/>
  <c r="K33" i="96" s="1"/>
  <c r="J6" i="96"/>
  <c r="J33" i="96" s="1"/>
  <c r="H6" i="96" l="1"/>
  <c r="G33" i="96"/>
  <c r="I33" i="96"/>
  <c r="Q33" i="96"/>
  <c r="H7" i="96"/>
  <c r="G11" i="96"/>
  <c r="H11" i="96" s="1"/>
  <c r="E96" i="75" l="1"/>
  <c r="D96" i="75"/>
  <c r="B40" i="75"/>
  <c r="A40" i="75"/>
  <c r="D27" i="75"/>
  <c r="C27" i="75"/>
  <c r="B27" i="75"/>
  <c r="E26" i="75"/>
  <c r="E25" i="75"/>
  <c r="E24" i="75"/>
  <c r="E23" i="75"/>
  <c r="E27" i="75" s="1"/>
  <c r="C18" i="75"/>
  <c r="C6" i="75"/>
  <c r="W37" i="94" l="1"/>
  <c r="M37" i="94"/>
  <c r="J33" i="94"/>
  <c r="M32" i="94"/>
  <c r="I32" i="94"/>
  <c r="G32" i="94"/>
  <c r="H32" i="94" s="1"/>
  <c r="F32" i="94"/>
  <c r="E32" i="94"/>
  <c r="I31" i="94"/>
  <c r="G31" i="94"/>
  <c r="F31" i="94"/>
  <c r="E31" i="94"/>
  <c r="I30" i="94"/>
  <c r="G30" i="94"/>
  <c r="F30" i="94"/>
  <c r="E30" i="94"/>
  <c r="M29" i="94"/>
  <c r="I29" i="94"/>
  <c r="G29" i="94"/>
  <c r="H29" i="94" s="1"/>
  <c r="F29" i="94"/>
  <c r="E29" i="94"/>
  <c r="R28" i="94"/>
  <c r="M28" i="94"/>
  <c r="I28" i="94"/>
  <c r="G28" i="94"/>
  <c r="H28" i="94" s="1"/>
  <c r="F28" i="94"/>
  <c r="E28" i="94"/>
  <c r="I27" i="94"/>
  <c r="G27" i="94"/>
  <c r="F27" i="94"/>
  <c r="E27" i="94"/>
  <c r="W26" i="94"/>
  <c r="M26" i="94"/>
  <c r="I26" i="94"/>
  <c r="G26" i="94"/>
  <c r="H26" i="94" s="1"/>
  <c r="F26" i="94"/>
  <c r="E26" i="94"/>
  <c r="M25" i="94"/>
  <c r="I25" i="94"/>
  <c r="G25" i="94"/>
  <c r="H25" i="94" s="1"/>
  <c r="F25" i="94"/>
  <c r="E25" i="94"/>
  <c r="I24" i="94"/>
  <c r="G24" i="94"/>
  <c r="F24" i="94"/>
  <c r="E24" i="94"/>
  <c r="I23" i="94"/>
  <c r="G23" i="94"/>
  <c r="F23" i="94"/>
  <c r="E23" i="94"/>
  <c r="I22" i="94"/>
  <c r="G22" i="94"/>
  <c r="F22" i="94"/>
  <c r="E22" i="94"/>
  <c r="W21" i="94"/>
  <c r="R21" i="94"/>
  <c r="M21" i="94"/>
  <c r="I21" i="94"/>
  <c r="H21" i="94"/>
  <c r="G21" i="94"/>
  <c r="F21" i="94"/>
  <c r="E21" i="94"/>
  <c r="W20" i="94"/>
  <c r="R20" i="94"/>
  <c r="M20" i="94"/>
  <c r="I20" i="94"/>
  <c r="H20" i="94"/>
  <c r="G20" i="94"/>
  <c r="F20" i="94"/>
  <c r="E20" i="94"/>
  <c r="W19" i="94"/>
  <c r="R19" i="94"/>
  <c r="O19" i="94"/>
  <c r="E19" i="94" s="1"/>
  <c r="M19" i="94"/>
  <c r="I19" i="94"/>
  <c r="G19" i="94"/>
  <c r="F19" i="94"/>
  <c r="H19" i="94" s="1"/>
  <c r="W18" i="94"/>
  <c r="R18" i="94"/>
  <c r="M18" i="94"/>
  <c r="I18" i="94"/>
  <c r="G18" i="94"/>
  <c r="H18" i="94" s="1"/>
  <c r="F18" i="94"/>
  <c r="E18" i="94"/>
  <c r="M17" i="94"/>
  <c r="I17" i="94"/>
  <c r="G17" i="94"/>
  <c r="H17" i="94" s="1"/>
  <c r="F17" i="94"/>
  <c r="E17" i="94"/>
  <c r="R16" i="94"/>
  <c r="M16" i="94"/>
  <c r="I16" i="94"/>
  <c r="G16" i="94"/>
  <c r="H16" i="94" s="1"/>
  <c r="F16" i="94"/>
  <c r="E16" i="94"/>
  <c r="W15" i="94"/>
  <c r="M15" i="94"/>
  <c r="I15" i="94"/>
  <c r="G15" i="94"/>
  <c r="F15" i="94"/>
  <c r="H15" i="94" s="1"/>
  <c r="E15" i="94"/>
  <c r="E11" i="94" s="1"/>
  <c r="M14" i="94"/>
  <c r="I14" i="94"/>
  <c r="G14" i="94"/>
  <c r="H14" i="94" s="1"/>
  <c r="F14" i="94"/>
  <c r="E14" i="94"/>
  <c r="W13" i="94"/>
  <c r="M13" i="94"/>
  <c r="I13" i="94"/>
  <c r="G13" i="94"/>
  <c r="H13" i="94" s="1"/>
  <c r="F13" i="94"/>
  <c r="E13" i="94"/>
  <c r="W12" i="94"/>
  <c r="R12" i="94"/>
  <c r="M12" i="94"/>
  <c r="I12" i="94"/>
  <c r="G12" i="94"/>
  <c r="H12" i="94" s="1"/>
  <c r="F12" i="94"/>
  <c r="E12" i="94"/>
  <c r="X11" i="94"/>
  <c r="V11" i="94"/>
  <c r="W11" i="94" s="1"/>
  <c r="U11" i="94"/>
  <c r="T11" i="94"/>
  <c r="S11" i="94"/>
  <c r="Q11" i="94"/>
  <c r="R11" i="94" s="1"/>
  <c r="P11" i="94"/>
  <c r="O11" i="94"/>
  <c r="N11" i="94"/>
  <c r="I11" i="94" s="1"/>
  <c r="L11" i="94"/>
  <c r="M11" i="94" s="1"/>
  <c r="K11" i="94"/>
  <c r="J11" i="94"/>
  <c r="F11" i="94"/>
  <c r="I10" i="94"/>
  <c r="G10" i="94"/>
  <c r="F10" i="94"/>
  <c r="E10" i="94"/>
  <c r="R9" i="94"/>
  <c r="M9" i="94"/>
  <c r="I9" i="94"/>
  <c r="I6" i="94" s="1"/>
  <c r="G9" i="94"/>
  <c r="H9" i="94" s="1"/>
  <c r="F9" i="94"/>
  <c r="E9" i="94"/>
  <c r="M8" i="94"/>
  <c r="I8" i="94"/>
  <c r="G8" i="94"/>
  <c r="H8" i="94" s="1"/>
  <c r="F8" i="94"/>
  <c r="E8" i="94"/>
  <c r="W7" i="94"/>
  <c r="R7" i="94"/>
  <c r="M7" i="94"/>
  <c r="I7" i="94"/>
  <c r="G7" i="94"/>
  <c r="H7" i="94" s="1"/>
  <c r="F7" i="94"/>
  <c r="E7" i="94"/>
  <c r="X6" i="94"/>
  <c r="X33" i="94" s="1"/>
  <c r="V6" i="94"/>
  <c r="W6" i="94" s="1"/>
  <c r="U6" i="94"/>
  <c r="U33" i="94" s="1"/>
  <c r="T6" i="94"/>
  <c r="T33" i="94" s="1"/>
  <c r="S6" i="94"/>
  <c r="S33" i="94" s="1"/>
  <c r="Q6" i="94"/>
  <c r="Q33" i="94" s="1"/>
  <c r="P6" i="94"/>
  <c r="P33" i="94" s="1"/>
  <c r="O6" i="94"/>
  <c r="O33" i="94" s="1"/>
  <c r="N6" i="94"/>
  <c r="N33" i="94" s="1"/>
  <c r="L6" i="94"/>
  <c r="L33" i="94" s="1"/>
  <c r="K6" i="94"/>
  <c r="K33" i="94" s="1"/>
  <c r="J6" i="94"/>
  <c r="F6" i="94"/>
  <c r="F33" i="94" s="1"/>
  <c r="E6" i="94"/>
  <c r="E33" i="94" l="1"/>
  <c r="I33" i="94"/>
  <c r="M6" i="94"/>
  <c r="V33" i="94"/>
  <c r="W33" i="94" s="1"/>
  <c r="G6" i="94"/>
  <c r="G11" i="94"/>
  <c r="H11" i="94" s="1"/>
  <c r="R6" i="94"/>
  <c r="G33" i="94" l="1"/>
  <c r="H6" i="94"/>
  <c r="W37" i="93" l="1"/>
  <c r="R37" i="93"/>
  <c r="M37" i="93"/>
  <c r="H37" i="93"/>
  <c r="W36" i="93"/>
  <c r="R36" i="93"/>
  <c r="M36" i="93"/>
  <c r="H36" i="93"/>
  <c r="W35" i="93"/>
  <c r="R35" i="93"/>
  <c r="M35" i="93"/>
  <c r="H35" i="93"/>
  <c r="W34" i="93"/>
  <c r="R34" i="93"/>
  <c r="M34" i="93"/>
  <c r="H34" i="93"/>
  <c r="W32" i="93"/>
  <c r="R32" i="93"/>
  <c r="M32" i="93"/>
  <c r="I32" i="93"/>
  <c r="G32" i="93"/>
  <c r="F32" i="93"/>
  <c r="H32" i="93" s="1"/>
  <c r="E32" i="93"/>
  <c r="W31" i="93"/>
  <c r="R31" i="93"/>
  <c r="M31" i="93"/>
  <c r="I31" i="93"/>
  <c r="G31" i="93"/>
  <c r="F31" i="93"/>
  <c r="H31" i="93" s="1"/>
  <c r="E31" i="93"/>
  <c r="W30" i="93"/>
  <c r="R30" i="93"/>
  <c r="M30" i="93"/>
  <c r="I30" i="93"/>
  <c r="G30" i="93"/>
  <c r="F30" i="93"/>
  <c r="H30" i="93" s="1"/>
  <c r="E30" i="93"/>
  <c r="W29" i="93"/>
  <c r="R29" i="93"/>
  <c r="M29" i="93"/>
  <c r="I29" i="93"/>
  <c r="G29" i="93"/>
  <c r="F29" i="93"/>
  <c r="H29" i="93" s="1"/>
  <c r="E29" i="93"/>
  <c r="W28" i="93"/>
  <c r="R28" i="93"/>
  <c r="K28" i="93"/>
  <c r="F28" i="93" s="1"/>
  <c r="I28" i="93"/>
  <c r="G28" i="93"/>
  <c r="E28" i="93"/>
  <c r="W27" i="93"/>
  <c r="R27" i="93"/>
  <c r="M27" i="93"/>
  <c r="I27" i="93"/>
  <c r="G27" i="93"/>
  <c r="H27" i="93" s="1"/>
  <c r="F27" i="93"/>
  <c r="E27" i="93"/>
  <c r="W26" i="93"/>
  <c r="R26" i="93"/>
  <c r="M26" i="93"/>
  <c r="K26" i="93"/>
  <c r="I26" i="93"/>
  <c r="G26" i="93"/>
  <c r="H26" i="93" s="1"/>
  <c r="F26" i="93"/>
  <c r="E26" i="93"/>
  <c r="W25" i="93"/>
  <c r="R25" i="93"/>
  <c r="M25" i="93"/>
  <c r="I25" i="93"/>
  <c r="G25" i="93"/>
  <c r="H25" i="93" s="1"/>
  <c r="F25" i="93"/>
  <c r="E25" i="93"/>
  <c r="W24" i="93"/>
  <c r="R24" i="93"/>
  <c r="M24" i="93"/>
  <c r="I24" i="93"/>
  <c r="G24" i="93"/>
  <c r="H24" i="93" s="1"/>
  <c r="F24" i="93"/>
  <c r="E24" i="93"/>
  <c r="W23" i="93"/>
  <c r="R23" i="93"/>
  <c r="M23" i="93"/>
  <c r="I23" i="93"/>
  <c r="G23" i="93"/>
  <c r="H23" i="93" s="1"/>
  <c r="F23" i="93"/>
  <c r="E23" i="93"/>
  <c r="W22" i="93"/>
  <c r="R22" i="93"/>
  <c r="M22" i="93"/>
  <c r="I22" i="93"/>
  <c r="G22" i="93"/>
  <c r="H22" i="93" s="1"/>
  <c r="F22" i="93"/>
  <c r="E22" i="93"/>
  <c r="W21" i="93"/>
  <c r="R21" i="93"/>
  <c r="M21" i="93"/>
  <c r="L21" i="93"/>
  <c r="I21" i="93"/>
  <c r="G21" i="93"/>
  <c r="H21" i="93" s="1"/>
  <c r="F21" i="93"/>
  <c r="E21" i="93"/>
  <c r="W20" i="93"/>
  <c r="R20" i="93"/>
  <c r="P20" i="93"/>
  <c r="K20" i="93"/>
  <c r="M20" i="93" s="1"/>
  <c r="I20" i="93"/>
  <c r="G20" i="93"/>
  <c r="H20" i="93" s="1"/>
  <c r="F20" i="93"/>
  <c r="E20" i="93"/>
  <c r="W19" i="93"/>
  <c r="R19" i="93"/>
  <c r="O19" i="93"/>
  <c r="E19" i="93" s="1"/>
  <c r="E11" i="93" s="1"/>
  <c r="M19" i="93"/>
  <c r="K19" i="93"/>
  <c r="I19" i="93"/>
  <c r="H19" i="93"/>
  <c r="G19" i="93"/>
  <c r="F19" i="93"/>
  <c r="W18" i="93"/>
  <c r="R18" i="93"/>
  <c r="K18" i="93"/>
  <c r="F18" i="93" s="1"/>
  <c r="H18" i="93" s="1"/>
  <c r="I18" i="93"/>
  <c r="G18" i="93"/>
  <c r="E18" i="93"/>
  <c r="W17" i="93"/>
  <c r="R17" i="93"/>
  <c r="M17" i="93"/>
  <c r="I17" i="93"/>
  <c r="G17" i="93"/>
  <c r="F17" i="93"/>
  <c r="H17" i="93" s="1"/>
  <c r="E17" i="93"/>
  <c r="W16" i="93"/>
  <c r="R16" i="93"/>
  <c r="M16" i="93"/>
  <c r="I16" i="93"/>
  <c r="G16" i="93"/>
  <c r="F16" i="93"/>
  <c r="H16" i="93" s="1"/>
  <c r="E16" i="93"/>
  <c r="W15" i="93"/>
  <c r="R15" i="93"/>
  <c r="K15" i="93"/>
  <c r="F15" i="93" s="1"/>
  <c r="I15" i="93"/>
  <c r="G15" i="93"/>
  <c r="H15" i="93" s="1"/>
  <c r="E15" i="93"/>
  <c r="W14" i="93"/>
  <c r="R14" i="93"/>
  <c r="M14" i="93"/>
  <c r="I14" i="93"/>
  <c r="G14" i="93"/>
  <c r="H14" i="93" s="1"/>
  <c r="F14" i="93"/>
  <c r="E14" i="93"/>
  <c r="W13" i="93"/>
  <c r="R13" i="93"/>
  <c r="M13" i="93"/>
  <c r="K13" i="93"/>
  <c r="I13" i="93"/>
  <c r="G13" i="93"/>
  <c r="H13" i="93" s="1"/>
  <c r="F13" i="93"/>
  <c r="E13" i="93"/>
  <c r="W12" i="93"/>
  <c r="R12" i="93"/>
  <c r="Q12" i="93"/>
  <c r="O12" i="93"/>
  <c r="K12" i="93"/>
  <c r="M12" i="93" s="1"/>
  <c r="I12" i="93"/>
  <c r="I11" i="93" s="1"/>
  <c r="G12" i="93"/>
  <c r="G11" i="93" s="1"/>
  <c r="F12" i="93"/>
  <c r="E12" i="93"/>
  <c r="X11" i="93"/>
  <c r="V11" i="93"/>
  <c r="W11" i="93" s="1"/>
  <c r="U11" i="93"/>
  <c r="T11" i="93"/>
  <c r="S11" i="93"/>
  <c r="R11" i="93"/>
  <c r="Q11" i="93"/>
  <c r="P11" i="93"/>
  <c r="N11" i="93"/>
  <c r="L11" i="93"/>
  <c r="J11" i="93"/>
  <c r="J33" i="93" s="1"/>
  <c r="W10" i="93"/>
  <c r="R10" i="93"/>
  <c r="M10" i="93"/>
  <c r="I10" i="93"/>
  <c r="G10" i="93"/>
  <c r="H10" i="93" s="1"/>
  <c r="F10" i="93"/>
  <c r="E10" i="93"/>
  <c r="W9" i="93"/>
  <c r="Q9" i="93"/>
  <c r="Q6" i="93" s="1"/>
  <c r="P9" i="93"/>
  <c r="O9" i="93"/>
  <c r="K9" i="93"/>
  <c r="K6" i="93" s="1"/>
  <c r="I9" i="93"/>
  <c r="F9" i="93"/>
  <c r="E9" i="93"/>
  <c r="W8" i="93"/>
  <c r="R8" i="93"/>
  <c r="M8" i="93"/>
  <c r="I8" i="93"/>
  <c r="G8" i="93"/>
  <c r="H8" i="93" s="1"/>
  <c r="F8" i="93"/>
  <c r="F6" i="93" s="1"/>
  <c r="E8" i="93"/>
  <c r="W7" i="93"/>
  <c r="R7" i="93"/>
  <c r="L7" i="93"/>
  <c r="G7" i="93" s="1"/>
  <c r="K7" i="93"/>
  <c r="I7" i="93"/>
  <c r="I6" i="93" s="1"/>
  <c r="I33" i="93" s="1"/>
  <c r="F7" i="93"/>
  <c r="E7" i="93"/>
  <c r="X6" i="93"/>
  <c r="X33" i="93" s="1"/>
  <c r="W6" i="93"/>
  <c r="V6" i="93"/>
  <c r="V33" i="93" s="1"/>
  <c r="U6" i="93"/>
  <c r="U33" i="93" s="1"/>
  <c r="T6" i="93"/>
  <c r="T33" i="93" s="1"/>
  <c r="S6" i="93"/>
  <c r="S33" i="93" s="1"/>
  <c r="P6" i="93"/>
  <c r="P33" i="93" s="1"/>
  <c r="O6" i="93"/>
  <c r="N6" i="93"/>
  <c r="N33" i="93" s="1"/>
  <c r="L6" i="93"/>
  <c r="L33" i="93" s="1"/>
  <c r="J6" i="93"/>
  <c r="E6" i="93"/>
  <c r="F11" i="93" l="1"/>
  <c r="H11" i="93" s="1"/>
  <c r="F33" i="93"/>
  <c r="H7" i="93"/>
  <c r="E33" i="93"/>
  <c r="R6" i="93"/>
  <c r="Q33" i="93"/>
  <c r="R33" i="93" s="1"/>
  <c r="W33" i="93"/>
  <c r="H28" i="93"/>
  <c r="M6" i="93"/>
  <c r="G9" i="93"/>
  <c r="H9" i="93" s="1"/>
  <c r="R9" i="93"/>
  <c r="K11" i="93"/>
  <c r="M11" i="93" s="1"/>
  <c r="M15" i="93"/>
  <c r="M28" i="93"/>
  <c r="H12" i="93"/>
  <c r="M18" i="93"/>
  <c r="M7" i="93"/>
  <c r="M9" i="93"/>
  <c r="O11" i="93"/>
  <c r="O33" i="93" s="1"/>
  <c r="G6" i="93" l="1"/>
  <c r="K33" i="93"/>
  <c r="M33" i="93" s="1"/>
  <c r="G33" i="93" l="1"/>
  <c r="H33" i="93" s="1"/>
  <c r="H6" i="93"/>
  <c r="D64" i="74" l="1"/>
  <c r="B45" i="74"/>
  <c r="A45" i="74"/>
  <c r="B39" i="74"/>
  <c r="B33" i="74"/>
  <c r="D27" i="74"/>
  <c r="B27" i="74"/>
  <c r="E26" i="74"/>
  <c r="E25" i="74"/>
  <c r="E24" i="74"/>
  <c r="D23" i="74"/>
  <c r="C23" i="74"/>
  <c r="C27" i="74" s="1"/>
  <c r="B23" i="74"/>
  <c r="E23" i="74" s="1"/>
  <c r="E27" i="74" s="1"/>
  <c r="C18" i="74"/>
  <c r="C6" i="74"/>
  <c r="E91" i="73" l="1"/>
  <c r="D91" i="73"/>
  <c r="B51" i="73"/>
  <c r="A51" i="73"/>
  <c r="B43" i="73"/>
  <c r="B35" i="73"/>
  <c r="E27" i="73"/>
  <c r="D27" i="73"/>
  <c r="C27" i="73"/>
  <c r="B27" i="73"/>
  <c r="E26" i="73"/>
  <c r="E25" i="73"/>
  <c r="E24" i="73"/>
  <c r="E23" i="73"/>
  <c r="C18" i="73"/>
  <c r="E155" i="72" l="1"/>
  <c r="D155" i="72"/>
  <c r="B50" i="72"/>
  <c r="A50" i="72"/>
  <c r="B41" i="72"/>
  <c r="B34" i="72"/>
  <c r="D27" i="72"/>
  <c r="C27" i="72"/>
  <c r="B27" i="72"/>
  <c r="E26" i="72"/>
  <c r="E25" i="72"/>
  <c r="E24" i="72"/>
  <c r="E23" i="72"/>
  <c r="E27" i="72" s="1"/>
  <c r="C18" i="72"/>
  <c r="C6" i="72"/>
  <c r="W37" i="91" l="1"/>
  <c r="R37" i="91"/>
  <c r="M37" i="91"/>
  <c r="H37" i="91"/>
  <c r="W36" i="91"/>
  <c r="R36" i="91"/>
  <c r="M36" i="91"/>
  <c r="H36" i="91"/>
  <c r="W35" i="91"/>
  <c r="R35" i="91"/>
  <c r="M35" i="91"/>
  <c r="H35" i="91"/>
  <c r="W34" i="91"/>
  <c r="R34" i="91"/>
  <c r="M34" i="91"/>
  <c r="H34" i="91"/>
  <c r="W32" i="91"/>
  <c r="R32" i="91"/>
  <c r="M32" i="91"/>
  <c r="I32" i="91"/>
  <c r="G32" i="91"/>
  <c r="H32" i="91" s="1"/>
  <c r="F32" i="91"/>
  <c r="E32" i="91"/>
  <c r="W31" i="91"/>
  <c r="R31" i="91"/>
  <c r="M31" i="91"/>
  <c r="I31" i="91"/>
  <c r="G31" i="91"/>
  <c r="H31" i="91" s="1"/>
  <c r="F31" i="91"/>
  <c r="E31" i="91"/>
  <c r="W30" i="91"/>
  <c r="R30" i="91"/>
  <c r="M30" i="91"/>
  <c r="I30" i="91"/>
  <c r="G30" i="91"/>
  <c r="H30" i="91" s="1"/>
  <c r="F30" i="91"/>
  <c r="E30" i="91"/>
  <c r="W29" i="91"/>
  <c r="R29" i="91"/>
  <c r="M29" i="91"/>
  <c r="I29" i="91"/>
  <c r="G29" i="91"/>
  <c r="H29" i="91" s="1"/>
  <c r="F29" i="91"/>
  <c r="E29" i="91"/>
  <c r="W28" i="91"/>
  <c r="R28" i="91"/>
  <c r="M28" i="91"/>
  <c r="I28" i="91"/>
  <c r="G28" i="91"/>
  <c r="H28" i="91" s="1"/>
  <c r="F28" i="91"/>
  <c r="E28" i="91"/>
  <c r="W27" i="91"/>
  <c r="R27" i="91"/>
  <c r="M27" i="91"/>
  <c r="I27" i="91"/>
  <c r="G27" i="91"/>
  <c r="H27" i="91" s="1"/>
  <c r="F27" i="91"/>
  <c r="E27" i="91"/>
  <c r="W26" i="91"/>
  <c r="R26" i="91"/>
  <c r="M26" i="91"/>
  <c r="I26" i="91"/>
  <c r="G26" i="91"/>
  <c r="H26" i="91" s="1"/>
  <c r="F26" i="91"/>
  <c r="E26" i="91"/>
  <c r="W25" i="91"/>
  <c r="R25" i="91"/>
  <c r="M25" i="91"/>
  <c r="I25" i="91"/>
  <c r="G25" i="91"/>
  <c r="H25" i="91" s="1"/>
  <c r="F25" i="91"/>
  <c r="E25" i="91"/>
  <c r="W24" i="91"/>
  <c r="R24" i="91"/>
  <c r="M24" i="91"/>
  <c r="I24" i="91"/>
  <c r="G24" i="91"/>
  <c r="H24" i="91" s="1"/>
  <c r="F24" i="91"/>
  <c r="E24" i="91"/>
  <c r="W23" i="91"/>
  <c r="R23" i="91"/>
  <c r="M23" i="91"/>
  <c r="I23" i="91"/>
  <c r="G23" i="91"/>
  <c r="H23" i="91" s="1"/>
  <c r="F23" i="91"/>
  <c r="E23" i="91"/>
  <c r="W22" i="91"/>
  <c r="R22" i="91"/>
  <c r="M22" i="91"/>
  <c r="I22" i="91"/>
  <c r="G22" i="91"/>
  <c r="H22" i="91" s="1"/>
  <c r="F22" i="91"/>
  <c r="E22" i="91"/>
  <c r="W21" i="91"/>
  <c r="R21" i="91"/>
  <c r="M21" i="91"/>
  <c r="I21" i="91"/>
  <c r="G21" i="91"/>
  <c r="H21" i="91" s="1"/>
  <c r="F21" i="91"/>
  <c r="E21" i="91"/>
  <c r="W20" i="91"/>
  <c r="R20" i="91"/>
  <c r="M20" i="91"/>
  <c r="I20" i="91"/>
  <c r="G20" i="91"/>
  <c r="H20" i="91" s="1"/>
  <c r="F20" i="91"/>
  <c r="E20" i="91"/>
  <c r="W19" i="91"/>
  <c r="R19" i="91"/>
  <c r="M19" i="91"/>
  <c r="I19" i="91"/>
  <c r="G19" i="91"/>
  <c r="H19" i="91" s="1"/>
  <c r="F19" i="91"/>
  <c r="E19" i="91"/>
  <c r="W18" i="91"/>
  <c r="R18" i="91"/>
  <c r="M18" i="91"/>
  <c r="I18" i="91"/>
  <c r="G18" i="91"/>
  <c r="H18" i="91" s="1"/>
  <c r="F18" i="91"/>
  <c r="E18" i="91"/>
  <c r="W17" i="91"/>
  <c r="R17" i="91"/>
  <c r="M17" i="91"/>
  <c r="I17" i="91"/>
  <c r="G17" i="91"/>
  <c r="H17" i="91" s="1"/>
  <c r="F17" i="91"/>
  <c r="E17" i="91"/>
  <c r="W16" i="91"/>
  <c r="R16" i="91"/>
  <c r="M16" i="91"/>
  <c r="I16" i="91"/>
  <c r="G16" i="91"/>
  <c r="H16" i="91" s="1"/>
  <c r="F16" i="91"/>
  <c r="E16" i="91"/>
  <c r="W15" i="91"/>
  <c r="R15" i="91"/>
  <c r="M15" i="91"/>
  <c r="I15" i="91"/>
  <c r="G15" i="91"/>
  <c r="H15" i="91" s="1"/>
  <c r="F15" i="91"/>
  <c r="E15" i="91"/>
  <c r="W14" i="91"/>
  <c r="R14" i="91"/>
  <c r="M14" i="91"/>
  <c r="I14" i="91"/>
  <c r="G14" i="91"/>
  <c r="H14" i="91" s="1"/>
  <c r="F14" i="91"/>
  <c r="E14" i="91"/>
  <c r="W13" i="91"/>
  <c r="R13" i="91"/>
  <c r="M13" i="91"/>
  <c r="I13" i="91"/>
  <c r="G13" i="91"/>
  <c r="H13" i="91" s="1"/>
  <c r="F13" i="91"/>
  <c r="E13" i="91"/>
  <c r="W12" i="91"/>
  <c r="R12" i="91"/>
  <c r="M12" i="91"/>
  <c r="I12" i="91"/>
  <c r="G12" i="91"/>
  <c r="H12" i="91" s="1"/>
  <c r="F12" i="91"/>
  <c r="F11" i="91" s="1"/>
  <c r="E12" i="91"/>
  <c r="X11" i="91"/>
  <c r="V11" i="91"/>
  <c r="W11" i="91" s="1"/>
  <c r="U11" i="91"/>
  <c r="T11" i="91"/>
  <c r="S11" i="91"/>
  <c r="R11" i="91"/>
  <c r="Q11" i="91"/>
  <c r="P11" i="91"/>
  <c r="O11" i="91"/>
  <c r="N11" i="91"/>
  <c r="L11" i="91"/>
  <c r="K11" i="91"/>
  <c r="M11" i="91" s="1"/>
  <c r="J11" i="91"/>
  <c r="I11" i="91"/>
  <c r="E11" i="91"/>
  <c r="W10" i="91"/>
  <c r="R10" i="91"/>
  <c r="M10" i="91"/>
  <c r="I10" i="91"/>
  <c r="G10" i="91"/>
  <c r="H10" i="91" s="1"/>
  <c r="F10" i="91"/>
  <c r="E10" i="91"/>
  <c r="W9" i="91"/>
  <c r="R9" i="91"/>
  <c r="M9" i="91"/>
  <c r="I9" i="91"/>
  <c r="G9" i="91"/>
  <c r="H9" i="91" s="1"/>
  <c r="F9" i="91"/>
  <c r="E9" i="91"/>
  <c r="W8" i="91"/>
  <c r="R8" i="91"/>
  <c r="M8" i="91"/>
  <c r="I8" i="91"/>
  <c r="G8" i="91"/>
  <c r="H8" i="91" s="1"/>
  <c r="F8" i="91"/>
  <c r="E8" i="91"/>
  <c r="W7" i="91"/>
  <c r="R7" i="91"/>
  <c r="M7" i="91"/>
  <c r="I7" i="91"/>
  <c r="I6" i="91" s="1"/>
  <c r="I33" i="91" s="1"/>
  <c r="G7" i="91"/>
  <c r="H7" i="91" s="1"/>
  <c r="F7" i="91"/>
  <c r="E7" i="91"/>
  <c r="X6" i="91"/>
  <c r="X33" i="91" s="1"/>
  <c r="V6" i="91"/>
  <c r="V33" i="91" s="1"/>
  <c r="U6" i="91"/>
  <c r="U33" i="91" s="1"/>
  <c r="T6" i="91"/>
  <c r="T33" i="91" s="1"/>
  <c r="S6" i="91"/>
  <c r="S33" i="91" s="1"/>
  <c r="R6" i="91"/>
  <c r="Q6" i="91"/>
  <c r="Q33" i="91" s="1"/>
  <c r="P6" i="91"/>
  <c r="P33" i="91" s="1"/>
  <c r="O6" i="91"/>
  <c r="O33" i="91" s="1"/>
  <c r="N6" i="91"/>
  <c r="N33" i="91" s="1"/>
  <c r="M6" i="91"/>
  <c r="L6" i="91"/>
  <c r="L33" i="91" s="1"/>
  <c r="K6" i="91"/>
  <c r="K33" i="91" s="1"/>
  <c r="J6" i="91"/>
  <c r="J33" i="91" s="1"/>
  <c r="G6" i="91"/>
  <c r="H6" i="91" s="1"/>
  <c r="F6" i="91"/>
  <c r="E6" i="91"/>
  <c r="E33" i="91" s="1"/>
  <c r="W33" i="91" l="1"/>
  <c r="M33" i="91"/>
  <c r="F33" i="91"/>
  <c r="R33" i="91"/>
  <c r="W6" i="91"/>
  <c r="G11" i="91"/>
  <c r="H11" i="91" s="1"/>
  <c r="G33" i="91"/>
  <c r="H33" i="91" l="1"/>
  <c r="E132" i="71" l="1"/>
  <c r="D132" i="71"/>
  <c r="B51" i="71"/>
  <c r="A51" i="71"/>
  <c r="B43" i="71"/>
  <c r="B35" i="71"/>
  <c r="D27" i="71"/>
  <c r="C27" i="71"/>
  <c r="B27" i="71"/>
  <c r="E26" i="71"/>
  <c r="E25" i="71"/>
  <c r="E24" i="71"/>
  <c r="E23" i="71"/>
  <c r="E27" i="71" s="1"/>
  <c r="C18" i="71"/>
  <c r="C6" i="71"/>
  <c r="R37" i="90" l="1"/>
  <c r="M37" i="90"/>
  <c r="H37" i="90"/>
  <c r="R36" i="90"/>
  <c r="M36" i="90"/>
  <c r="H36" i="90"/>
  <c r="R35" i="90"/>
  <c r="M35" i="90"/>
  <c r="H35" i="90"/>
  <c r="R34" i="90"/>
  <c r="M34" i="90"/>
  <c r="H34" i="90"/>
  <c r="I32" i="90"/>
  <c r="G32" i="90"/>
  <c r="F32" i="90"/>
  <c r="E32" i="90"/>
  <c r="I31" i="90"/>
  <c r="G31" i="90"/>
  <c r="F31" i="90"/>
  <c r="E31" i="90"/>
  <c r="I30" i="90"/>
  <c r="G30" i="90"/>
  <c r="F30" i="90"/>
  <c r="E30" i="90"/>
  <c r="I29" i="90"/>
  <c r="H29" i="90"/>
  <c r="G29" i="90"/>
  <c r="F29" i="90"/>
  <c r="E29" i="90"/>
  <c r="R28" i="90"/>
  <c r="M28" i="90"/>
  <c r="H28" i="90"/>
  <c r="I27" i="90"/>
  <c r="G27" i="90"/>
  <c r="F27" i="90"/>
  <c r="E27" i="90"/>
  <c r="W26" i="90"/>
  <c r="M26" i="90"/>
  <c r="I26" i="90"/>
  <c r="G26" i="90"/>
  <c r="H26" i="90" s="1"/>
  <c r="F26" i="90"/>
  <c r="E26" i="90"/>
  <c r="M25" i="90"/>
  <c r="I25" i="90"/>
  <c r="G25" i="90"/>
  <c r="H25" i="90" s="1"/>
  <c r="F25" i="90"/>
  <c r="E25" i="90"/>
  <c r="I24" i="90"/>
  <c r="G24" i="90"/>
  <c r="F24" i="90"/>
  <c r="E24" i="90"/>
  <c r="I23" i="90"/>
  <c r="G23" i="90"/>
  <c r="F23" i="90"/>
  <c r="E23" i="90"/>
  <c r="M22" i="90"/>
  <c r="I22" i="90"/>
  <c r="G22" i="90"/>
  <c r="H22" i="90" s="1"/>
  <c r="F22" i="90"/>
  <c r="E22" i="90"/>
  <c r="W21" i="90"/>
  <c r="R21" i="90"/>
  <c r="M21" i="90"/>
  <c r="I21" i="90"/>
  <c r="G21" i="90"/>
  <c r="H21" i="90" s="1"/>
  <c r="F21" i="90"/>
  <c r="E21" i="90"/>
  <c r="W20" i="90"/>
  <c r="R20" i="90"/>
  <c r="M20" i="90"/>
  <c r="I20" i="90"/>
  <c r="G20" i="90"/>
  <c r="H20" i="90" s="1"/>
  <c r="F20" i="90"/>
  <c r="E20" i="90"/>
  <c r="W19" i="90"/>
  <c r="R19" i="90"/>
  <c r="M19" i="90"/>
  <c r="I19" i="90"/>
  <c r="G19" i="90"/>
  <c r="H19" i="90" s="1"/>
  <c r="F19" i="90"/>
  <c r="E19" i="90"/>
  <c r="W18" i="90"/>
  <c r="R18" i="90"/>
  <c r="M18" i="90"/>
  <c r="I18" i="90"/>
  <c r="G18" i="90"/>
  <c r="H18" i="90" s="1"/>
  <c r="F18" i="90"/>
  <c r="E18" i="90"/>
  <c r="W17" i="90"/>
  <c r="R17" i="90"/>
  <c r="M17" i="90"/>
  <c r="I17" i="90"/>
  <c r="G17" i="90"/>
  <c r="H17" i="90" s="1"/>
  <c r="F17" i="90"/>
  <c r="E17" i="90"/>
  <c r="R16" i="90"/>
  <c r="M16" i="90"/>
  <c r="I16" i="90"/>
  <c r="H16" i="90"/>
  <c r="G16" i="90"/>
  <c r="F16" i="90"/>
  <c r="E16" i="90"/>
  <c r="W15" i="90"/>
  <c r="M15" i="90"/>
  <c r="I15" i="90"/>
  <c r="I11" i="90" s="1"/>
  <c r="H15" i="90"/>
  <c r="G15" i="90"/>
  <c r="F15" i="90"/>
  <c r="E15" i="90"/>
  <c r="M14" i="90"/>
  <c r="I14" i="90"/>
  <c r="G14" i="90"/>
  <c r="H14" i="90" s="1"/>
  <c r="F14" i="90"/>
  <c r="E14" i="90"/>
  <c r="W13" i="90"/>
  <c r="M13" i="90"/>
  <c r="I13" i="90"/>
  <c r="G13" i="90"/>
  <c r="H13" i="90" s="1"/>
  <c r="F13" i="90"/>
  <c r="E13" i="90"/>
  <c r="W12" i="90"/>
  <c r="R12" i="90"/>
  <c r="M12" i="90"/>
  <c r="I12" i="90"/>
  <c r="G12" i="90"/>
  <c r="G11" i="90" s="1"/>
  <c r="F12" i="90"/>
  <c r="F11" i="90" s="1"/>
  <c r="E12" i="90"/>
  <c r="E11" i="90" s="1"/>
  <c r="X11" i="90"/>
  <c r="V11" i="90"/>
  <c r="W11" i="90" s="1"/>
  <c r="U11" i="90"/>
  <c r="T11" i="90"/>
  <c r="S11" i="90"/>
  <c r="R11" i="90"/>
  <c r="Q11" i="90"/>
  <c r="P11" i="90"/>
  <c r="O11" i="90"/>
  <c r="N11" i="90"/>
  <c r="L11" i="90"/>
  <c r="M11" i="90" s="1"/>
  <c r="K11" i="90"/>
  <c r="J11" i="90"/>
  <c r="M10" i="90"/>
  <c r="I10" i="90"/>
  <c r="H10" i="90"/>
  <c r="G10" i="90"/>
  <c r="F10" i="90"/>
  <c r="E10" i="90"/>
  <c r="R9" i="90"/>
  <c r="M9" i="90"/>
  <c r="I9" i="90"/>
  <c r="G9" i="90"/>
  <c r="G6" i="90" s="1"/>
  <c r="F9" i="90"/>
  <c r="E9" i="90"/>
  <c r="M8" i="90"/>
  <c r="I8" i="90"/>
  <c r="G8" i="90"/>
  <c r="H8" i="90" s="1"/>
  <c r="F8" i="90"/>
  <c r="E8" i="90"/>
  <c r="W7" i="90"/>
  <c r="R7" i="90"/>
  <c r="M7" i="90"/>
  <c r="I7" i="90"/>
  <c r="G7" i="90"/>
  <c r="H7" i="90" s="1"/>
  <c r="F7" i="90"/>
  <c r="F6" i="90" s="1"/>
  <c r="E7" i="90"/>
  <c r="E6" i="90" s="1"/>
  <c r="X6" i="90"/>
  <c r="X33" i="90" s="1"/>
  <c r="W6" i="90"/>
  <c r="V6" i="90"/>
  <c r="V33" i="90" s="1"/>
  <c r="W33" i="90" s="1"/>
  <c r="U6" i="90"/>
  <c r="U33" i="90" s="1"/>
  <c r="T6" i="90"/>
  <c r="T33" i="90" s="1"/>
  <c r="S6" i="90"/>
  <c r="S33" i="90" s="1"/>
  <c r="Q6" i="90"/>
  <c r="Q33" i="90" s="1"/>
  <c r="P6" i="90"/>
  <c r="P33" i="90" s="1"/>
  <c r="O6" i="90"/>
  <c r="O33" i="90" s="1"/>
  <c r="N6" i="90"/>
  <c r="N33" i="90" s="1"/>
  <c r="L6" i="90"/>
  <c r="L33" i="90" s="1"/>
  <c r="K6" i="90"/>
  <c r="K33" i="90" s="1"/>
  <c r="J6" i="90"/>
  <c r="J33" i="90" s="1"/>
  <c r="I6" i="90"/>
  <c r="I33" i="90" s="1"/>
  <c r="H11" i="90" l="1"/>
  <c r="G33" i="90"/>
  <c r="H6" i="90"/>
  <c r="E33" i="90"/>
  <c r="F33" i="90"/>
  <c r="R33" i="90"/>
  <c r="R6" i="90"/>
  <c r="M6" i="90"/>
  <c r="H9" i="90"/>
  <c r="H12" i="90"/>
  <c r="H33" i="90" l="1"/>
  <c r="D122" i="87" l="1"/>
  <c r="E120" i="87"/>
  <c r="E119" i="87"/>
  <c r="E118" i="87"/>
  <c r="E117" i="87"/>
  <c r="E116" i="87"/>
  <c r="E115" i="87"/>
  <c r="E114" i="87"/>
  <c r="E122" i="87" s="1"/>
  <c r="E113" i="87"/>
  <c r="D92" i="87"/>
  <c r="E90" i="87"/>
  <c r="D88" i="87"/>
  <c r="E84" i="87"/>
  <c r="E83" i="87"/>
  <c r="E81" i="87"/>
  <c r="E76" i="87"/>
  <c r="E74" i="87"/>
  <c r="E72" i="87"/>
  <c r="E70" i="87"/>
  <c r="E68" i="87"/>
  <c r="E66" i="87"/>
  <c r="D62" i="87"/>
  <c r="D110" i="87" s="1"/>
  <c r="E61" i="87"/>
  <c r="D56" i="87"/>
  <c r="E53" i="87"/>
  <c r="E110" i="87" s="1"/>
  <c r="B47" i="87"/>
  <c r="A47" i="87"/>
  <c r="B41" i="87"/>
  <c r="B35" i="87"/>
  <c r="E27" i="87"/>
  <c r="D27" i="87"/>
  <c r="C27" i="87"/>
  <c r="B27" i="87"/>
  <c r="E26" i="87"/>
  <c r="E25" i="87"/>
  <c r="E24" i="87"/>
  <c r="E23" i="87"/>
  <c r="C18" i="87"/>
  <c r="C6" i="87"/>
  <c r="I32" i="70" l="1"/>
  <c r="G32" i="70"/>
  <c r="F32" i="70"/>
  <c r="E32" i="70"/>
  <c r="I31" i="70"/>
  <c r="G31" i="70"/>
  <c r="F31" i="70"/>
  <c r="E31" i="70"/>
  <c r="I30" i="70"/>
  <c r="G30" i="70"/>
  <c r="F30" i="70"/>
  <c r="E30" i="70"/>
  <c r="N29" i="70"/>
  <c r="I29" i="70" s="1"/>
  <c r="L29" i="70"/>
  <c r="M29" i="70" s="1"/>
  <c r="F29" i="70"/>
  <c r="E29" i="70"/>
  <c r="Q28" i="70"/>
  <c r="G28" i="70" s="1"/>
  <c r="H28" i="70" s="1"/>
  <c r="N28" i="70"/>
  <c r="I28" i="70" s="1"/>
  <c r="M28" i="70"/>
  <c r="L28" i="70"/>
  <c r="F28" i="70"/>
  <c r="E28" i="70"/>
  <c r="I27" i="70"/>
  <c r="G27" i="70"/>
  <c r="F27" i="70"/>
  <c r="E27" i="70"/>
  <c r="W26" i="70"/>
  <c r="M26" i="70"/>
  <c r="J26" i="70"/>
  <c r="I26" i="70"/>
  <c r="H26" i="70"/>
  <c r="G26" i="70"/>
  <c r="F26" i="70"/>
  <c r="E26" i="70"/>
  <c r="I25" i="70"/>
  <c r="G25" i="70"/>
  <c r="F25" i="70"/>
  <c r="E25" i="70"/>
  <c r="I24" i="70"/>
  <c r="G24" i="70"/>
  <c r="F24" i="70"/>
  <c r="E24" i="70"/>
  <c r="I23" i="70"/>
  <c r="G23" i="70"/>
  <c r="F23" i="70"/>
  <c r="E23" i="70"/>
  <c r="I22" i="70"/>
  <c r="G22" i="70"/>
  <c r="F22" i="70"/>
  <c r="E22" i="70"/>
  <c r="W21" i="70"/>
  <c r="S21" i="70"/>
  <c r="Q21" i="70"/>
  <c r="R21" i="70" s="1"/>
  <c r="O21" i="70"/>
  <c r="N21" i="70"/>
  <c r="L21" i="70"/>
  <c r="M21" i="70" s="1"/>
  <c r="I21" i="70"/>
  <c r="F21" i="70"/>
  <c r="E21" i="70"/>
  <c r="X20" i="70"/>
  <c r="V20" i="70"/>
  <c r="W20" i="70" s="1"/>
  <c r="T20" i="70"/>
  <c r="S20" i="70"/>
  <c r="Q20" i="70"/>
  <c r="R20" i="70" s="1"/>
  <c r="O20" i="70"/>
  <c r="O11" i="70" s="1"/>
  <c r="N20" i="70"/>
  <c r="L20" i="70"/>
  <c r="M20" i="70" s="1"/>
  <c r="I20" i="70"/>
  <c r="F20" i="70"/>
  <c r="F11" i="70" s="1"/>
  <c r="W19" i="70"/>
  <c r="S19" i="70"/>
  <c r="Q19" i="70"/>
  <c r="R19" i="70" s="1"/>
  <c r="O19" i="70"/>
  <c r="N19" i="70"/>
  <c r="L19" i="70"/>
  <c r="M19" i="70" s="1"/>
  <c r="I19" i="70"/>
  <c r="F19" i="70"/>
  <c r="E19" i="70"/>
  <c r="W18" i="70"/>
  <c r="S18" i="70"/>
  <c r="I18" i="70" s="1"/>
  <c r="R18" i="70"/>
  <c r="Q18" i="70"/>
  <c r="G18" i="70" s="1"/>
  <c r="H18" i="70" s="1"/>
  <c r="M18" i="70"/>
  <c r="F18" i="70"/>
  <c r="E18" i="70"/>
  <c r="M17" i="70"/>
  <c r="I17" i="70"/>
  <c r="G17" i="70"/>
  <c r="H17" i="70" s="1"/>
  <c r="F17" i="70"/>
  <c r="E17" i="70"/>
  <c r="S16" i="70"/>
  <c r="I16" i="70" s="1"/>
  <c r="Q16" i="70"/>
  <c r="Q11" i="70" s="1"/>
  <c r="R11" i="70" s="1"/>
  <c r="M16" i="70"/>
  <c r="F16" i="70"/>
  <c r="E16" i="70"/>
  <c r="W15" i="70"/>
  <c r="N15" i="70"/>
  <c r="I15" i="70" s="1"/>
  <c r="M15" i="70"/>
  <c r="G15" i="70"/>
  <c r="H15" i="70" s="1"/>
  <c r="F15" i="70"/>
  <c r="E15" i="70"/>
  <c r="I14" i="70"/>
  <c r="G14" i="70"/>
  <c r="F14" i="70"/>
  <c r="E14" i="70"/>
  <c r="W13" i="70"/>
  <c r="N13" i="70"/>
  <c r="M13" i="70"/>
  <c r="L13" i="70"/>
  <c r="I13" i="70"/>
  <c r="H13" i="70"/>
  <c r="G13" i="70"/>
  <c r="F13" i="70"/>
  <c r="E13" i="70"/>
  <c r="W12" i="70"/>
  <c r="S12" i="70"/>
  <c r="Q12" i="70"/>
  <c r="G12" i="70" s="1"/>
  <c r="N12" i="70"/>
  <c r="N11" i="70" s="1"/>
  <c r="M12" i="70"/>
  <c r="L12" i="70"/>
  <c r="F12" i="70"/>
  <c r="E12" i="70"/>
  <c r="X11" i="70"/>
  <c r="V11" i="70"/>
  <c r="U11" i="70"/>
  <c r="W11" i="70" s="1"/>
  <c r="T11" i="70"/>
  <c r="P11" i="70"/>
  <c r="P33" i="70" s="1"/>
  <c r="K11" i="70"/>
  <c r="J11" i="70"/>
  <c r="I10" i="70"/>
  <c r="G10" i="70"/>
  <c r="F10" i="70"/>
  <c r="E10" i="70"/>
  <c r="S9" i="70"/>
  <c r="I9" i="70" s="1"/>
  <c r="I6" i="70" s="1"/>
  <c r="R9" i="70"/>
  <c r="Q9" i="70"/>
  <c r="M9" i="70"/>
  <c r="J9" i="70"/>
  <c r="E9" i="70" s="1"/>
  <c r="G9" i="70"/>
  <c r="H9" i="70" s="1"/>
  <c r="F9" i="70"/>
  <c r="M8" i="70"/>
  <c r="I8" i="70"/>
  <c r="G8" i="70"/>
  <c r="H8" i="70" s="1"/>
  <c r="F8" i="70"/>
  <c r="E8" i="70"/>
  <c r="W7" i="70"/>
  <c r="N7" i="70"/>
  <c r="L7" i="70"/>
  <c r="M7" i="70" s="1"/>
  <c r="I7" i="70"/>
  <c r="F7" i="70"/>
  <c r="F6" i="70" s="1"/>
  <c r="F33" i="70" s="1"/>
  <c r="E7" i="70"/>
  <c r="E6" i="70" s="1"/>
  <c r="X6" i="70"/>
  <c r="X33" i="70" s="1"/>
  <c r="V6" i="70"/>
  <c r="W6" i="70" s="1"/>
  <c r="U6" i="70"/>
  <c r="U33" i="70" s="1"/>
  <c r="T6" i="70"/>
  <c r="T33" i="70" s="1"/>
  <c r="Q6" i="70"/>
  <c r="R6" i="70" s="1"/>
  <c r="P6" i="70"/>
  <c r="O6" i="70"/>
  <c r="O33" i="70" s="1"/>
  <c r="N6" i="70"/>
  <c r="N33" i="70" s="1"/>
  <c r="L6" i="70"/>
  <c r="M6" i="70" s="1"/>
  <c r="K6" i="70"/>
  <c r="K33" i="70" s="1"/>
  <c r="J6" i="70"/>
  <c r="J33" i="70" s="1"/>
  <c r="H12" i="70" l="1"/>
  <c r="I33" i="70"/>
  <c r="R16" i="70"/>
  <c r="Q33" i="70"/>
  <c r="S6" i="70"/>
  <c r="S33" i="70" s="1"/>
  <c r="G7" i="70"/>
  <c r="R12" i="70"/>
  <c r="G20" i="70"/>
  <c r="H20" i="70" s="1"/>
  <c r="G21" i="70"/>
  <c r="H21" i="70" s="1"/>
  <c r="R28" i="70"/>
  <c r="S11" i="70"/>
  <c r="L11" i="70"/>
  <c r="M11" i="70" s="1"/>
  <c r="G16" i="70"/>
  <c r="H16" i="70" s="1"/>
  <c r="I12" i="70"/>
  <c r="I11" i="70" s="1"/>
  <c r="G19" i="70"/>
  <c r="H19" i="70" s="1"/>
  <c r="G29" i="70"/>
  <c r="H29" i="70" s="1"/>
  <c r="V33" i="70"/>
  <c r="W33" i="70" s="1"/>
  <c r="E20" i="70"/>
  <c r="E11" i="70" s="1"/>
  <c r="E33" i="70" s="1"/>
  <c r="L33" i="70" l="1"/>
  <c r="G6" i="70"/>
  <c r="H7" i="70"/>
  <c r="G11" i="70"/>
  <c r="H11" i="70" s="1"/>
  <c r="H6" i="70" l="1"/>
  <c r="G33" i="70"/>
  <c r="E88" i="86" l="1"/>
  <c r="D88" i="86"/>
  <c r="E83" i="86"/>
  <c r="B51" i="86"/>
  <c r="A51" i="86"/>
  <c r="B43" i="86"/>
  <c r="B35" i="86"/>
  <c r="C27" i="86"/>
  <c r="B27" i="86"/>
  <c r="E26" i="86"/>
  <c r="E25" i="86"/>
  <c r="E24" i="86"/>
  <c r="D23" i="86"/>
  <c r="D27" i="86" s="1"/>
  <c r="C23" i="86"/>
  <c r="C6" i="86"/>
  <c r="C16" i="86" s="1"/>
  <c r="C18" i="86" s="1"/>
  <c r="J6" i="69"/>
  <c r="J33" i="69" s="1"/>
  <c r="K6" i="69"/>
  <c r="L6" i="69"/>
  <c r="M6" i="69" s="1"/>
  <c r="N6" i="69"/>
  <c r="O6" i="69"/>
  <c r="S6" i="69"/>
  <c r="S33" i="69" s="1"/>
  <c r="T6" i="69"/>
  <c r="U6" i="69"/>
  <c r="V6" i="69"/>
  <c r="W6" i="69" s="1"/>
  <c r="X6" i="69"/>
  <c r="E7" i="69"/>
  <c r="E6" i="69" s="1"/>
  <c r="F7" i="69"/>
  <c r="G7" i="69"/>
  <c r="G6" i="69" s="1"/>
  <c r="I7" i="69"/>
  <c r="I6" i="69" s="1"/>
  <c r="K7" i="69"/>
  <c r="L7" i="69"/>
  <c r="M7" i="69" s="1"/>
  <c r="P7" i="69"/>
  <c r="P6" i="69" s="1"/>
  <c r="P33" i="69" s="1"/>
  <c r="Q7" i="69"/>
  <c r="Q6" i="69" s="1"/>
  <c r="R7" i="69"/>
  <c r="W7" i="69"/>
  <c r="E8" i="69"/>
  <c r="F8" i="69"/>
  <c r="G8" i="69"/>
  <c r="H8" i="69" s="1"/>
  <c r="I8" i="69"/>
  <c r="M8" i="69"/>
  <c r="R8" i="69"/>
  <c r="W8" i="69"/>
  <c r="E9" i="69"/>
  <c r="G9" i="69"/>
  <c r="I9" i="69"/>
  <c r="K9" i="69"/>
  <c r="F9" i="69" s="1"/>
  <c r="M9" i="69"/>
  <c r="R9" i="69"/>
  <c r="W9" i="69"/>
  <c r="E10" i="69"/>
  <c r="F10" i="69"/>
  <c r="G10" i="69"/>
  <c r="H10" i="69"/>
  <c r="I10" i="69"/>
  <c r="M10" i="69"/>
  <c r="R10" i="69"/>
  <c r="W10" i="69"/>
  <c r="J11" i="69"/>
  <c r="L11" i="69"/>
  <c r="N11" i="69"/>
  <c r="O11" i="69"/>
  <c r="P11" i="69"/>
  <c r="T11" i="69"/>
  <c r="X11" i="69"/>
  <c r="E12" i="69"/>
  <c r="E11" i="69" s="1"/>
  <c r="F12" i="69"/>
  <c r="G12" i="69"/>
  <c r="H12" i="69" s="1"/>
  <c r="I12" i="69"/>
  <c r="K12" i="69"/>
  <c r="M12" i="69" s="1"/>
  <c r="Q12" i="69"/>
  <c r="R12" i="69"/>
  <c r="W12" i="69"/>
  <c r="E13" i="69"/>
  <c r="F13" i="69"/>
  <c r="H13" i="69" s="1"/>
  <c r="G13" i="69"/>
  <c r="I13" i="69"/>
  <c r="K13" i="69"/>
  <c r="M13" i="69"/>
  <c r="R13" i="69"/>
  <c r="W13" i="69"/>
  <c r="E14" i="69"/>
  <c r="F14" i="69"/>
  <c r="G14" i="69"/>
  <c r="H14" i="69" s="1"/>
  <c r="I14" i="69"/>
  <c r="M14" i="69"/>
  <c r="R14" i="69"/>
  <c r="W14" i="69"/>
  <c r="E15" i="69"/>
  <c r="G15" i="69"/>
  <c r="I15" i="69"/>
  <c r="K15" i="69"/>
  <c r="F15" i="69" s="1"/>
  <c r="M15" i="69"/>
  <c r="R15" i="69"/>
  <c r="W15" i="69"/>
  <c r="E16" i="69"/>
  <c r="I16" i="69"/>
  <c r="K16" i="69"/>
  <c r="F16" i="69" s="1"/>
  <c r="Q16" i="69"/>
  <c r="R16" i="69" s="1"/>
  <c r="W16" i="69"/>
  <c r="E17" i="69"/>
  <c r="G17" i="69"/>
  <c r="I17" i="69"/>
  <c r="K17" i="69"/>
  <c r="M17" i="69" s="1"/>
  <c r="R17" i="69"/>
  <c r="W17" i="69"/>
  <c r="E18" i="69"/>
  <c r="F18" i="69"/>
  <c r="G18" i="69"/>
  <c r="H18" i="69" s="1"/>
  <c r="I18" i="69"/>
  <c r="K18" i="69"/>
  <c r="M18" i="69"/>
  <c r="Q18" i="69"/>
  <c r="R18" i="69"/>
  <c r="S18" i="69"/>
  <c r="S11" i="69" s="1"/>
  <c r="W18" i="69"/>
  <c r="E19" i="69"/>
  <c r="F19" i="69"/>
  <c r="I19" i="69"/>
  <c r="K19" i="69"/>
  <c r="M19" i="69"/>
  <c r="Q19" i="69"/>
  <c r="G19" i="69" s="1"/>
  <c r="H19" i="69" s="1"/>
  <c r="W19" i="69"/>
  <c r="E20" i="69"/>
  <c r="I20" i="69"/>
  <c r="K20" i="69"/>
  <c r="F20" i="69" s="1"/>
  <c r="Q20" i="69"/>
  <c r="R20" i="69" s="1"/>
  <c r="U20" i="69"/>
  <c r="U11" i="69" s="1"/>
  <c r="U33" i="69" s="1"/>
  <c r="V20" i="69"/>
  <c r="V11" i="69" s="1"/>
  <c r="W20" i="69"/>
  <c r="E21" i="69"/>
  <c r="F21" i="69"/>
  <c r="H21" i="69" s="1"/>
  <c r="G21" i="69"/>
  <c r="M21" i="69"/>
  <c r="Q21" i="69"/>
  <c r="R21" i="69"/>
  <c r="S21" i="69"/>
  <c r="I21" i="69" s="1"/>
  <c r="W21" i="69"/>
  <c r="E22" i="69"/>
  <c r="F22" i="69"/>
  <c r="H22" i="69" s="1"/>
  <c r="G22" i="69"/>
  <c r="I22" i="69"/>
  <c r="M22" i="69"/>
  <c r="R22" i="69"/>
  <c r="W22" i="69"/>
  <c r="E23" i="69"/>
  <c r="F23" i="69"/>
  <c r="H23" i="69" s="1"/>
  <c r="G23" i="69"/>
  <c r="I23" i="69"/>
  <c r="M23" i="69"/>
  <c r="R23" i="69"/>
  <c r="W23" i="69"/>
  <c r="E24" i="69"/>
  <c r="F24" i="69"/>
  <c r="H24" i="69" s="1"/>
  <c r="G24" i="69"/>
  <c r="I24" i="69"/>
  <c r="M24" i="69"/>
  <c r="R24" i="69"/>
  <c r="W24" i="69"/>
  <c r="E25" i="69"/>
  <c r="F25" i="69"/>
  <c r="H25" i="69" s="1"/>
  <c r="G25" i="69"/>
  <c r="I25" i="69"/>
  <c r="M25" i="69"/>
  <c r="R25" i="69"/>
  <c r="W25" i="69"/>
  <c r="E26" i="69"/>
  <c r="F26" i="69"/>
  <c r="I26" i="69"/>
  <c r="K26" i="69"/>
  <c r="M26" i="69"/>
  <c r="Q26" i="69"/>
  <c r="G26" i="69" s="1"/>
  <c r="H26" i="69" s="1"/>
  <c r="W26" i="69"/>
  <c r="E27" i="69"/>
  <c r="F27" i="69"/>
  <c r="G27" i="69"/>
  <c r="H27" i="69"/>
  <c r="I27" i="69"/>
  <c r="M27" i="69"/>
  <c r="R27" i="69"/>
  <c r="W27" i="69"/>
  <c r="E28" i="69"/>
  <c r="I28" i="69"/>
  <c r="K28" i="69"/>
  <c r="F28" i="69" s="1"/>
  <c r="Q28" i="69"/>
  <c r="R28" i="69" s="1"/>
  <c r="W28" i="69"/>
  <c r="E29" i="69"/>
  <c r="G29" i="69"/>
  <c r="I29" i="69"/>
  <c r="K29" i="69"/>
  <c r="M29" i="69" s="1"/>
  <c r="R29" i="69"/>
  <c r="W29" i="69"/>
  <c r="E30" i="69"/>
  <c r="F30" i="69"/>
  <c r="G30" i="69"/>
  <c r="H30" i="69" s="1"/>
  <c r="I30" i="69"/>
  <c r="M30" i="69"/>
  <c r="R30" i="69"/>
  <c r="W30" i="69"/>
  <c r="E31" i="69"/>
  <c r="F31" i="69"/>
  <c r="G31" i="69"/>
  <c r="H31" i="69" s="1"/>
  <c r="I31" i="69"/>
  <c r="M31" i="69"/>
  <c r="R31" i="69"/>
  <c r="W31" i="69"/>
  <c r="E32" i="69"/>
  <c r="F32" i="69"/>
  <c r="G32" i="69"/>
  <c r="H32" i="69" s="1"/>
  <c r="I32" i="69"/>
  <c r="M32" i="69"/>
  <c r="R32" i="69"/>
  <c r="W32" i="69"/>
  <c r="L33" i="69"/>
  <c r="N33" i="69"/>
  <c r="O33" i="69"/>
  <c r="T33" i="69"/>
  <c r="X33" i="69"/>
  <c r="H34" i="69"/>
  <c r="M34" i="69"/>
  <c r="R34" i="69"/>
  <c r="W34" i="69"/>
  <c r="H35" i="69"/>
  <c r="M35" i="69"/>
  <c r="R35" i="69"/>
  <c r="W35" i="69"/>
  <c r="H36" i="69"/>
  <c r="M36" i="69"/>
  <c r="R36" i="69"/>
  <c r="W36" i="69"/>
  <c r="H37" i="69"/>
  <c r="M37" i="69"/>
  <c r="R37" i="69"/>
  <c r="W37" i="69"/>
  <c r="E23" i="86" l="1"/>
  <c r="E27" i="86" s="1"/>
  <c r="H9" i="69"/>
  <c r="F6" i="69"/>
  <c r="E33" i="69"/>
  <c r="H15" i="69"/>
  <c r="R6" i="69"/>
  <c r="Q33" i="69"/>
  <c r="R33" i="69" s="1"/>
  <c r="W11" i="69"/>
  <c r="V33" i="69"/>
  <c r="W33" i="69" s="1"/>
  <c r="I11" i="69"/>
  <c r="I33" i="69" s="1"/>
  <c r="M28" i="69"/>
  <c r="R26" i="69"/>
  <c r="M20" i="69"/>
  <c r="R19" i="69"/>
  <c r="M16" i="69"/>
  <c r="K11" i="69"/>
  <c r="K33" i="69" s="1"/>
  <c r="M33" i="69" s="1"/>
  <c r="H7" i="69"/>
  <c r="F29" i="69"/>
  <c r="H29" i="69" s="1"/>
  <c r="F17" i="69"/>
  <c r="H17" i="69" s="1"/>
  <c r="Q11" i="69"/>
  <c r="R11" i="69" s="1"/>
  <c r="G28" i="69"/>
  <c r="H28" i="69" s="1"/>
  <c r="G20" i="69"/>
  <c r="H20" i="69" s="1"/>
  <c r="G16" i="69"/>
  <c r="H16" i="69" s="1"/>
  <c r="G11" i="69" l="1"/>
  <c r="M11" i="69"/>
  <c r="F11" i="69"/>
  <c r="F33" i="69" s="1"/>
  <c r="H6" i="69"/>
  <c r="H11" i="69" l="1"/>
  <c r="G33" i="69"/>
  <c r="H33" i="69" s="1"/>
  <c r="E79" i="68" l="1"/>
  <c r="D79" i="68"/>
  <c r="B51" i="68"/>
  <c r="A51" i="68"/>
  <c r="B43" i="68"/>
  <c r="B35" i="68"/>
  <c r="D27" i="68"/>
  <c r="C27" i="68"/>
  <c r="E26" i="68"/>
  <c r="E25" i="68"/>
  <c r="E24" i="68"/>
  <c r="D23" i="68"/>
  <c r="C23" i="68"/>
  <c r="B23" i="68"/>
  <c r="B27" i="68" s="1"/>
  <c r="C6" i="68"/>
  <c r="C16" i="68" s="1"/>
  <c r="C18" i="68" s="1"/>
  <c r="E23" i="68" l="1"/>
  <c r="E27" i="68" s="1"/>
  <c r="W37" i="89" l="1"/>
  <c r="R37" i="89"/>
  <c r="M37" i="89"/>
  <c r="H37" i="89"/>
  <c r="W36" i="89"/>
  <c r="R36" i="89"/>
  <c r="M36" i="89"/>
  <c r="H36" i="89"/>
  <c r="W35" i="89"/>
  <c r="R35" i="89"/>
  <c r="M35" i="89"/>
  <c r="H35" i="89"/>
  <c r="W34" i="89"/>
  <c r="R34" i="89"/>
  <c r="M34" i="89"/>
  <c r="H34" i="89"/>
  <c r="J33" i="89"/>
  <c r="W32" i="89"/>
  <c r="R32" i="89"/>
  <c r="M32" i="89"/>
  <c r="I32" i="89"/>
  <c r="G32" i="89"/>
  <c r="H32" i="89" s="1"/>
  <c r="F32" i="89"/>
  <c r="E32" i="89"/>
  <c r="W31" i="89"/>
  <c r="R31" i="89"/>
  <c r="M31" i="89"/>
  <c r="I31" i="89"/>
  <c r="G31" i="89"/>
  <c r="H31" i="89" s="1"/>
  <c r="F31" i="89"/>
  <c r="E31" i="89"/>
  <c r="W30" i="89"/>
  <c r="R30" i="89"/>
  <c r="N30" i="89"/>
  <c r="I30" i="89" s="1"/>
  <c r="M30" i="89"/>
  <c r="H30" i="89"/>
  <c r="G30" i="89"/>
  <c r="F30" i="89"/>
  <c r="E30" i="89"/>
  <c r="W29" i="89"/>
  <c r="R29" i="89"/>
  <c r="N29" i="89"/>
  <c r="I29" i="89" s="1"/>
  <c r="M29" i="89"/>
  <c r="G29" i="89"/>
  <c r="F29" i="89"/>
  <c r="H29" i="89" s="1"/>
  <c r="E29" i="89"/>
  <c r="W28" i="89"/>
  <c r="S28" i="89"/>
  <c r="I28" i="89" s="1"/>
  <c r="Q28" i="89"/>
  <c r="R28" i="89" s="1"/>
  <c r="O28" i="89"/>
  <c r="N28" i="89"/>
  <c r="M28" i="89"/>
  <c r="K28" i="89"/>
  <c r="F28" i="89"/>
  <c r="E28" i="89"/>
  <c r="W27" i="89"/>
  <c r="R27" i="89"/>
  <c r="M27" i="89"/>
  <c r="I27" i="89"/>
  <c r="H27" i="89"/>
  <c r="G27" i="89"/>
  <c r="F27" i="89"/>
  <c r="E27" i="89"/>
  <c r="W26" i="89"/>
  <c r="R26" i="89"/>
  <c r="N26" i="89"/>
  <c r="K26" i="89"/>
  <c r="F26" i="89" s="1"/>
  <c r="H26" i="89" s="1"/>
  <c r="I26" i="89"/>
  <c r="G26" i="89"/>
  <c r="E26" i="89"/>
  <c r="W25" i="89"/>
  <c r="R25" i="89"/>
  <c r="N25" i="89"/>
  <c r="I25" i="89" s="1"/>
  <c r="M25" i="89"/>
  <c r="G25" i="89"/>
  <c r="H25" i="89" s="1"/>
  <c r="F25" i="89"/>
  <c r="E25" i="89"/>
  <c r="W24" i="89"/>
  <c r="R24" i="89"/>
  <c r="M24" i="89"/>
  <c r="I24" i="89"/>
  <c r="G24" i="89"/>
  <c r="H24" i="89" s="1"/>
  <c r="F24" i="89"/>
  <c r="E24" i="89"/>
  <c r="W23" i="89"/>
  <c r="R23" i="89"/>
  <c r="M23" i="89"/>
  <c r="I23" i="89"/>
  <c r="G23" i="89"/>
  <c r="H23" i="89" s="1"/>
  <c r="F23" i="89"/>
  <c r="E23" i="89"/>
  <c r="W22" i="89"/>
  <c r="R22" i="89"/>
  <c r="M22" i="89"/>
  <c r="I22" i="89"/>
  <c r="G22" i="89"/>
  <c r="H22" i="89" s="1"/>
  <c r="F22" i="89"/>
  <c r="E22" i="89"/>
  <c r="W21" i="89"/>
  <c r="S21" i="89"/>
  <c r="I21" i="89" s="1"/>
  <c r="Q21" i="89"/>
  <c r="R21" i="89" s="1"/>
  <c r="N21" i="89"/>
  <c r="M21" i="89"/>
  <c r="G21" i="89"/>
  <c r="H21" i="89" s="1"/>
  <c r="F21" i="89"/>
  <c r="E21" i="89"/>
  <c r="X20" i="89"/>
  <c r="V20" i="89"/>
  <c r="W20" i="89" s="1"/>
  <c r="S20" i="89"/>
  <c r="Q20" i="89"/>
  <c r="G20" i="89" s="1"/>
  <c r="H20" i="89" s="1"/>
  <c r="O20" i="89"/>
  <c r="O11" i="89" s="1"/>
  <c r="N20" i="89"/>
  <c r="I20" i="89" s="1"/>
  <c r="M20" i="89"/>
  <c r="F20" i="89"/>
  <c r="W19" i="89"/>
  <c r="S19" i="89"/>
  <c r="R19" i="89"/>
  <c r="Q19" i="89"/>
  <c r="O19" i="89"/>
  <c r="N19" i="89"/>
  <c r="K19" i="89"/>
  <c r="F19" i="89" s="1"/>
  <c r="I19" i="89"/>
  <c r="G19" i="89"/>
  <c r="E19" i="89"/>
  <c r="W18" i="89"/>
  <c r="S18" i="89"/>
  <c r="Q18" i="89"/>
  <c r="R18" i="89" s="1"/>
  <c r="O18" i="89"/>
  <c r="N18" i="89"/>
  <c r="L18" i="89"/>
  <c r="M18" i="89" s="1"/>
  <c r="I18" i="89"/>
  <c r="F18" i="89"/>
  <c r="E18" i="89"/>
  <c r="W17" i="89"/>
  <c r="R17" i="89"/>
  <c r="N17" i="89"/>
  <c r="I17" i="89" s="1"/>
  <c r="M17" i="89"/>
  <c r="G17" i="89"/>
  <c r="H17" i="89" s="1"/>
  <c r="F17" i="89"/>
  <c r="E17" i="89"/>
  <c r="W16" i="89"/>
  <c r="S16" i="89"/>
  <c r="R16" i="89"/>
  <c r="Q16" i="89"/>
  <c r="G16" i="89" s="1"/>
  <c r="H16" i="89" s="1"/>
  <c r="N16" i="89"/>
  <c r="I16" i="89" s="1"/>
  <c r="M16" i="89"/>
  <c r="F16" i="89"/>
  <c r="E16" i="89"/>
  <c r="W15" i="89"/>
  <c r="R15" i="89"/>
  <c r="N15" i="89"/>
  <c r="I15" i="89" s="1"/>
  <c r="K15" i="89"/>
  <c r="M15" i="89" s="1"/>
  <c r="G15" i="89"/>
  <c r="E15" i="89"/>
  <c r="W14" i="89"/>
  <c r="R14" i="89"/>
  <c r="N14" i="89"/>
  <c r="I14" i="89" s="1"/>
  <c r="M14" i="89"/>
  <c r="G14" i="89"/>
  <c r="F14" i="89"/>
  <c r="H14" i="89" s="1"/>
  <c r="E14" i="89"/>
  <c r="X13" i="89"/>
  <c r="X11" i="89" s="1"/>
  <c r="W13" i="89"/>
  <c r="V13" i="89"/>
  <c r="R13" i="89"/>
  <c r="N13" i="89"/>
  <c r="I13" i="89" s="1"/>
  <c r="L13" i="89"/>
  <c r="G13" i="89" s="1"/>
  <c r="K13" i="89"/>
  <c r="K11" i="89" s="1"/>
  <c r="E13" i="89"/>
  <c r="W12" i="89"/>
  <c r="S12" i="89"/>
  <c r="S11" i="89" s="1"/>
  <c r="R12" i="89"/>
  <c r="Q12" i="89"/>
  <c r="Q11" i="89" s="1"/>
  <c r="O12" i="89"/>
  <c r="E12" i="89" s="1"/>
  <c r="N12" i="89"/>
  <c r="L12" i="89"/>
  <c r="G12" i="89" s="1"/>
  <c r="K12" i="89"/>
  <c r="F12" i="89"/>
  <c r="V11" i="89"/>
  <c r="U11" i="89"/>
  <c r="W11" i="89" s="1"/>
  <c r="T11" i="89"/>
  <c r="T33" i="89" s="1"/>
  <c r="P11" i="89"/>
  <c r="L11" i="89"/>
  <c r="J11" i="89"/>
  <c r="W10" i="89"/>
  <c r="R10" i="89"/>
  <c r="M10" i="89"/>
  <c r="I10" i="89"/>
  <c r="G10" i="89"/>
  <c r="H10" i="89" s="1"/>
  <c r="F10" i="89"/>
  <c r="E10" i="89"/>
  <c r="X9" i="89"/>
  <c r="W9" i="89"/>
  <c r="S9" i="89"/>
  <c r="Q9" i="89"/>
  <c r="R9" i="89" s="1"/>
  <c r="N9" i="89"/>
  <c r="M9" i="89"/>
  <c r="I9" i="89"/>
  <c r="H9" i="89"/>
  <c r="G9" i="89"/>
  <c r="F9" i="89"/>
  <c r="E9" i="89"/>
  <c r="W8" i="89"/>
  <c r="R8" i="89"/>
  <c r="N8" i="89"/>
  <c r="M8" i="89"/>
  <c r="I8" i="89"/>
  <c r="G8" i="89"/>
  <c r="H8" i="89" s="1"/>
  <c r="F8" i="89"/>
  <c r="E8" i="89"/>
  <c r="W7" i="89"/>
  <c r="V7" i="89"/>
  <c r="R7" i="89"/>
  <c r="N7" i="89"/>
  <c r="N6" i="89" s="1"/>
  <c r="L7" i="89"/>
  <c r="M7" i="89" s="1"/>
  <c r="G7" i="89"/>
  <c r="G6" i="89" s="1"/>
  <c r="F7" i="89"/>
  <c r="E7" i="89"/>
  <c r="E6" i="89" s="1"/>
  <c r="X6" i="89"/>
  <c r="X33" i="89" s="1"/>
  <c r="V6" i="89"/>
  <c r="W6" i="89" s="1"/>
  <c r="U6" i="89"/>
  <c r="U33" i="89" s="1"/>
  <c r="T6" i="89"/>
  <c r="S6" i="89"/>
  <c r="S33" i="89" s="1"/>
  <c r="Q6" i="89"/>
  <c r="R6" i="89" s="1"/>
  <c r="P6" i="89"/>
  <c r="P33" i="89" s="1"/>
  <c r="O6" i="89"/>
  <c r="K6" i="89"/>
  <c r="J6" i="89"/>
  <c r="F6" i="89"/>
  <c r="H15" i="89" l="1"/>
  <c r="G11" i="89"/>
  <c r="H11" i="89" s="1"/>
  <c r="H12" i="89"/>
  <c r="N33" i="89"/>
  <c r="H6" i="89"/>
  <c r="M11" i="89"/>
  <c r="F33" i="89"/>
  <c r="R11" i="89"/>
  <c r="Q33" i="89"/>
  <c r="R33" i="89" s="1"/>
  <c r="K33" i="89"/>
  <c r="H19" i="89"/>
  <c r="O33" i="89"/>
  <c r="F11" i="89"/>
  <c r="M26" i="89"/>
  <c r="N11" i="89"/>
  <c r="M13" i="89"/>
  <c r="F15" i="89"/>
  <c r="M19" i="89"/>
  <c r="R20" i="89"/>
  <c r="G18" i="89"/>
  <c r="H18" i="89" s="1"/>
  <c r="L6" i="89"/>
  <c r="H7" i="89"/>
  <c r="M12" i="89"/>
  <c r="F13" i="89"/>
  <c r="H13" i="89" s="1"/>
  <c r="E20" i="89"/>
  <c r="E11" i="89" s="1"/>
  <c r="E33" i="89" s="1"/>
  <c r="I7" i="89"/>
  <c r="I6" i="89" s="1"/>
  <c r="V33" i="89"/>
  <c r="W33" i="89" s="1"/>
  <c r="I12" i="89"/>
  <c r="I11" i="89" s="1"/>
  <c r="G28" i="89"/>
  <c r="H28" i="89" s="1"/>
  <c r="M6" i="89" l="1"/>
  <c r="L33" i="89"/>
  <c r="M33" i="89" s="1"/>
  <c r="I33" i="89"/>
  <c r="G33" i="89"/>
  <c r="H33" i="89" s="1"/>
  <c r="E85" i="67" l="1"/>
  <c r="D85" i="67"/>
  <c r="B51" i="67"/>
  <c r="A51" i="67"/>
  <c r="B43" i="67"/>
  <c r="B35" i="67"/>
  <c r="D27" i="67"/>
  <c r="C27" i="67"/>
  <c r="B27" i="67"/>
  <c r="E26" i="67"/>
  <c r="E25" i="67"/>
  <c r="E24" i="67"/>
  <c r="E23" i="67"/>
  <c r="E27" i="67" s="1"/>
  <c r="C18" i="67"/>
  <c r="C6" i="67"/>
  <c r="I32" i="85" l="1"/>
  <c r="G32" i="85"/>
  <c r="F32" i="85"/>
  <c r="E32" i="85"/>
  <c r="I31" i="85"/>
  <c r="G31" i="85"/>
  <c r="F31" i="85"/>
  <c r="E31" i="85"/>
  <c r="I30" i="85"/>
  <c r="G30" i="85"/>
  <c r="F30" i="85"/>
  <c r="E30" i="85"/>
  <c r="M29" i="85"/>
  <c r="G29" i="85"/>
  <c r="H29" i="85" s="1"/>
  <c r="F29" i="85"/>
  <c r="E29" i="85"/>
  <c r="R28" i="85"/>
  <c r="M28" i="85"/>
  <c r="L28" i="85"/>
  <c r="G28" i="85"/>
  <c r="H28" i="85" s="1"/>
  <c r="F28" i="85"/>
  <c r="E28" i="85"/>
  <c r="I27" i="85"/>
  <c r="I11" i="85" s="1"/>
  <c r="G27" i="85"/>
  <c r="F27" i="85"/>
  <c r="E27" i="85"/>
  <c r="M26" i="85"/>
  <c r="G26" i="85"/>
  <c r="H26" i="85" s="1"/>
  <c r="F26" i="85"/>
  <c r="E26" i="85"/>
  <c r="I25" i="85"/>
  <c r="G25" i="85"/>
  <c r="F25" i="85"/>
  <c r="E25" i="85"/>
  <c r="I24" i="85"/>
  <c r="G24" i="85"/>
  <c r="F24" i="85"/>
  <c r="E24" i="85"/>
  <c r="I23" i="85"/>
  <c r="G23" i="85"/>
  <c r="F23" i="85"/>
  <c r="E23" i="85"/>
  <c r="I22" i="85"/>
  <c r="G22" i="85"/>
  <c r="F22" i="85"/>
  <c r="E22" i="85"/>
  <c r="Q21" i="85"/>
  <c r="R21" i="85" s="1"/>
  <c r="M21" i="85"/>
  <c r="F21" i="85"/>
  <c r="E21" i="85"/>
  <c r="R20" i="85"/>
  <c r="Q20" i="85"/>
  <c r="M20" i="85"/>
  <c r="G20" i="85"/>
  <c r="H20" i="85" s="1"/>
  <c r="F20" i="85"/>
  <c r="E20" i="85"/>
  <c r="Q19" i="85"/>
  <c r="R19" i="85" s="1"/>
  <c r="M19" i="85"/>
  <c r="F19" i="85"/>
  <c r="E19" i="85"/>
  <c r="R18" i="85"/>
  <c r="Q18" i="85"/>
  <c r="M18" i="85"/>
  <c r="L18" i="85"/>
  <c r="G18" i="85" s="1"/>
  <c r="H18" i="85" s="1"/>
  <c r="F18" i="85"/>
  <c r="E18" i="85"/>
  <c r="G17" i="85"/>
  <c r="F17" i="85"/>
  <c r="E17" i="85"/>
  <c r="I16" i="85"/>
  <c r="G16" i="85"/>
  <c r="F16" i="85"/>
  <c r="E16" i="85"/>
  <c r="L15" i="85"/>
  <c r="M15" i="85" s="1"/>
  <c r="G15" i="85"/>
  <c r="H15" i="85" s="1"/>
  <c r="F15" i="85"/>
  <c r="E15" i="85"/>
  <c r="E11" i="85" s="1"/>
  <c r="I14" i="85"/>
  <c r="G14" i="85"/>
  <c r="F14" i="85"/>
  <c r="E14" i="85"/>
  <c r="L13" i="85"/>
  <c r="M13" i="85" s="1"/>
  <c r="G13" i="85"/>
  <c r="H13" i="85" s="1"/>
  <c r="F13" i="85"/>
  <c r="E13" i="85"/>
  <c r="Q12" i="85"/>
  <c r="Q11" i="85" s="1"/>
  <c r="R11" i="85" s="1"/>
  <c r="L12" i="85"/>
  <c r="M12" i="85" s="1"/>
  <c r="K12" i="85"/>
  <c r="F12" i="85"/>
  <c r="F11" i="85" s="1"/>
  <c r="E12" i="85"/>
  <c r="X11" i="85"/>
  <c r="V11" i="85"/>
  <c r="U11" i="85"/>
  <c r="U33" i="85" s="1"/>
  <c r="T11" i="85"/>
  <c r="S11" i="85"/>
  <c r="P11" i="85"/>
  <c r="O11" i="85"/>
  <c r="N11" i="85"/>
  <c r="K11" i="85"/>
  <c r="K33" i="85" s="1"/>
  <c r="J11" i="85"/>
  <c r="I10" i="85"/>
  <c r="G10" i="85"/>
  <c r="F10" i="85"/>
  <c r="E10" i="85"/>
  <c r="Q9" i="85"/>
  <c r="Q6" i="85" s="1"/>
  <c r="M9" i="85"/>
  <c r="F9" i="85"/>
  <c r="E9" i="85"/>
  <c r="I8" i="85"/>
  <c r="I6" i="85" s="1"/>
  <c r="G8" i="85"/>
  <c r="F8" i="85"/>
  <c r="E8" i="85"/>
  <c r="W7" i="85"/>
  <c r="L7" i="85"/>
  <c r="M7" i="85" s="1"/>
  <c r="K7" i="85"/>
  <c r="F7" i="85"/>
  <c r="E7" i="85"/>
  <c r="X6" i="85"/>
  <c r="X33" i="85" s="1"/>
  <c r="V6" i="85"/>
  <c r="V33" i="85" s="1"/>
  <c r="W33" i="85" s="1"/>
  <c r="U6" i="85"/>
  <c r="T6" i="85"/>
  <c r="T33" i="85" s="1"/>
  <c r="S6" i="85"/>
  <c r="S33" i="85" s="1"/>
  <c r="P6" i="85"/>
  <c r="P33" i="85" s="1"/>
  <c r="O6" i="85"/>
  <c r="O33" i="85" s="1"/>
  <c r="N6" i="85"/>
  <c r="N33" i="85" s="1"/>
  <c r="K6" i="85"/>
  <c r="J6" i="85"/>
  <c r="J33" i="85" s="1"/>
  <c r="F6" i="85"/>
  <c r="F33" i="85" s="1"/>
  <c r="E6" i="85"/>
  <c r="I33" i="85" l="1"/>
  <c r="E33" i="85"/>
  <c r="Q33" i="85"/>
  <c r="R6" i="85"/>
  <c r="G7" i="85"/>
  <c r="R9" i="85"/>
  <c r="R12" i="85"/>
  <c r="G21" i="85"/>
  <c r="H21" i="85" s="1"/>
  <c r="L6" i="85"/>
  <c r="G12" i="85"/>
  <c r="G19" i="85"/>
  <c r="H19" i="85" s="1"/>
  <c r="W6" i="85"/>
  <c r="G9" i="85"/>
  <c r="H9" i="85" s="1"/>
  <c r="L11" i="85"/>
  <c r="M11" i="85" s="1"/>
  <c r="G6" i="85" l="1"/>
  <c r="H7" i="85"/>
  <c r="G11" i="85"/>
  <c r="H11" i="85" s="1"/>
  <c r="H12" i="85"/>
  <c r="L33" i="85"/>
  <c r="M6" i="85"/>
  <c r="H6" i="85" l="1"/>
  <c r="G33" i="85"/>
  <c r="B47" i="66" l="1"/>
  <c r="A47" i="66"/>
  <c r="B39" i="66"/>
  <c r="B33" i="66"/>
  <c r="D27" i="66"/>
  <c r="C27" i="66"/>
  <c r="B27" i="66"/>
  <c r="E26" i="66"/>
  <c r="E25" i="66"/>
  <c r="E27" i="66" s="1"/>
  <c r="E24" i="66"/>
  <c r="E23" i="66"/>
  <c r="C18" i="66"/>
  <c r="C6" i="66"/>
  <c r="R37" i="84" l="1"/>
  <c r="I37" i="84"/>
  <c r="G37" i="84"/>
  <c r="H37" i="84" s="1"/>
  <c r="F37" i="84"/>
  <c r="E37" i="84"/>
  <c r="R36" i="84"/>
  <c r="I36" i="84"/>
  <c r="G36" i="84"/>
  <c r="H36" i="84" s="1"/>
  <c r="F36" i="84"/>
  <c r="E36" i="84"/>
  <c r="R35" i="84"/>
  <c r="I35" i="84"/>
  <c r="G35" i="84"/>
  <c r="H35" i="84" s="1"/>
  <c r="F35" i="84"/>
  <c r="E35" i="84"/>
  <c r="U33" i="84"/>
  <c r="Q33" i="84"/>
  <c r="P33" i="84"/>
  <c r="I32" i="84"/>
  <c r="G32" i="84"/>
  <c r="F32" i="84"/>
  <c r="E32" i="84"/>
  <c r="I31" i="84"/>
  <c r="G31" i="84"/>
  <c r="F31" i="84"/>
  <c r="E31" i="84"/>
  <c r="I30" i="84"/>
  <c r="G30" i="84"/>
  <c r="F30" i="84"/>
  <c r="E30" i="84"/>
  <c r="M29" i="84"/>
  <c r="I29" i="84"/>
  <c r="G29" i="84"/>
  <c r="H29" i="84" s="1"/>
  <c r="F29" i="84"/>
  <c r="E29" i="84"/>
  <c r="W28" i="84"/>
  <c r="R28" i="84"/>
  <c r="M28" i="84"/>
  <c r="I28" i="84"/>
  <c r="G28" i="84"/>
  <c r="H28" i="84" s="1"/>
  <c r="F28" i="84"/>
  <c r="E28" i="84"/>
  <c r="I27" i="84"/>
  <c r="G27" i="84"/>
  <c r="F27" i="84"/>
  <c r="E27" i="84"/>
  <c r="M26" i="84"/>
  <c r="I26" i="84"/>
  <c r="G26" i="84"/>
  <c r="H26" i="84" s="1"/>
  <c r="F26" i="84"/>
  <c r="E26" i="84"/>
  <c r="I25" i="84"/>
  <c r="G25" i="84"/>
  <c r="F25" i="84"/>
  <c r="E25" i="84"/>
  <c r="I24" i="84"/>
  <c r="G24" i="84"/>
  <c r="F24" i="84"/>
  <c r="E24" i="84"/>
  <c r="M23" i="84"/>
  <c r="I23" i="84"/>
  <c r="G23" i="84"/>
  <c r="F23" i="84"/>
  <c r="E23" i="84"/>
  <c r="I22" i="84"/>
  <c r="G22" i="84"/>
  <c r="F22" i="84"/>
  <c r="E22" i="84"/>
  <c r="R21" i="84"/>
  <c r="M21" i="84"/>
  <c r="I21" i="84"/>
  <c r="G21" i="84"/>
  <c r="H21" i="84" s="1"/>
  <c r="F21" i="84"/>
  <c r="E21" i="84"/>
  <c r="R20" i="84"/>
  <c r="I20" i="84"/>
  <c r="G20" i="84"/>
  <c r="H20" i="84" s="1"/>
  <c r="F20" i="84"/>
  <c r="E20" i="84"/>
  <c r="R19" i="84"/>
  <c r="I19" i="84"/>
  <c r="G19" i="84"/>
  <c r="H19" i="84" s="1"/>
  <c r="F19" i="84"/>
  <c r="E19" i="84"/>
  <c r="R18" i="84"/>
  <c r="M18" i="84"/>
  <c r="I18" i="84"/>
  <c r="G18" i="84"/>
  <c r="F18" i="84"/>
  <c r="H18" i="84" s="1"/>
  <c r="E18" i="84"/>
  <c r="E11" i="84" s="1"/>
  <c r="E33" i="84" s="1"/>
  <c r="M17" i="84"/>
  <c r="I17" i="84"/>
  <c r="H17" i="84"/>
  <c r="G17" i="84"/>
  <c r="F17" i="84"/>
  <c r="E17" i="84"/>
  <c r="M16" i="84"/>
  <c r="I16" i="84"/>
  <c r="H16" i="84"/>
  <c r="G16" i="84"/>
  <c r="F16" i="84"/>
  <c r="E16" i="84"/>
  <c r="M15" i="84"/>
  <c r="I15" i="84"/>
  <c r="G15" i="84"/>
  <c r="H15" i="84" s="1"/>
  <c r="F15" i="84"/>
  <c r="E15" i="84"/>
  <c r="I14" i="84"/>
  <c r="G14" i="84"/>
  <c r="F14" i="84"/>
  <c r="E14" i="84"/>
  <c r="M13" i="84"/>
  <c r="I13" i="84"/>
  <c r="H13" i="84"/>
  <c r="G13" i="84"/>
  <c r="F13" i="84"/>
  <c r="E13" i="84"/>
  <c r="R12" i="84"/>
  <c r="M12" i="84"/>
  <c r="G12" i="84"/>
  <c r="G11" i="84" s="1"/>
  <c r="H11" i="84" s="1"/>
  <c r="F12" i="84"/>
  <c r="F11" i="84" s="1"/>
  <c r="E12" i="84"/>
  <c r="X11" i="84"/>
  <c r="V11" i="84"/>
  <c r="W11" i="84" s="1"/>
  <c r="U11" i="84"/>
  <c r="T11" i="84"/>
  <c r="S11" i="84"/>
  <c r="R11" i="84"/>
  <c r="Q11" i="84"/>
  <c r="P11" i="84"/>
  <c r="O11" i="84"/>
  <c r="L11" i="84"/>
  <c r="K11" i="84"/>
  <c r="M11" i="84" s="1"/>
  <c r="J11" i="84"/>
  <c r="G10" i="84"/>
  <c r="F10" i="84"/>
  <c r="E10" i="84"/>
  <c r="R9" i="84"/>
  <c r="M9" i="84"/>
  <c r="I9" i="84"/>
  <c r="H9" i="84"/>
  <c r="G9" i="84"/>
  <c r="F9" i="84"/>
  <c r="E9" i="84"/>
  <c r="M8" i="84"/>
  <c r="I8" i="84"/>
  <c r="H8" i="84"/>
  <c r="G8" i="84"/>
  <c r="F8" i="84"/>
  <c r="E8" i="84"/>
  <c r="W7" i="84"/>
  <c r="M7" i="84"/>
  <c r="G7" i="84"/>
  <c r="G6" i="84" s="1"/>
  <c r="F7" i="84"/>
  <c r="F6" i="84" s="1"/>
  <c r="F33" i="84" s="1"/>
  <c r="E7" i="84"/>
  <c r="X6" i="84"/>
  <c r="X33" i="84" s="1"/>
  <c r="V6" i="84"/>
  <c r="V33" i="84" s="1"/>
  <c r="W33" i="84" s="1"/>
  <c r="U6" i="84"/>
  <c r="T6" i="84"/>
  <c r="T33" i="84" s="1"/>
  <c r="S6" i="84"/>
  <c r="S33" i="84" s="1"/>
  <c r="R6" i="84"/>
  <c r="Q6" i="84"/>
  <c r="P6" i="84"/>
  <c r="O6" i="84"/>
  <c r="O33" i="84" s="1"/>
  <c r="N6" i="84"/>
  <c r="N33" i="84" s="1"/>
  <c r="L6" i="84"/>
  <c r="L33" i="84" s="1"/>
  <c r="K6" i="84"/>
  <c r="K33" i="84" s="1"/>
  <c r="J6" i="84"/>
  <c r="J33" i="84" s="1"/>
  <c r="E6" i="84"/>
  <c r="H6" i="84" l="1"/>
  <c r="G33" i="84"/>
  <c r="H7" i="84"/>
  <c r="H12" i="84"/>
  <c r="M6" i="84"/>
  <c r="W6" i="84"/>
  <c r="E85" i="65" l="1"/>
  <c r="D85" i="65"/>
  <c r="B45" i="65"/>
  <c r="A45" i="65"/>
  <c r="B39" i="65"/>
  <c r="B33" i="65"/>
  <c r="E27" i="65"/>
  <c r="D27" i="65"/>
  <c r="C27" i="65"/>
  <c r="B27" i="65"/>
  <c r="E26" i="65"/>
  <c r="E25" i="65"/>
  <c r="E24" i="65"/>
  <c r="E23" i="65"/>
  <c r="C18" i="65"/>
  <c r="R37" i="83" l="1"/>
  <c r="I37" i="83"/>
  <c r="H37" i="83"/>
  <c r="R36" i="83"/>
  <c r="I36" i="83"/>
  <c r="H36" i="83"/>
  <c r="R35" i="83"/>
  <c r="I35" i="83"/>
  <c r="H35" i="83"/>
  <c r="R34" i="83"/>
  <c r="I34" i="83"/>
  <c r="H34" i="83"/>
  <c r="Q33" i="83"/>
  <c r="I32" i="83"/>
  <c r="G32" i="83"/>
  <c r="F32" i="83"/>
  <c r="E32" i="83"/>
  <c r="I31" i="83"/>
  <c r="G31" i="83"/>
  <c r="F31" i="83"/>
  <c r="E31" i="83"/>
  <c r="I30" i="83"/>
  <c r="G30" i="83"/>
  <c r="E30" i="83"/>
  <c r="M29" i="83"/>
  <c r="I29" i="83"/>
  <c r="H29" i="83"/>
  <c r="G29" i="83"/>
  <c r="F29" i="83"/>
  <c r="E29" i="83"/>
  <c r="R28" i="83"/>
  <c r="M28" i="83"/>
  <c r="I28" i="83"/>
  <c r="G28" i="83"/>
  <c r="H28" i="83" s="1"/>
  <c r="F28" i="83"/>
  <c r="E28" i="83"/>
  <c r="I27" i="83"/>
  <c r="G27" i="83"/>
  <c r="F27" i="83"/>
  <c r="E27" i="83"/>
  <c r="M26" i="83"/>
  <c r="I26" i="83"/>
  <c r="G26" i="83"/>
  <c r="H26" i="83" s="1"/>
  <c r="F26" i="83"/>
  <c r="E26" i="83"/>
  <c r="M25" i="83"/>
  <c r="I25" i="83"/>
  <c r="G25" i="83"/>
  <c r="H25" i="83" s="1"/>
  <c r="F25" i="83"/>
  <c r="E25" i="83"/>
  <c r="I24" i="83"/>
  <c r="G24" i="83"/>
  <c r="F24" i="83"/>
  <c r="E24" i="83"/>
  <c r="I23" i="83"/>
  <c r="G23" i="83"/>
  <c r="F23" i="83"/>
  <c r="E23" i="83"/>
  <c r="I22" i="83"/>
  <c r="G22" i="83"/>
  <c r="F22" i="83"/>
  <c r="E22" i="83"/>
  <c r="R21" i="83"/>
  <c r="M21" i="83"/>
  <c r="I21" i="83"/>
  <c r="G21" i="83"/>
  <c r="H21" i="83" s="1"/>
  <c r="F21" i="83"/>
  <c r="E21" i="83"/>
  <c r="R20" i="83"/>
  <c r="M20" i="83"/>
  <c r="I20" i="83"/>
  <c r="G20" i="83"/>
  <c r="H20" i="83" s="1"/>
  <c r="F20" i="83"/>
  <c r="E20" i="83"/>
  <c r="R19" i="83"/>
  <c r="I19" i="83"/>
  <c r="G19" i="83"/>
  <c r="H19" i="83" s="1"/>
  <c r="F19" i="83"/>
  <c r="E19" i="83"/>
  <c r="M18" i="83"/>
  <c r="I18" i="83"/>
  <c r="G18" i="83"/>
  <c r="H18" i="83" s="1"/>
  <c r="F18" i="83"/>
  <c r="E18" i="83"/>
  <c r="M17" i="83"/>
  <c r="I17" i="83"/>
  <c r="G17" i="83"/>
  <c r="H17" i="83" s="1"/>
  <c r="F17" i="83"/>
  <c r="E17" i="83"/>
  <c r="E11" i="83" s="1"/>
  <c r="I16" i="83"/>
  <c r="H16" i="83"/>
  <c r="G16" i="83"/>
  <c r="F16" i="83"/>
  <c r="E16" i="83"/>
  <c r="M15" i="83"/>
  <c r="I15" i="83"/>
  <c r="G15" i="83"/>
  <c r="H15" i="83" s="1"/>
  <c r="F15" i="83"/>
  <c r="F11" i="83" s="1"/>
  <c r="E15" i="83"/>
  <c r="I14" i="83"/>
  <c r="G14" i="83"/>
  <c r="F14" i="83"/>
  <c r="E14" i="83"/>
  <c r="M13" i="83"/>
  <c r="I13" i="83"/>
  <c r="H13" i="83"/>
  <c r="G13" i="83"/>
  <c r="F13" i="83"/>
  <c r="E13" i="83"/>
  <c r="R12" i="83"/>
  <c r="M12" i="83"/>
  <c r="I12" i="83"/>
  <c r="I11" i="83" s="1"/>
  <c r="G12" i="83"/>
  <c r="H12" i="83" s="1"/>
  <c r="F12" i="83"/>
  <c r="E12" i="83"/>
  <c r="X11" i="83"/>
  <c r="V11" i="83"/>
  <c r="U11" i="83"/>
  <c r="T11" i="83"/>
  <c r="T33" i="83" s="1"/>
  <c r="S11" i="83"/>
  <c r="S33" i="83" s="1"/>
  <c r="R11" i="83"/>
  <c r="Q11" i="83"/>
  <c r="P11" i="83"/>
  <c r="O11" i="83"/>
  <c r="N11" i="83"/>
  <c r="L11" i="83"/>
  <c r="M11" i="83" s="1"/>
  <c r="K11" i="83"/>
  <c r="K33" i="83" s="1"/>
  <c r="J11" i="83"/>
  <c r="J33" i="83" s="1"/>
  <c r="M10" i="83"/>
  <c r="I10" i="83"/>
  <c r="H10" i="83"/>
  <c r="G10" i="83"/>
  <c r="F10" i="83"/>
  <c r="E10" i="83"/>
  <c r="R9" i="83"/>
  <c r="M9" i="83"/>
  <c r="I9" i="83"/>
  <c r="I6" i="83" s="1"/>
  <c r="I33" i="83" s="1"/>
  <c r="G9" i="83"/>
  <c r="G6" i="83" s="1"/>
  <c r="F9" i="83"/>
  <c r="E9" i="83"/>
  <c r="I8" i="83"/>
  <c r="G8" i="83"/>
  <c r="F8" i="83"/>
  <c r="E8" i="83"/>
  <c r="R7" i="83"/>
  <c r="M7" i="83"/>
  <c r="I7" i="83"/>
  <c r="G7" i="83"/>
  <c r="H7" i="83" s="1"/>
  <c r="F7" i="83"/>
  <c r="E7" i="83"/>
  <c r="X6" i="83"/>
  <c r="X33" i="83" s="1"/>
  <c r="V6" i="83"/>
  <c r="V33" i="83" s="1"/>
  <c r="U6" i="83"/>
  <c r="U33" i="83" s="1"/>
  <c r="T6" i="83"/>
  <c r="S6" i="83"/>
  <c r="Q6" i="83"/>
  <c r="R6" i="83" s="1"/>
  <c r="P6" i="83"/>
  <c r="P33" i="83" s="1"/>
  <c r="O6" i="83"/>
  <c r="O33" i="83" s="1"/>
  <c r="N6" i="83"/>
  <c r="N33" i="83" s="1"/>
  <c r="M6" i="83"/>
  <c r="L6" i="83"/>
  <c r="L33" i="83" s="1"/>
  <c r="K6" i="83"/>
  <c r="J6" i="83"/>
  <c r="F6" i="83"/>
  <c r="E6" i="83"/>
  <c r="E33" i="83" l="1"/>
  <c r="G33" i="83"/>
  <c r="H6" i="83"/>
  <c r="F33" i="83"/>
  <c r="H9" i="83"/>
  <c r="G11" i="83"/>
  <c r="H11" i="83" s="1"/>
  <c r="E83" i="64" l="1"/>
  <c r="D83" i="64"/>
  <c r="B45" i="64"/>
  <c r="A45" i="64"/>
  <c r="B39" i="64"/>
  <c r="B33" i="64"/>
  <c r="D27" i="64"/>
  <c r="C27" i="64"/>
  <c r="B27" i="64"/>
  <c r="E26" i="64"/>
  <c r="E25" i="64"/>
  <c r="E24" i="64"/>
  <c r="E23" i="64"/>
  <c r="E27" i="64" s="1"/>
  <c r="C18" i="64"/>
  <c r="C6" i="64"/>
  <c r="R37" i="82" l="1"/>
  <c r="I37" i="82"/>
  <c r="G37" i="82"/>
  <c r="H37" i="82" s="1"/>
  <c r="F37" i="82"/>
  <c r="E37" i="82"/>
  <c r="R36" i="82"/>
  <c r="I36" i="82"/>
  <c r="H36" i="82"/>
  <c r="G36" i="82"/>
  <c r="F36" i="82"/>
  <c r="E36" i="82"/>
  <c r="R35" i="82"/>
  <c r="I35" i="82"/>
  <c r="G35" i="82"/>
  <c r="H35" i="82" s="1"/>
  <c r="F35" i="82"/>
  <c r="E35" i="82"/>
  <c r="R34" i="82"/>
  <c r="I34" i="82"/>
  <c r="H34" i="82"/>
  <c r="G34" i="82"/>
  <c r="F34" i="82"/>
  <c r="N33" i="82"/>
  <c r="I32" i="82"/>
  <c r="G32" i="82"/>
  <c r="F32" i="82"/>
  <c r="E32" i="82"/>
  <c r="I31" i="82"/>
  <c r="G31" i="82"/>
  <c r="F31" i="82"/>
  <c r="E31" i="82"/>
  <c r="I30" i="82"/>
  <c r="G30" i="82"/>
  <c r="E30" i="82"/>
  <c r="M29" i="82"/>
  <c r="I29" i="82"/>
  <c r="G29" i="82"/>
  <c r="H29" i="82" s="1"/>
  <c r="F29" i="82"/>
  <c r="E29" i="82"/>
  <c r="R28" i="82"/>
  <c r="M28" i="82"/>
  <c r="I28" i="82"/>
  <c r="H28" i="82"/>
  <c r="G28" i="82"/>
  <c r="F28" i="82"/>
  <c r="E28" i="82"/>
  <c r="I27" i="82"/>
  <c r="G27" i="82"/>
  <c r="F27" i="82"/>
  <c r="E27" i="82"/>
  <c r="M26" i="82"/>
  <c r="I26" i="82"/>
  <c r="G26" i="82"/>
  <c r="H26" i="82" s="1"/>
  <c r="F26" i="82"/>
  <c r="E26" i="82"/>
  <c r="I25" i="82"/>
  <c r="G25" i="82"/>
  <c r="F25" i="82"/>
  <c r="E25" i="82"/>
  <c r="I24" i="82"/>
  <c r="G24" i="82"/>
  <c r="F24" i="82"/>
  <c r="E24" i="82"/>
  <c r="I23" i="82"/>
  <c r="G23" i="82"/>
  <c r="F23" i="82"/>
  <c r="E23" i="82"/>
  <c r="I22" i="82"/>
  <c r="G22" i="82"/>
  <c r="F22" i="82"/>
  <c r="E22" i="82"/>
  <c r="R21" i="82"/>
  <c r="M21" i="82"/>
  <c r="I21" i="82"/>
  <c r="G21" i="82"/>
  <c r="H21" i="82" s="1"/>
  <c r="F21" i="82"/>
  <c r="E21" i="82"/>
  <c r="R20" i="82"/>
  <c r="I20" i="82"/>
  <c r="G20" i="82"/>
  <c r="H20" i="82" s="1"/>
  <c r="F20" i="82"/>
  <c r="E20" i="82"/>
  <c r="R19" i="82"/>
  <c r="I19" i="82"/>
  <c r="G19" i="82"/>
  <c r="F19" i="82"/>
  <c r="H19" i="82" s="1"/>
  <c r="E19" i="82"/>
  <c r="R18" i="82"/>
  <c r="M18" i="82"/>
  <c r="I18" i="82"/>
  <c r="H18" i="82"/>
  <c r="G18" i="82"/>
  <c r="F18" i="82"/>
  <c r="E18" i="82"/>
  <c r="M17" i="82"/>
  <c r="I17" i="82"/>
  <c r="G17" i="82"/>
  <c r="H17" i="82" s="1"/>
  <c r="F17" i="82"/>
  <c r="E17" i="82"/>
  <c r="R16" i="82"/>
  <c r="M16" i="82"/>
  <c r="I16" i="82"/>
  <c r="G16" i="82"/>
  <c r="H16" i="82" s="1"/>
  <c r="F16" i="82"/>
  <c r="E16" i="82"/>
  <c r="M15" i="82"/>
  <c r="I15" i="82"/>
  <c r="G15" i="82"/>
  <c r="H15" i="82" s="1"/>
  <c r="F15" i="82"/>
  <c r="E15" i="82"/>
  <c r="I14" i="82"/>
  <c r="G14" i="82"/>
  <c r="F14" i="82"/>
  <c r="E14" i="82"/>
  <c r="M13" i="82"/>
  <c r="I13" i="82"/>
  <c r="I11" i="82" s="1"/>
  <c r="G13" i="82"/>
  <c r="H13" i="82" s="1"/>
  <c r="F13" i="82"/>
  <c r="F11" i="82" s="1"/>
  <c r="E13" i="82"/>
  <c r="R12" i="82"/>
  <c r="M12" i="82"/>
  <c r="I12" i="82"/>
  <c r="H12" i="82"/>
  <c r="G12" i="82"/>
  <c r="F12" i="82"/>
  <c r="E12" i="82"/>
  <c r="E11" i="82" s="1"/>
  <c r="X11" i="82"/>
  <c r="X33" i="82" s="1"/>
  <c r="V11" i="82"/>
  <c r="U11" i="82"/>
  <c r="T11" i="82"/>
  <c r="S11" i="82"/>
  <c r="Q11" i="82"/>
  <c r="R11" i="82" s="1"/>
  <c r="P11" i="82"/>
  <c r="O11" i="82"/>
  <c r="O33" i="82" s="1"/>
  <c r="N11" i="82"/>
  <c r="L11" i="82"/>
  <c r="M11" i="82" s="1"/>
  <c r="K11" i="82"/>
  <c r="J11" i="82"/>
  <c r="G11" i="82"/>
  <c r="M10" i="82"/>
  <c r="I10" i="82"/>
  <c r="G10" i="82"/>
  <c r="H10" i="82" s="1"/>
  <c r="F10" i="82"/>
  <c r="E10" i="82"/>
  <c r="R9" i="82"/>
  <c r="M9" i="82"/>
  <c r="I9" i="82"/>
  <c r="H9" i="82"/>
  <c r="G9" i="82"/>
  <c r="F9" i="82"/>
  <c r="E9" i="82"/>
  <c r="E6" i="82" s="1"/>
  <c r="I8" i="82"/>
  <c r="I6" i="82" s="1"/>
  <c r="I33" i="82" s="1"/>
  <c r="G8" i="82"/>
  <c r="F8" i="82"/>
  <c r="E8" i="82"/>
  <c r="R7" i="82"/>
  <c r="M7" i="82"/>
  <c r="I7" i="82"/>
  <c r="G7" i="82"/>
  <c r="G6" i="82" s="1"/>
  <c r="F7" i="82"/>
  <c r="E7" i="82"/>
  <c r="X6" i="82"/>
  <c r="V6" i="82"/>
  <c r="V33" i="82" s="1"/>
  <c r="U6" i="82"/>
  <c r="U33" i="82" s="1"/>
  <c r="T6" i="82"/>
  <c r="T33" i="82" s="1"/>
  <c r="S6" i="82"/>
  <c r="S33" i="82" s="1"/>
  <c r="R6" i="82"/>
  <c r="Q6" i="82"/>
  <c r="Q33" i="82" s="1"/>
  <c r="P6" i="82"/>
  <c r="P33" i="82" s="1"/>
  <c r="O6" i="82"/>
  <c r="N6" i="82"/>
  <c r="L6" i="82"/>
  <c r="L33" i="82" s="1"/>
  <c r="K6" i="82"/>
  <c r="K33" i="82" s="1"/>
  <c r="J6" i="82"/>
  <c r="J33" i="82" s="1"/>
  <c r="F6" i="82"/>
  <c r="F33" i="82" l="1"/>
  <c r="H6" i="82"/>
  <c r="G33" i="82"/>
  <c r="E33" i="82"/>
  <c r="H11" i="82"/>
  <c r="H7" i="82"/>
  <c r="M6" i="82"/>
  <c r="W37" i="81" l="1"/>
  <c r="R37" i="81"/>
  <c r="M37" i="81"/>
  <c r="H37" i="81"/>
  <c r="W36" i="81"/>
  <c r="R36" i="81"/>
  <c r="M36" i="81"/>
  <c r="H36" i="81"/>
  <c r="W35" i="81"/>
  <c r="R35" i="81"/>
  <c r="M35" i="81"/>
  <c r="H35" i="81"/>
  <c r="W34" i="81"/>
  <c r="R34" i="81"/>
  <c r="M34" i="81"/>
  <c r="H34" i="81"/>
  <c r="Q33" i="81"/>
  <c r="W32" i="81"/>
  <c r="R32" i="81"/>
  <c r="M32" i="81"/>
  <c r="I32" i="81"/>
  <c r="G32" i="81"/>
  <c r="H32" i="81" s="1"/>
  <c r="F32" i="81"/>
  <c r="E32" i="81"/>
  <c r="W31" i="81"/>
  <c r="R31" i="81"/>
  <c r="M31" i="81"/>
  <c r="I31" i="81"/>
  <c r="G31" i="81"/>
  <c r="H31" i="81" s="1"/>
  <c r="F31" i="81"/>
  <c r="E31" i="81"/>
  <c r="W30" i="81"/>
  <c r="R30" i="81"/>
  <c r="M30" i="81"/>
  <c r="I30" i="81"/>
  <c r="G30" i="81"/>
  <c r="H30" i="81" s="1"/>
  <c r="F30" i="81"/>
  <c r="E30" i="81"/>
  <c r="W29" i="81"/>
  <c r="R29" i="81"/>
  <c r="M29" i="81"/>
  <c r="H29" i="81"/>
  <c r="G29" i="81"/>
  <c r="F29" i="81"/>
  <c r="E29" i="81"/>
  <c r="W28" i="81"/>
  <c r="R28" i="81"/>
  <c r="M28" i="81"/>
  <c r="G28" i="81"/>
  <c r="H28" i="81" s="1"/>
  <c r="E28" i="81"/>
  <c r="W27" i="81"/>
  <c r="R27" i="81"/>
  <c r="M27" i="81"/>
  <c r="I27" i="81"/>
  <c r="G27" i="81"/>
  <c r="H27" i="81" s="1"/>
  <c r="F27" i="81"/>
  <c r="F11" i="81" s="1"/>
  <c r="E27" i="81"/>
  <c r="W26" i="81"/>
  <c r="R26" i="81"/>
  <c r="M26" i="81"/>
  <c r="G26" i="81"/>
  <c r="H26" i="81" s="1"/>
  <c r="F26" i="81"/>
  <c r="E26" i="81"/>
  <c r="E11" i="81" s="1"/>
  <c r="W25" i="81"/>
  <c r="R25" i="81"/>
  <c r="M25" i="81"/>
  <c r="H25" i="81"/>
  <c r="G25" i="81"/>
  <c r="F25" i="81"/>
  <c r="E25" i="81"/>
  <c r="W24" i="81"/>
  <c r="R24" i="81"/>
  <c r="M24" i="81"/>
  <c r="I24" i="81"/>
  <c r="H24" i="81"/>
  <c r="G24" i="81"/>
  <c r="F24" i="81"/>
  <c r="E24" i="81"/>
  <c r="W23" i="81"/>
  <c r="R23" i="81"/>
  <c r="M23" i="81"/>
  <c r="I23" i="81"/>
  <c r="H23" i="81"/>
  <c r="G23" i="81"/>
  <c r="F23" i="81"/>
  <c r="E23" i="81"/>
  <c r="W22" i="81"/>
  <c r="R22" i="81"/>
  <c r="M22" i="81"/>
  <c r="I22" i="81"/>
  <c r="H22" i="81"/>
  <c r="G22" i="81"/>
  <c r="F22" i="81"/>
  <c r="E22" i="81"/>
  <c r="AB21" i="81"/>
  <c r="W21" i="81"/>
  <c r="R21" i="81"/>
  <c r="M21" i="81"/>
  <c r="G21" i="81"/>
  <c r="F21" i="81"/>
  <c r="H21" i="81" s="1"/>
  <c r="E21" i="81"/>
  <c r="AB20" i="81"/>
  <c r="W20" i="81"/>
  <c r="R20" i="81"/>
  <c r="M20" i="81"/>
  <c r="G20" i="81"/>
  <c r="F20" i="81"/>
  <c r="H20" i="81" s="1"/>
  <c r="E20" i="81"/>
  <c r="AB19" i="81"/>
  <c r="W19" i="81"/>
  <c r="R19" i="81"/>
  <c r="M19" i="81"/>
  <c r="G19" i="81"/>
  <c r="H19" i="81" s="1"/>
  <c r="F19" i="81"/>
  <c r="E19" i="81"/>
  <c r="W18" i="81"/>
  <c r="R18" i="81"/>
  <c r="M18" i="81"/>
  <c r="G18" i="81"/>
  <c r="H18" i="81" s="1"/>
  <c r="F18" i="81"/>
  <c r="E18" i="81"/>
  <c r="W17" i="81"/>
  <c r="R17" i="81"/>
  <c r="M17" i="81"/>
  <c r="I17" i="81"/>
  <c r="G17" i="81"/>
  <c r="H17" i="81" s="1"/>
  <c r="F17" i="81"/>
  <c r="E17" i="81"/>
  <c r="W16" i="81"/>
  <c r="R16" i="81"/>
  <c r="M16" i="81"/>
  <c r="G16" i="81"/>
  <c r="F16" i="81"/>
  <c r="H16" i="81" s="1"/>
  <c r="E16" i="81"/>
  <c r="W15" i="81"/>
  <c r="R15" i="81"/>
  <c r="M15" i="81"/>
  <c r="G15" i="81"/>
  <c r="H15" i="81" s="1"/>
  <c r="F15" i="81"/>
  <c r="E15" i="81"/>
  <c r="W14" i="81"/>
  <c r="R14" i="81"/>
  <c r="M14" i="81"/>
  <c r="I14" i="81"/>
  <c r="I11" i="81" s="1"/>
  <c r="I33" i="81" s="1"/>
  <c r="G14" i="81"/>
  <c r="H14" i="81" s="1"/>
  <c r="F14" i="81"/>
  <c r="E14" i="81"/>
  <c r="W13" i="81"/>
  <c r="R13" i="81"/>
  <c r="M13" i="81"/>
  <c r="H13" i="81"/>
  <c r="G13" i="81"/>
  <c r="F13" i="81"/>
  <c r="E13" i="81"/>
  <c r="W12" i="81"/>
  <c r="R12" i="81"/>
  <c r="M12" i="81"/>
  <c r="G12" i="81"/>
  <c r="G11" i="81" s="1"/>
  <c r="F12" i="81"/>
  <c r="E12" i="81"/>
  <c r="X11" i="81"/>
  <c r="V11" i="81"/>
  <c r="W11" i="81" s="1"/>
  <c r="U11" i="81"/>
  <c r="T11" i="81"/>
  <c r="T33" i="81" s="1"/>
  <c r="S11" i="81"/>
  <c r="Q11" i="81"/>
  <c r="R11" i="81" s="1"/>
  <c r="P11" i="81"/>
  <c r="O11" i="81"/>
  <c r="N11" i="81"/>
  <c r="L11" i="81"/>
  <c r="M11" i="81" s="1"/>
  <c r="K11" i="81"/>
  <c r="J11" i="81"/>
  <c r="W10" i="81"/>
  <c r="R10" i="81"/>
  <c r="M10" i="81"/>
  <c r="I10" i="81"/>
  <c r="G10" i="81"/>
  <c r="H10" i="81" s="1"/>
  <c r="F10" i="81"/>
  <c r="E10" i="81"/>
  <c r="W9" i="81"/>
  <c r="R9" i="81"/>
  <c r="M9" i="81"/>
  <c r="G9" i="81"/>
  <c r="H9" i="81" s="1"/>
  <c r="F9" i="81"/>
  <c r="E9" i="81"/>
  <c r="W8" i="81"/>
  <c r="R8" i="81"/>
  <c r="M8" i="81"/>
  <c r="I8" i="81"/>
  <c r="H8" i="81"/>
  <c r="E8" i="81"/>
  <c r="W7" i="81"/>
  <c r="R7" i="81"/>
  <c r="M7" i="81"/>
  <c r="G7" i="81"/>
  <c r="G6" i="81" s="1"/>
  <c r="F7" i="81"/>
  <c r="E7" i="81"/>
  <c r="X6" i="81"/>
  <c r="X33" i="81" s="1"/>
  <c r="V6" i="81"/>
  <c r="V33" i="81" s="1"/>
  <c r="U6" i="81"/>
  <c r="U33" i="81" s="1"/>
  <c r="S6" i="81"/>
  <c r="S33" i="81" s="1"/>
  <c r="R6" i="81"/>
  <c r="Q6" i="81"/>
  <c r="P6" i="81"/>
  <c r="P33" i="81" s="1"/>
  <c r="O6" i="81"/>
  <c r="O33" i="81" s="1"/>
  <c r="N6" i="81"/>
  <c r="N33" i="81" s="1"/>
  <c r="L6" i="81"/>
  <c r="L33" i="81" s="1"/>
  <c r="K6" i="81"/>
  <c r="K33" i="81" s="1"/>
  <c r="J6" i="81"/>
  <c r="J33" i="81" s="1"/>
  <c r="I6" i="81"/>
  <c r="F6" i="81"/>
  <c r="E6" i="81"/>
  <c r="W33" i="81" l="1"/>
  <c r="H11" i="81"/>
  <c r="M33" i="81"/>
  <c r="E33" i="81"/>
  <c r="F33" i="81"/>
  <c r="G33" i="81"/>
  <c r="H6" i="81"/>
  <c r="R33" i="81"/>
  <c r="H7" i="81"/>
  <c r="H12" i="81"/>
  <c r="M6" i="81"/>
  <c r="W6" i="81"/>
  <c r="H33" i="81" l="1"/>
  <c r="E87" i="63" l="1"/>
  <c r="D87" i="63"/>
  <c r="A51" i="63"/>
  <c r="B43" i="63"/>
  <c r="B35" i="63"/>
  <c r="D27" i="63"/>
  <c r="C27" i="63"/>
  <c r="B27" i="63"/>
  <c r="E26" i="63"/>
  <c r="E25" i="63"/>
  <c r="E24" i="63"/>
  <c r="E23" i="63"/>
  <c r="E27" i="63" s="1"/>
  <c r="C18" i="63"/>
  <c r="C6" i="63"/>
</calcChain>
</file>

<file path=xl/comments1.xml><?xml version="1.0" encoding="utf-8"?>
<comments xmlns="http://schemas.openxmlformats.org/spreadsheetml/2006/main">
  <authors>
    <author>Uživatel systému Windows</author>
  </authors>
  <commentList>
    <comment ref="Q7" authorId="0" shapeId="0">
      <text>
        <r>
          <rPr>
            <b/>
            <sz val="9"/>
            <color indexed="81"/>
            <rFont val="Tahoma"/>
            <family val="2"/>
            <charset val="238"/>
          </rPr>
          <t>Uživatel systému Windows:</t>
        </r>
        <r>
          <rPr>
            <sz val="9"/>
            <color indexed="81"/>
            <rFont val="Tahoma"/>
            <family val="2"/>
            <charset val="238"/>
          </rPr>
          <t xml:space="preserve">
MŠMT - bezúplatné nabytí testy, respirátory, roušky pro žáky i zamce</t>
        </r>
      </text>
    </comment>
  </commentList>
</comments>
</file>

<file path=xl/sharedStrings.xml><?xml version="1.0" encoding="utf-8"?>
<sst xmlns="http://schemas.openxmlformats.org/spreadsheetml/2006/main" count="5501" uniqueCount="1361">
  <si>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</si>
  <si>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</si>
  <si>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</si>
  <si>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</si>
  <si>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</si>
  <si>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</si>
  <si>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</si>
  <si>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</si>
  <si>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</si>
  <si>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</si>
  <si>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</si>
  <si>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</si>
  <si>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</si>
  <si>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</si>
  <si>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</si>
  <si>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</si>
  <si>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</si>
  <si>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</si>
  <si>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</si>
  <si>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</si>
  <si>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</si>
  <si>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</si>
  <si>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</si>
  <si>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</si>
  <si>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</si>
  <si>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</si>
  <si>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</si>
  <si>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</si>
  <si>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</si>
  <si>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</si>
  <si>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</si>
  <si>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</si>
  <si>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</si>
  <si>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</si>
  <si>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</si>
  <si>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Skutečnost</t>
  </si>
  <si>
    <t>SK/RP</t>
  </si>
  <si>
    <t>Doplňková činnost</t>
  </si>
  <si>
    <t>Vztah ke zřizovateli</t>
  </si>
  <si>
    <t>Poř. číslo</t>
  </si>
  <si>
    <t>Ukazatel</t>
  </si>
  <si>
    <t>Měrná jednotka</t>
  </si>
  <si>
    <t>Vztah k Olomouckému kraji, popř. SR ČR apod.</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</si>
  <si>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</si>
  <si>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</si>
  <si>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</si>
  <si>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</si>
  <si>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</si>
  <si>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</si>
  <si>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</si>
  <si>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</si>
  <si>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</si>
  <si>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</si>
  <si>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</si>
  <si>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</si>
  <si>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</si>
  <si>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Výsledek hospodaření po zdanění</t>
  </si>
  <si>
    <t>29.</t>
  </si>
  <si>
    <t>30.</t>
  </si>
  <si>
    <t>31.</t>
  </si>
  <si>
    <t>67X - Výnosy z transferů</t>
  </si>
  <si>
    <t>50X - Jiné spotřebované nákupy</t>
  </si>
  <si>
    <t>511 - Opravy a udržování</t>
  </si>
  <si>
    <t>53X - Daně a poplatky</t>
  </si>
  <si>
    <t>541, 542 - Pokuty, úroky z prodlení  a penále</t>
  </si>
  <si>
    <t>549 - Ostatní náklady z činnosti</t>
  </si>
  <si>
    <t>54X - Jiné ostatní náklady</t>
  </si>
  <si>
    <t>551 - Odpisy dlouhodobého majetku</t>
  </si>
  <si>
    <t>55X - Jiné odpisy, rezervy a opravné položky</t>
  </si>
  <si>
    <t>57X - Náklady na transfery</t>
  </si>
  <si>
    <t>59X - Daň z příjmů</t>
  </si>
  <si>
    <t>543 - Dary a jiná bezúplatná předání</t>
  </si>
  <si>
    <t>558 - Náklady z drobného dlouhodobého majetku</t>
  </si>
  <si>
    <t xml:space="preserve">Příspěvková organizace: </t>
  </si>
  <si>
    <t>Kategorie</t>
  </si>
  <si>
    <t>Hlavní činnost (zřizovatel)</t>
  </si>
  <si>
    <t>Doplňková činnost (zřizovatel)</t>
  </si>
  <si>
    <t>Ostatní</t>
  </si>
  <si>
    <t>Peněžní fond</t>
  </si>
  <si>
    <t>Zřizovatel</t>
  </si>
  <si>
    <t>Organizace</t>
  </si>
  <si>
    <t>Rezervní fond</t>
  </si>
  <si>
    <t>Fond odměn</t>
  </si>
  <si>
    <t>Rezervní fond celkem</t>
  </si>
  <si>
    <t>Investiční fond</t>
  </si>
  <si>
    <t>Fond kulturních a sociálních potřeb</t>
  </si>
  <si>
    <t>Číslo účtu - Název účtu dle rozvahy</t>
  </si>
  <si>
    <t>Číslo faktury</t>
  </si>
  <si>
    <t>Způsob vymáhání pohledávky po lhůtě splatnosti (dosavadní a plánovaný)</t>
  </si>
  <si>
    <t>Účel</t>
  </si>
  <si>
    <t>Požadovaný komentář :</t>
  </si>
  <si>
    <t>Úhrada ztráty z min.let</t>
  </si>
  <si>
    <t>Mateřská škola Prostějov, Smetanova ul. 24, příspěvková organizace</t>
  </si>
  <si>
    <t>Mateřská  škola Prostějov, ul. Šárka 4a</t>
  </si>
  <si>
    <t>Celkem hlavní činnost</t>
  </si>
  <si>
    <t>Celkem doplňková činnost</t>
  </si>
  <si>
    <t>Schválený rozpočet</t>
  </si>
  <si>
    <t>Upr.rozpočet</t>
  </si>
  <si>
    <t>541, 542 - Pokuty, úroky z prodlení a penále</t>
  </si>
  <si>
    <t>Výsledek hospodaření</t>
  </si>
  <si>
    <t>Mateřská škola Prostějov, příspěvková organizace, Rumunská ul. 23, 796 01 Prostějov</t>
  </si>
  <si>
    <t>Organizace nemá v evidenci žádné pohledávky po lhůtě splatnosti</t>
  </si>
  <si>
    <t>Organizace nemá v evidenci žádné závazky po lhůtě splatnosti</t>
  </si>
  <si>
    <t>Výnosy z prodeje služeb - stravování</t>
  </si>
  <si>
    <t>Spotřeba materiálu - potraviny</t>
  </si>
  <si>
    <t>Prodaný materiál - čipy</t>
  </si>
  <si>
    <t>Výnosy z prodeje materiálu - prodej čipů</t>
  </si>
  <si>
    <t>Ostatní služby</t>
  </si>
  <si>
    <t>Náklady z DDHM</t>
  </si>
  <si>
    <t>Opravy a udržování</t>
  </si>
  <si>
    <t>Mateřská škola Prostějov, Moravská ul.30, příspěvková organizace  IČO 70982945</t>
  </si>
  <si>
    <t>Mateřská škola Prostějov, Partyzánská ul. 34</t>
  </si>
  <si>
    <t>Základní škola a mateřská škola Prostějov, Melantrichova ul. 60</t>
  </si>
  <si>
    <t>Základní škola Prostějov, ul. E. Valenty 52, 796 03 Prostějov, IČ: 47922303</t>
  </si>
  <si>
    <t>Základní škola a mateřská škola Prostějov, Palackého tř. 14</t>
  </si>
  <si>
    <t>Základní škola a mateřská škola Prostějov, Kollárova ul. 4</t>
  </si>
  <si>
    <t>Organizace neeviduje pohledávky po lhůtě splatnosti.</t>
  </si>
  <si>
    <t>Organizace neeviduje závazky po lhůtě splatnosti.</t>
  </si>
  <si>
    <t>Částka ± úpravy výnosů v Kč</t>
  </si>
  <si>
    <t>Částka ± úpravy nákladů v Kč</t>
  </si>
  <si>
    <t>521/0300</t>
  </si>
  <si>
    <t>524/0300</t>
  </si>
  <si>
    <t>524/0310</t>
  </si>
  <si>
    <t>525/0300</t>
  </si>
  <si>
    <t>525/0301</t>
  </si>
  <si>
    <t>527/0300</t>
  </si>
  <si>
    <t>527/0330</t>
  </si>
  <si>
    <t>501/0340</t>
  </si>
  <si>
    <t>518/0540</t>
  </si>
  <si>
    <t>549/0310</t>
  </si>
  <si>
    <t>501/0430</t>
  </si>
  <si>
    <t>518/0470</t>
  </si>
  <si>
    <t>558/0300</t>
  </si>
  <si>
    <t>648/0300</t>
  </si>
  <si>
    <t>648/0700</t>
  </si>
  <si>
    <t>649/0330</t>
  </si>
  <si>
    <t>672/0500</t>
  </si>
  <si>
    <t>511/0310</t>
  </si>
  <si>
    <t>672/0530</t>
  </si>
  <si>
    <t>501/0345</t>
  </si>
  <si>
    <t>501/0490</t>
  </si>
  <si>
    <t>551/0310</t>
  </si>
  <si>
    <t>551/0300</t>
  </si>
  <si>
    <t>501/0400</t>
  </si>
  <si>
    <t>648/0800</t>
  </si>
  <si>
    <t>511/0300</t>
  </si>
  <si>
    <t>Zvýšení výnosů - schválená odměna z FO</t>
  </si>
  <si>
    <t>648/0600</t>
  </si>
  <si>
    <t>Zvýšení nákladů - výplata odměny z FO</t>
  </si>
  <si>
    <t>518/0340</t>
  </si>
  <si>
    <t>502/0310</t>
  </si>
  <si>
    <t>502/0320</t>
  </si>
  <si>
    <t>502/0300</t>
  </si>
  <si>
    <t>524/0305</t>
  </si>
  <si>
    <t>524/0315</t>
  </si>
  <si>
    <t>501/0350</t>
  </si>
  <si>
    <t>501/0360</t>
  </si>
  <si>
    <t>501/0370</t>
  </si>
  <si>
    <t>501/0460</t>
  </si>
  <si>
    <t>501/0470</t>
  </si>
  <si>
    <t>513/0300</t>
  </si>
  <si>
    <t>518/0430</t>
  </si>
  <si>
    <t>518/0440</t>
  </si>
  <si>
    <t>518/0490</t>
  </si>
  <si>
    <t>602/0360</t>
  </si>
  <si>
    <t>662/0300</t>
  </si>
  <si>
    <t>602/0050</t>
  </si>
  <si>
    <t>602/0080</t>
  </si>
  <si>
    <t>Opatření nebyla uložena.</t>
  </si>
  <si>
    <t>Základní škola a mateřská škola Jana Železného Prostějov, sídliště Svobody 3578/79</t>
  </si>
  <si>
    <t>Organizace nemá závazky po lhůtě splatnosti.</t>
  </si>
  <si>
    <t>648/0310</t>
  </si>
  <si>
    <t>501/0333</t>
  </si>
  <si>
    <t>558/0305</t>
  </si>
  <si>
    <t>602/0310</t>
  </si>
  <si>
    <t>602/0320</t>
  </si>
  <si>
    <t>Celkem úpravy finančního plánu v Kč</t>
  </si>
  <si>
    <t>Základní škola Prostějov, ul. Dr. Horáka 24</t>
  </si>
  <si>
    <t>Městské divadlo v Prostějově, příspěvková organizace</t>
  </si>
  <si>
    <t>Analytický účet</t>
  </si>
  <si>
    <t>Datum provedení úpravy</t>
  </si>
  <si>
    <t>KINO METRO 70 Prostějov, příspěvková organizace, Školní 3694/1, 79601 Prostějov, IČ: 05592178</t>
  </si>
  <si>
    <t>Organizace nemá pohledávky po lhůtě splatnosti</t>
  </si>
  <si>
    <t>Organizace nemá závazky po lhůtě splatnosti</t>
  </si>
  <si>
    <t>Organizace neměla žádný přijatý dar</t>
  </si>
  <si>
    <t>Mzdové náklady - přeúčtování mezi účty 52X</t>
  </si>
  <si>
    <t>Úprava FP snížení ukazatele - spotřeba energie</t>
  </si>
  <si>
    <t>Datum schválení úpravy</t>
  </si>
  <si>
    <t>Zpracoval(a): Jaroslava Bočková</t>
  </si>
  <si>
    <t>nejsou</t>
  </si>
  <si>
    <t>Čerpání rezervního fondu</t>
  </si>
  <si>
    <t>Důvod úpravy</t>
  </si>
  <si>
    <t>neevidujeme žádné závazky po lhůtě splatnosti</t>
  </si>
  <si>
    <t>672.0510</t>
  </si>
  <si>
    <t>551.0300</t>
  </si>
  <si>
    <t>558.0300</t>
  </si>
  <si>
    <t>648.0300</t>
  </si>
  <si>
    <t>549.0360</t>
  </si>
  <si>
    <t>662.0300</t>
  </si>
  <si>
    <t>649.0320</t>
  </si>
  <si>
    <t>použití Fondu odměn na odměny zaměstnanců SU 648 a SU 521</t>
  </si>
  <si>
    <t>521.0300</t>
  </si>
  <si>
    <t>501.0330</t>
  </si>
  <si>
    <t>501.0430</t>
  </si>
  <si>
    <t>511.0300</t>
  </si>
  <si>
    <t>602.0310</t>
  </si>
  <si>
    <t>602.0320</t>
  </si>
  <si>
    <t>602.0360</t>
  </si>
  <si>
    <t>513.0300</t>
  </si>
  <si>
    <t>524.0300</t>
  </si>
  <si>
    <t>524.0310</t>
  </si>
  <si>
    <t>525.0300</t>
  </si>
  <si>
    <t>527.0300</t>
  </si>
  <si>
    <t>Zpracovala: Veronika Kocourková, ekonomka školy, v. r.</t>
  </si>
  <si>
    <t>Schválila: Mgr. Jana Prokopová, ředitelka školy, v. r.</t>
  </si>
  <si>
    <t>311/0200 - odběratelé, čtenáři - 4. upomínky</t>
  </si>
  <si>
    <t>Organizace neeviduje žádné pohledávky po lhůtě splatnosti.</t>
  </si>
  <si>
    <t>Organizace neeviduje žádné závazky po lhůtě splatnosti.</t>
  </si>
  <si>
    <t>511/300</t>
  </si>
  <si>
    <t>518/390</t>
  </si>
  <si>
    <t>518/442</t>
  </si>
  <si>
    <t>672/320</t>
  </si>
  <si>
    <t>511/310</t>
  </si>
  <si>
    <t>502/330</t>
  </si>
  <si>
    <t>501/430</t>
  </si>
  <si>
    <t>558/300</t>
  </si>
  <si>
    <t>Použití fondů - čerpání rezervního fondu</t>
  </si>
  <si>
    <t>648/320</t>
  </si>
  <si>
    <t>602/380</t>
  </si>
  <si>
    <t>649/310</t>
  </si>
  <si>
    <t>527/300</t>
  </si>
  <si>
    <t>žádné</t>
  </si>
  <si>
    <t>Hlavní činnost</t>
  </si>
  <si>
    <t>Úpravy rozpočtu v dopňkové činnosti jsou plně v kompetenci organizace.</t>
  </si>
  <si>
    <t>Sportcentrum - dům dětí a mládeže Prostějov, příspěvková organizace</t>
  </si>
  <si>
    <t>Schválený  rozpočet</t>
  </si>
  <si>
    <t>SK/UR</t>
  </si>
  <si>
    <t>Průměrná měsíční mzda (prac.poměr)</t>
  </si>
  <si>
    <t>Evid. přepočtený stav pracovníků (prac. poměr)</t>
  </si>
  <si>
    <t>Fyzický stav pracovníků (prac. poměr)</t>
  </si>
  <si>
    <t>32.</t>
  </si>
  <si>
    <t>Počet uzavřených dohod konaných mimo pracovní poměr</t>
  </si>
  <si>
    <t>ks</t>
  </si>
  <si>
    <t>Komentář k tvorbě hospodářského výsledku roku 2020</t>
  </si>
  <si>
    <t>Datum schválení úpravy/č.usn.</t>
  </si>
  <si>
    <t>649/0320</t>
  </si>
  <si>
    <t>547/0310</t>
  </si>
  <si>
    <t>549/0300</t>
  </si>
  <si>
    <t>527/0309</t>
  </si>
  <si>
    <t>527/0310</t>
  </si>
  <si>
    <t>524/0311</t>
  </si>
  <si>
    <t>501/0300</t>
  </si>
  <si>
    <t>602/0301</t>
  </si>
  <si>
    <t>Zpracoval(a):</t>
  </si>
  <si>
    <t>Schválil(a):</t>
  </si>
  <si>
    <t xml:space="preserve">Celkem </t>
  </si>
  <si>
    <t xml:space="preserve">Požadovaný komentář: </t>
  </si>
  <si>
    <t>Organizace nevykonává doplňkovou činnost.</t>
  </si>
  <si>
    <t>Tvorba fondu je z odpisů DHM, čerpání je uložený odvod z fondu investic zřizovateli.</t>
  </si>
  <si>
    <t>Text úpravy rozpočtu</t>
  </si>
  <si>
    <t>672/300</t>
  </si>
  <si>
    <t>602/300</t>
  </si>
  <si>
    <t>501/300</t>
  </si>
  <si>
    <t>518/440</t>
  </si>
  <si>
    <t>501/390</t>
  </si>
  <si>
    <t>544/300</t>
  </si>
  <si>
    <t>644/300</t>
  </si>
  <si>
    <t>501/310</t>
  </si>
  <si>
    <t>501/350</t>
  </si>
  <si>
    <t>648/300</t>
  </si>
  <si>
    <t>518/530</t>
  </si>
  <si>
    <t>551/310</t>
  </si>
  <si>
    <t>524/300</t>
  </si>
  <si>
    <t>Zpracoval(a): Marie Šmejkalová</t>
  </si>
  <si>
    <t>Schválil(a): Jana Průšová, ředitelka MŠ</t>
  </si>
  <si>
    <t>518/0555</t>
  </si>
  <si>
    <t>501/0495</t>
  </si>
  <si>
    <t>549/0350</t>
  </si>
  <si>
    <t>Příspěvková organizace: Mateřská škola Prostějov, Partyzánská ul. 34</t>
  </si>
  <si>
    <t>Vybavení školních zahrad.</t>
  </si>
  <si>
    <t xml:space="preserve">Přiznání odměny z fondu odměn </t>
  </si>
  <si>
    <t>Čerpání odměny z fondu odměn</t>
  </si>
  <si>
    <t>Snížení účtu 501</t>
  </si>
  <si>
    <t xml:space="preserve">Snížení účtu 502 </t>
  </si>
  <si>
    <t>Zvýšení účtu 558</t>
  </si>
  <si>
    <t>Zvýšení účtu 527,528</t>
  </si>
  <si>
    <t>Zvýšení účtu 511</t>
  </si>
  <si>
    <t>Zpracoval(a): Mgr. Monika Zbudilová</t>
  </si>
  <si>
    <t>Schválil(a): Mgr. Monika Zbudilová</t>
  </si>
  <si>
    <t>navýšení nákladů - učební pomůcky účel. Určené - Usnesení č. 0397, UZ 378, pomůcky pro žáky 1. tříd</t>
  </si>
  <si>
    <t>501/341</t>
  </si>
  <si>
    <t>navýšení výnosů - účelově určený příspěvek na provoz - Usnesení č. 0397, UZ 378, pomůcky pro žáky 1. tříd</t>
  </si>
  <si>
    <t>501/330</t>
  </si>
  <si>
    <t>501/370</t>
  </si>
  <si>
    <t>501/440</t>
  </si>
  <si>
    <t>501/470</t>
  </si>
  <si>
    <t>502/300</t>
  </si>
  <si>
    <t>551/300</t>
  </si>
  <si>
    <t>518/370</t>
  </si>
  <si>
    <t>602/310</t>
  </si>
  <si>
    <t>648/330</t>
  </si>
  <si>
    <t>nebyla uložena</t>
  </si>
  <si>
    <t>Zpracoval(a): Blanka Černošková</t>
  </si>
  <si>
    <t>Schválil(a): Mgr. Roman Pazdera</t>
  </si>
  <si>
    <t>Fond odměn je plně finančně krytý a slouží jako rezerva při event.překročení prostředků na platy.</t>
  </si>
  <si>
    <t>Fond kulturních a socilních potřeb je užíván dle Zásad pro hospodaření s FKSP.</t>
  </si>
  <si>
    <t>Spotřeba materiálu - pořízení OEHM</t>
  </si>
  <si>
    <t>502.0000</t>
  </si>
  <si>
    <t>snižení položky mzdové prostředky na ved.kroužků SU 521 a SU 672 dotace (nedočerpání vráceno v rámci ročního vyúčtování zřizovateli) UZ 301</t>
  </si>
  <si>
    <t>521.0320</t>
  </si>
  <si>
    <t>649.0500</t>
  </si>
  <si>
    <t>512.0300</t>
  </si>
  <si>
    <t>518.0000</t>
  </si>
  <si>
    <t>527.0500</t>
  </si>
  <si>
    <t>549.0000</t>
  </si>
  <si>
    <t>snížení účtu 501 - spotřeba materiálu</t>
  </si>
  <si>
    <t>501.0000</t>
  </si>
  <si>
    <t>snížení účtu 502 - spotřeba energie</t>
  </si>
  <si>
    <t>snížení účtu 511 - opravy</t>
  </si>
  <si>
    <t>511.0000</t>
  </si>
  <si>
    <t>snížení účtu 518 - ostatní služby</t>
  </si>
  <si>
    <t>snížení účtu 521 - mzdové náklady</t>
  </si>
  <si>
    <t>521.0000</t>
  </si>
  <si>
    <t>snížení účtu 524 - zákonné sociální pojištění</t>
  </si>
  <si>
    <t>524.0000</t>
  </si>
  <si>
    <t>snížení účtu 525 - povinné pojištění kooperativa</t>
  </si>
  <si>
    <t>525.0000</t>
  </si>
  <si>
    <t>snížení účtu 527 - povinný příděl FKSP</t>
  </si>
  <si>
    <t>527.0000</t>
  </si>
  <si>
    <t>snížení účtu 603 - výnosy z pronájmů</t>
  </si>
  <si>
    <t>603.0000</t>
  </si>
  <si>
    <t>Zvýšení nákladů - nákup pom.pro žáky 1.ročníků</t>
  </si>
  <si>
    <t>Zvýšení výnosů - navýš.neinv.přísp.na pom.pro 1.r.</t>
  </si>
  <si>
    <t>Zvýšení nákladů - na stravu soc.slabých žáků</t>
  </si>
  <si>
    <t>Zvýšení výnosů - finanční dar na stravování žáků</t>
  </si>
  <si>
    <t>521/0301</t>
  </si>
  <si>
    <t>Zvýšení výnosů - kladné bankovní úroky</t>
  </si>
  <si>
    <t>518/0130</t>
  </si>
  <si>
    <t>Lenka Pluhařová</t>
  </si>
  <si>
    <t>RNDr. Josef Hrachovec</t>
  </si>
  <si>
    <t xml:space="preserve">V Prostějově dne </t>
  </si>
  <si>
    <t>Šebesta Ctibor</t>
  </si>
  <si>
    <t>558/0800</t>
  </si>
  <si>
    <t>servis IT techniky</t>
  </si>
  <si>
    <t>549/0320</t>
  </si>
  <si>
    <t>527/0500</t>
  </si>
  <si>
    <t>649/0500</t>
  </si>
  <si>
    <t>512/0300</t>
  </si>
  <si>
    <t>556/0300</t>
  </si>
  <si>
    <t>602/0300</t>
  </si>
  <si>
    <t>521/0320</t>
  </si>
  <si>
    <t>Nebyly uloženy žádná opatření.</t>
  </si>
  <si>
    <t>Zpracoval(a): Tesaříková</t>
  </si>
  <si>
    <t>Schválil(a): Mgr. Ovečka Dalibor</t>
  </si>
  <si>
    <t>Základní škola Prostějov, ul. Vl. Majakovského 1, IČO 62859056</t>
  </si>
  <si>
    <t>čerpání rezervního fondu</t>
  </si>
  <si>
    <t>pomůcky pro žáky 1. tříd</t>
  </si>
  <si>
    <t>501/0331</t>
  </si>
  <si>
    <t>účelové navýšení neinv. příspěvku - ÚZ 768</t>
  </si>
  <si>
    <t>649/0400</t>
  </si>
  <si>
    <t>úplata ve školní družině</t>
  </si>
  <si>
    <t>518/xxxx</t>
  </si>
  <si>
    <t>Zpracoval(a): Ing. Barbora Adámková</t>
  </si>
  <si>
    <t>672.0500</t>
  </si>
  <si>
    <t>511.031x</t>
  </si>
  <si>
    <t>518.0480</t>
  </si>
  <si>
    <t>501.0300</t>
  </si>
  <si>
    <t>501.0340</t>
  </si>
  <si>
    <t>527.0310</t>
  </si>
  <si>
    <t>Odpisy nemovitého majetku - odpisy v souvislosti s pořízením nového vybavení a změnou mezi HČ a DČ</t>
  </si>
  <si>
    <t>551.0310</t>
  </si>
  <si>
    <t>Ing. Jana Cesarová</t>
  </si>
  <si>
    <t>RNDr. Ing. Rostislav Halaš</t>
  </si>
  <si>
    <t>Základní umělecká škola Vladimíra Ambrose Prostějov, IČO: 00402338</t>
  </si>
  <si>
    <t>Ostatní daně a poplatky</t>
  </si>
  <si>
    <t>Sportcentrum - dům dětí a mládeže Prostějov</t>
  </si>
  <si>
    <t>511/0880</t>
  </si>
  <si>
    <t>672/0880</t>
  </si>
  <si>
    <t>521/0880</t>
  </si>
  <si>
    <t>524/0880</t>
  </si>
  <si>
    <t>525/0880</t>
  </si>
  <si>
    <t>527/0880</t>
  </si>
  <si>
    <t>648/0880</t>
  </si>
  <si>
    <t>518/0880</t>
  </si>
  <si>
    <t>551/0880</t>
  </si>
  <si>
    <t>558/0880</t>
  </si>
  <si>
    <t>501/0880</t>
  </si>
  <si>
    <t>513/0880</t>
  </si>
  <si>
    <t>502/0880</t>
  </si>
  <si>
    <t>Zpracoval(a): Libuše Gardavská</t>
  </si>
  <si>
    <t>Městská knihovna Prostějov, příspěvková organizace, IČO: 67008976</t>
  </si>
  <si>
    <t>Úč.672 (výnosy z transferů) - navýšení příspěvku od zřizovatele</t>
  </si>
  <si>
    <t>512/0300,0310</t>
  </si>
  <si>
    <t>557/0300</t>
  </si>
  <si>
    <t>501/0510</t>
  </si>
  <si>
    <t>602/360,390,400</t>
  </si>
  <si>
    <t>641/0300</t>
  </si>
  <si>
    <t>644/0300</t>
  </si>
  <si>
    <t>6030280</t>
  </si>
  <si>
    <t>Úpravy rozpočtu v hlavní činnosti byly ohlášeny OŠKS.</t>
  </si>
  <si>
    <t>Požadovaný komentář : z minulého kontrolního dne nebyla uložena žádná opatření.</t>
  </si>
  <si>
    <t>Zpracoval(a): Jarmila Jašková, ekonomka</t>
  </si>
  <si>
    <t>Schválil(a): PaedDr. Jana Maršálková, ředitelka</t>
  </si>
  <si>
    <t>502/0340</t>
  </si>
  <si>
    <t xml:space="preserve"> </t>
  </si>
  <si>
    <t>518</t>
  </si>
  <si>
    <t>Snížení závazného ukazatele mzdové náklady  UZ 303</t>
  </si>
  <si>
    <t>Výnosy z vlastní činnosti -propad tržeb z důvodu pandemie koronaviru</t>
  </si>
  <si>
    <t>Schválil(a): Mgr. Barbora Kucsa Prágerová</t>
  </si>
  <si>
    <t>Zdrojem FKSP je 2% zálohový příděl schválených mzdových prostředků. FKSP je používán na příspěvek na stravné, na nákup dárkových poukázek a na kulturní akce pro zaměstnance v hlavním pracovním poměru.</t>
  </si>
  <si>
    <t>Hlavní činnost - Vztah ke zřizovateli</t>
  </si>
  <si>
    <t>Hlavní činnost - Vztah k Ol. kraji, popř. SR ČR, EU apod.</t>
  </si>
  <si>
    <t>1.Výsledek hospodaření za rok 2021</t>
  </si>
  <si>
    <t>Komentář k tvorbě hospodářského výsledku roku 2021</t>
  </si>
  <si>
    <t>Celkem rok 2021</t>
  </si>
  <si>
    <t>hospodářský výsledek je je tvořen z hlavní a doplňkové činnosti.</t>
  </si>
  <si>
    <t>hospodářský výsledek je ovlivněn uzavřením školky v době nouzového stavu.</t>
  </si>
  <si>
    <t>přibližně stejný hospodářský výsledek jako v předchozích letech, od 1.1.22 zvýšené nájemné bytu</t>
  </si>
  <si>
    <t>odvod zřizovateli -vratka účet 551-odpisy, nedočerpáno.</t>
  </si>
  <si>
    <t>2. Návrh na rozdělení výsledku hospodaření (zřizovatel) za rok 2021 na základě jeho projednání</t>
  </si>
  <si>
    <t>3. Fondové hospodaření příspěvkové organizace v roce 2021 v Kč</t>
  </si>
  <si>
    <t>Počáteční zůstatek 2021</t>
  </si>
  <si>
    <t>Zdroje 2021</t>
  </si>
  <si>
    <t>Čerpání 2021</t>
  </si>
  <si>
    <t>Konečný zůstatek 2021</t>
  </si>
  <si>
    <t>Komentář k plánovanému užití fondu v roce 2022</t>
  </si>
  <si>
    <t>RF bude bude použit v roce 2022  k posílení investičního fondu při vybudování dopadových ploch na zahradě MŠ.</t>
  </si>
  <si>
    <t>IF využijeme v roce 2022 k vybudování dopadových ploch na zahradě MŠ.</t>
  </si>
  <si>
    <t>možnost využití odměn -řidič Huťka , ostatní zaměstnanci</t>
  </si>
  <si>
    <t xml:space="preserve">běžné používání fondu -rekreace zaměstnanci,příspěvek na obědy zaměstnanci,vitamíny zaměstnanci. </t>
  </si>
  <si>
    <t>4. Pohledávky roku 2021 po lhůtě splatnosti</t>
  </si>
  <si>
    <t>5. Závazky roku 2021 po lhůtě splatnosti</t>
  </si>
  <si>
    <t>6. Přehled přijatých darů v roce 2021</t>
  </si>
  <si>
    <t>Čerpáno v roce 2021 (Kč)</t>
  </si>
  <si>
    <t>7. Úpravy rozpočtu příspěvkové organizace v roce 2021</t>
  </si>
  <si>
    <t>1 Vyřazení potravin s prošlou dobou spotřeby</t>
  </si>
  <si>
    <t>2 Přijaté pojistné plnění za pojistnou událost</t>
  </si>
  <si>
    <t>649/0300</t>
  </si>
  <si>
    <t>3 Výnosy za odevzdaný sběr</t>
  </si>
  <si>
    <t>3 posílení položky materiál</t>
  </si>
  <si>
    <t>501/0420</t>
  </si>
  <si>
    <t>4 opravy a udržování -oprava sociálního zařízení</t>
  </si>
  <si>
    <t>672/0509</t>
  </si>
  <si>
    <t>5 pořízení DDHM</t>
  </si>
  <si>
    <t>5 pořízení OEM</t>
  </si>
  <si>
    <t>5 Ostatní náklady z činnosti</t>
  </si>
  <si>
    <t>549/0340</t>
  </si>
  <si>
    <t>5 Odpisy majetku</t>
  </si>
  <si>
    <t>5 opravy nem. majetku</t>
  </si>
  <si>
    <t>5 výnosy za polatky</t>
  </si>
  <si>
    <t>6 převod na energie -plyn</t>
  </si>
  <si>
    <t>7 převos -zvýšení odpisů -konvektomat</t>
  </si>
  <si>
    <t>7 Převod-zvýšení odpisů-konvektomat</t>
  </si>
  <si>
    <t>8 převod koop.poj. -dofinancování SR</t>
  </si>
  <si>
    <t>525/0500</t>
  </si>
  <si>
    <t>9 převod mezi anal.</t>
  </si>
  <si>
    <t>10 dotace na nábytek</t>
  </si>
  <si>
    <t>672/0574</t>
  </si>
  <si>
    <t>Celkem úpravy rozpočtu v Kč</t>
  </si>
  <si>
    <t>8. Plnění opatření z minulého kontrolního dne k výsledkům hospodaření za I. pololetí roku 2021</t>
  </si>
  <si>
    <t>Nebyly uloženy.</t>
  </si>
  <si>
    <t>9. Ostatní závěry, které vyplynuly z jednání kontrolního dne k výsledkům hospodaření za rok 2021, vztahované k období roku 2022, popř. obdobím následujícím</t>
  </si>
  <si>
    <t>Organizace vrací zřizovateli nevyčerpané odpisy za rok 2021 ve výši 17 981 Kč.</t>
  </si>
  <si>
    <t>Zpracoval(a): Hrbáčková Michaela</t>
  </si>
  <si>
    <t xml:space="preserve">Schválil(a): Eva Pírková </t>
  </si>
  <si>
    <t>K 31.12.2021</t>
  </si>
  <si>
    <t>Srovn. skut. 2020</t>
  </si>
  <si>
    <t>Počet uzavřených dohod konaných mimo PP</t>
  </si>
  <si>
    <t>Mateřská škola Prostějov, ul. Šárka 4a, příspěvková organizace, 796 01 Prostějov</t>
  </si>
  <si>
    <t>1. Zlepšený výsledek hospodaření za rok 2021</t>
  </si>
  <si>
    <t>Zlepšený hospodářský výsledek k 31. 12. 2021 je dosažený úsporným a efektivním přístupem všech zaměstnanců.</t>
  </si>
  <si>
    <t>2. Návrh na rozdělení zlepšeného výsledku hospodaření (zřizovatel) za rok 2021 na základě jeho projednání</t>
  </si>
  <si>
    <t>Prostředky rezervního fondu (po převodu do fondu investic) máme      v úmyslu využít na opravu oplocení a zídky u areálu MŠ Libušinka.</t>
  </si>
  <si>
    <t>Fond odměn máme v plánu použít k případnému překlenutí nedostatku finančních prostředků na mzdy a odměny.</t>
  </si>
  <si>
    <t>Fond investic</t>
  </si>
  <si>
    <t>Oprava oplocení a zídky u MŠ Libušinka.</t>
  </si>
  <si>
    <t xml:space="preserve">Čerpání fondu kulturních a sociálních potřeb použijeme v souladu se Zásadami čerpání FKSP. </t>
  </si>
  <si>
    <t>Organizace v roce 2021 neobdržela žádný věcný ani finanční dar.</t>
  </si>
  <si>
    <t>Schváleno vedoucím OŠKS - úprava rozpočtu na odpisy</t>
  </si>
  <si>
    <t>26.1.2021</t>
  </si>
  <si>
    <t>Schváleno vedoucím OŠKS - snížení spotřeby materiálu do ŠJ</t>
  </si>
  <si>
    <t>Schváleno Zastupitelstvem města usnesením č. 11011 - ÚZ 822</t>
  </si>
  <si>
    <t>23.2.2021</t>
  </si>
  <si>
    <t>672/500</t>
  </si>
  <si>
    <t>Schváleno Zastupitelstvem města usnesením č. 11011 - ÚZ 823</t>
  </si>
  <si>
    <t>Schváleno Zastupitelstvem města usnesením č. 11011 - ÚZ 824</t>
  </si>
  <si>
    <t>Schváleno RMP usnesením č. 1274 - navýšení odpisů</t>
  </si>
  <si>
    <t>20.4.2021</t>
  </si>
  <si>
    <t>Schváleno RMP usnesením č. 1638 - oprava - ÚZ 871</t>
  </si>
  <si>
    <t>4.8.2021</t>
  </si>
  <si>
    <t xml:space="preserve">Spotřeba materiálu </t>
  </si>
  <si>
    <t>30.6.2021</t>
  </si>
  <si>
    <t>Náklady z DDHM a DDNM</t>
  </si>
  <si>
    <t>Schváleno RMP usnesením č. 1833 - oprava - ÚZ 876</t>
  </si>
  <si>
    <t>26.10.2021</t>
  </si>
  <si>
    <t>Schváleno RMP usnesením č. 1833 - navýšení odpisů</t>
  </si>
  <si>
    <t>Schváleno RMP usnesením č. 1833 - snížení ostatní služeb</t>
  </si>
  <si>
    <t>Schváleno vedoucím OŠKS - úprava rozpočtu na energie</t>
  </si>
  <si>
    <t>10.11.2021</t>
  </si>
  <si>
    <t>Schváleno vedoucím OŠKS - navýšení služeb - projekty</t>
  </si>
  <si>
    <t>20.12.2021</t>
  </si>
  <si>
    <t>Schváleno vedoucím OŠKS - nákup prádla pro děti</t>
  </si>
  <si>
    <t>501/400</t>
  </si>
  <si>
    <t>Zákonné sociální náklady - respirátory + antigenní testy</t>
  </si>
  <si>
    <t>527/310</t>
  </si>
  <si>
    <t>31.12.2021</t>
  </si>
  <si>
    <t>Ostatní výnosy z činnosti - respirátory + antigenní testy</t>
  </si>
  <si>
    <t>649/300</t>
  </si>
  <si>
    <t>Použití fondů - nákup DDHM z FKSP</t>
  </si>
  <si>
    <t>Náklady s dlouhodobého hmotného majetku</t>
  </si>
  <si>
    <t>ÚZ 763 - neinv. příspěvek zřizovatele na projekt Zahrady</t>
  </si>
  <si>
    <t>ÚZ 763 - spotřeba materiálu</t>
  </si>
  <si>
    <t>ÚZ 763 - školení a vzdělávání</t>
  </si>
  <si>
    <t xml:space="preserve">ÚZ 763 - Služby spojené s projekty </t>
  </si>
  <si>
    <t>518/600</t>
  </si>
  <si>
    <t>ÚZ 763 - Náklady s dlouhodobého hmotného majetku</t>
  </si>
  <si>
    <t xml:space="preserve">Z posledního kontrolního dne za 1. pololetí roku 2021 nevyplynulo žádné opatření. </t>
  </si>
  <si>
    <t>9. Ostatní závěry, které vyplynuly z jednání kontrolního dne k výsledkům hospodaření za rok 2021, vztahované k období roku 2021, popř. obdobím následujícím</t>
  </si>
  <si>
    <t>Zřizovatel, vzhledem k provedené analýze výsledku hospodaření, souhlasí s navrženým rozdělením zlepšeného hospodářského výsledku za rok 2021 v hlavní činnosti ve výši 190.340,27 Kč a prostředky doporučuje ponechat organizaci (dle zákona č. 250/2000 Sb., o rozpočtových pravidlech územních rozpočtů, ve znění pozdějších předpisů) pro příděl do rezervního fondu.</t>
  </si>
  <si>
    <t>Schválil(a): Mgr. Iveta Bittnerová, ředitelka organizace</t>
  </si>
  <si>
    <t>V Prostějově dne 17. března 2022</t>
  </si>
  <si>
    <t>Mateřská škola Prostějov, příspěvková organizace, Rumunská ul. 23, 796 01 Prostějov, IČO: 70982821</t>
  </si>
  <si>
    <t>Zlepšený hospodářský výsledek k 31. 12. 2021 je dosažený úsporným a efektivním přístupem všech zaměstnanců MŠ. Hospodářský výsledek také pozitivně ovlivnily výnosy z vlastní činnosti - vystavená penalizační faktura za nedodržení termínu zhotovení díla ve výši 42.549 Kč.</t>
  </si>
  <si>
    <t>Prostředky rezervního fondu máme v úmyslu použít na opravu podlah ve dvou třídách a na nákup klimatizace.</t>
  </si>
  <si>
    <t>Schváleno RMP usnesením č. 1034 - úprava odpisů DHM</t>
  </si>
  <si>
    <t>Schváleno RMP usnesením č. 1034 - Výnosy míst. vl. instit.</t>
  </si>
  <si>
    <t>Schváleno zastupitelstvem usnesením č. 11011 - opr. chodníků</t>
  </si>
  <si>
    <t>1.3.2021</t>
  </si>
  <si>
    <t>Schváleno RMP - usnesení č. 1551 - Ost. Spotřební materiál</t>
  </si>
  <si>
    <t>501/490</t>
  </si>
  <si>
    <t>Schváleno RMP - usnesení č. 1551 - Zákonné sociální pojištění</t>
  </si>
  <si>
    <t>Schváleno RMP - usnesení č. 1551 - Zákonné sociální náklady</t>
  </si>
  <si>
    <t>Výnosy z prodeje služeb - Výnosy za služby spojené s nájem.</t>
  </si>
  <si>
    <t>Ostatní služby - Mzdy, účetní a daňové poradenství</t>
  </si>
  <si>
    <t>Použití fondů - RF</t>
  </si>
  <si>
    <t>Spotřeba materiálu - materiál související s projekty</t>
  </si>
  <si>
    <t>501/530</t>
  </si>
  <si>
    <t>Opravy a udržování - projekt</t>
  </si>
  <si>
    <t>Náklady z DDHM - projekt Zahrady</t>
  </si>
  <si>
    <t>Služby spojené s projekty Zahrady</t>
  </si>
  <si>
    <t>518/5300</t>
  </si>
  <si>
    <t>Příspěvek zřizovatele - projekt Zahrady</t>
  </si>
  <si>
    <t>672/334</t>
  </si>
  <si>
    <t>7.9.2021</t>
  </si>
  <si>
    <t>Schváleno vedoucím OŠKS - navýšení OEHM</t>
  </si>
  <si>
    <t>Schváleno RMP - usnesením č. 1767 - nákup dětského nábytku</t>
  </si>
  <si>
    <t>15.10.2021</t>
  </si>
  <si>
    <t>Schváleno vedoucím OŠKS - náklady z DDHM</t>
  </si>
  <si>
    <t>Schváleno RMP - usnesením č. 1997 - navýšení odpisů</t>
  </si>
  <si>
    <t>30.11.2021</t>
  </si>
  <si>
    <t>Schváleno RMP - snížení ostatních služeb</t>
  </si>
  <si>
    <t>Spotřeba materiálu - nákup prádla</t>
  </si>
  <si>
    <t>Smluvní pokuty</t>
  </si>
  <si>
    <t>641/300</t>
  </si>
  <si>
    <t>Zřizovatel, vzhledem k provedené analýze výsledku hospodaření, souhlasí s navrženým rozdělením zlepšeného hospodářského výsledku za rok 2021 v hlavní činnosti ve výši 132.211,27 Kč a prostředky doporučuje ponechat organizaci (dle zákona č. 250/2000 Sb., o rozpočtových pravidlech územních rozpočtů, ve znění pozdějších předpisů) pro příděl do rezervního fondu organizace částku 112.211,27 Kč na základě předložených požadavků a potřeb organizace         a částku 20.000 Kč pro příděl do fondu odměn.</t>
  </si>
  <si>
    <t>V Prostějově dne 10. března 2022</t>
  </si>
  <si>
    <t>Srovn. skut.2020</t>
  </si>
  <si>
    <t>Evid. přepočtený stav pracovníků (prac.poměr)</t>
  </si>
  <si>
    <t>Fyzický stav pracovníků (prac.poměr)</t>
  </si>
  <si>
    <t>MATEŘSKÁ ŠKOLA PROSTĚJOV, MORAVSKÁ UL. 30, PŘÍSPĚVKOVÁ ORGANIZACE                                                                         IČ:  70982945</t>
  </si>
  <si>
    <t xml:space="preserve">
Výše ZVH je dána především úsporami na nákladových položkách, které podpořili drobnými dárky spotřebního charakteru rodiče, také drobnými službami a prací. Dále výnosy z prodeje materiálu, finanční výnosy i uzavření 
MŠ z důvodu epidemiologické situace - úspory na energiích, aj.
</t>
  </si>
  <si>
    <t>Organizace v roce 2021 neměla doplňkovou činnost.</t>
  </si>
  <si>
    <t>Úhrada ztráty z min. let</t>
  </si>
  <si>
    <t>Částka není účelově vázána. Plán: obnova nábytku, dokrytí stavebních oprav, případné dokrytí ztrát organizace.</t>
  </si>
  <si>
    <t>Odměny zaměstnanců, případné dokrytí mezd.</t>
  </si>
  <si>
    <r>
      <rPr>
        <u/>
        <sz val="7"/>
        <rFont val="Times New Roman"/>
        <family val="1"/>
        <charset val="238"/>
      </rPr>
      <t>RF-ZVH: 268 986,79 Kč</t>
    </r>
    <r>
      <rPr>
        <sz val="7"/>
        <rFont val="Times New Roman"/>
        <family val="1"/>
        <charset val="238"/>
      </rPr>
      <t xml:space="preserve"> - nábytek, digitální pomůcky, zařízení, rezerva org.,
Finanč.dary:133 160,23 Kč - dětské zahradní zařízení, digitální pomůcky.
Šablony III.-317 909,00 Kč. Šablony II.- 12 944,00 Kč- vyčerpány v 1/2022.</t>
    </r>
  </si>
  <si>
    <t>Výše fondu není nikterak velká. Pro příp. nutné stavební opravy.
Organizace prozatím čerpání neplánuje.</t>
  </si>
  <si>
    <t>Čerpání dle rozpočtu FKSP na rok 2022.</t>
  </si>
  <si>
    <t>ORGANIZACE NEMÁ A NEEVIDUJE POHLEDÁVKY PO LHŮTĚ SPLATNOSTI.</t>
  </si>
  <si>
    <t>ORGANIZACE NEMÁ A NEEVIDUJE ZÁVAZKY   PO LHŮTĚ SPLATNOSTI.</t>
  </si>
  <si>
    <t>Finanční dary v roce 2021 nebyly čerpány, ani z předchozích let.</t>
  </si>
  <si>
    <r>
      <t xml:space="preserve">Navýšení neinvestičního příspěvku zřizovatele
na opravu zpevněných ploch na MŠ Moravské
</t>
    </r>
    <r>
      <rPr>
        <b/>
        <sz val="9"/>
        <color rgb="FF0000FF"/>
        <rFont val="Times New Roman"/>
        <family val="1"/>
        <charset val="238"/>
      </rPr>
      <t>UZ - 828 / 400 000,00 Kč</t>
    </r>
    <r>
      <rPr>
        <b/>
        <sz val="9"/>
        <color rgb="FF009900"/>
        <rFont val="Times New Roman"/>
        <family val="1"/>
        <charset val="238"/>
      </rPr>
      <t xml:space="preserve">   </t>
    </r>
    <r>
      <rPr>
        <b/>
        <u/>
        <sz val="9"/>
        <color rgb="FF009900"/>
        <rFont val="Times New Roman"/>
        <family val="1"/>
        <charset val="238"/>
      </rPr>
      <t xml:space="preserve">
</t>
    </r>
    <r>
      <rPr>
        <b/>
        <sz val="9"/>
        <color rgb="FF0000FF"/>
        <rFont val="Times New Roman"/>
        <family val="1"/>
        <charset val="238"/>
      </rPr>
      <t>Usnesení ZMP čís. 11011 ze dne 23. 02. 2021.</t>
    </r>
  </si>
  <si>
    <t xml:space="preserve">
</t>
  </si>
  <si>
    <t>Nutná oprava zpevněných ploch na MŠ Moravské.
UZ- 828.</t>
  </si>
  <si>
    <r>
      <rPr>
        <b/>
        <u/>
        <sz val="9"/>
        <rFont val="Times New Roman"/>
        <family val="1"/>
        <charset val="238"/>
      </rPr>
      <t>Nutnost navýšení odpisů z důvodu pořízení
dřevěného přístřešku a změny odpisového plánu
organizace.</t>
    </r>
    <r>
      <rPr>
        <b/>
        <u/>
        <sz val="9"/>
        <color rgb="FF009900"/>
        <rFont val="Times New Roman"/>
        <family val="1"/>
        <charset val="238"/>
      </rPr>
      <t xml:space="preserve">
</t>
    </r>
    <r>
      <rPr>
        <sz val="9"/>
        <rFont val="Times New Roman"/>
        <family val="1"/>
        <charset val="238"/>
      </rPr>
      <t>Úspory - provedení zahrad. prací brigádnicky.</t>
    </r>
    <r>
      <rPr>
        <b/>
        <sz val="9"/>
        <color rgb="FFC00000"/>
        <rFont val="Times New Roman"/>
        <family val="1"/>
        <charset val="238"/>
      </rPr>
      <t xml:space="preserve">
</t>
    </r>
    <r>
      <rPr>
        <b/>
        <sz val="9"/>
        <color rgb="FF0000FF"/>
        <rFont val="Times New Roman"/>
        <family val="1"/>
        <charset val="238"/>
      </rPr>
      <t>Usnesení RMP č. 1037 ze dne 26.1.2021</t>
    </r>
  </si>
  <si>
    <t>518/0550</t>
  </si>
  <si>
    <t xml:space="preserve">                                                                     </t>
  </si>
  <si>
    <t>Změna odpisového plánu - dřevěný přístřešek,
DHM - 022.</t>
  </si>
  <si>
    <r>
      <rPr>
        <b/>
        <u/>
        <sz val="9"/>
        <color rgb="FF009900"/>
        <rFont val="Times New Roman"/>
        <family val="1"/>
        <charset val="238"/>
      </rPr>
      <t xml:space="preserve">Navýšení neinvestičního účelového příspěvku zřiz.
na vybudování  Přírodní zahrady -  Výzva 7/2019.
</t>
    </r>
    <r>
      <rPr>
        <b/>
        <u/>
        <sz val="9"/>
        <color rgb="FF00B050"/>
        <rFont val="Times New Roman"/>
        <family val="1"/>
        <charset val="238"/>
      </rPr>
      <t xml:space="preserve">
</t>
    </r>
    <r>
      <rPr>
        <b/>
        <sz val="9"/>
        <color rgb="FF0000FF"/>
        <rFont val="Times New Roman"/>
        <family val="1"/>
        <charset val="238"/>
      </rPr>
      <t>Usnesení RMP čís. 0609 ze dne 25. 08. 2020.</t>
    </r>
    <r>
      <rPr>
        <b/>
        <sz val="9"/>
        <color rgb="FF00B050"/>
        <rFont val="Times New Roman"/>
        <family val="1"/>
        <charset val="238"/>
      </rPr>
      <t xml:space="preserve"> </t>
    </r>
    <r>
      <rPr>
        <b/>
        <sz val="9"/>
        <color rgb="FF0000FF"/>
        <rFont val="Times New Roman"/>
        <family val="1"/>
        <charset val="238"/>
      </rPr>
      <t xml:space="preserve">
Revokace části usnesení výše - usnesení RMP 
čís. 1037 ze dne 26. 01. 2021.</t>
    </r>
  </si>
  <si>
    <r>
      <t xml:space="preserve">Vybudování Přírodní zahrady při MŠ Raisova
</t>
    </r>
    <r>
      <rPr>
        <sz val="9"/>
        <rFont val="Times New Roman"/>
        <family val="1"/>
        <charset val="238"/>
      </rPr>
      <t>(strom, pufy na sezení, trvalky, kačírek…)</t>
    </r>
  </si>
  <si>
    <r>
      <t xml:space="preserve">Vybudování Přírodní zahrady při MŠ Raisova
</t>
    </r>
    <r>
      <rPr>
        <sz val="9"/>
        <rFont val="Times New Roman"/>
        <family val="1"/>
        <charset val="238"/>
      </rPr>
      <t>(školení Využití přírodní zahrady ve výuce dětí,
terénní úpravy).</t>
    </r>
  </si>
  <si>
    <t>518/555</t>
  </si>
  <si>
    <r>
      <t xml:space="preserve">Navýšení neinvestičního účelového příspěvku na
opravu zpevněné plochy MŠ Raisova.
UZ - 870 / 470 000,00 Kč
</t>
    </r>
    <r>
      <rPr>
        <b/>
        <u/>
        <sz val="9"/>
        <color rgb="FF0000FF"/>
        <rFont val="Times New Roman"/>
        <family val="1"/>
        <charset val="238"/>
      </rPr>
      <t>Usnesení RMP č. 1547 ze dne 2. 07. 2021</t>
    </r>
  </si>
  <si>
    <t>Nutná oprava zpevněné plochy - terasy pod podloubím na MŠ Raisova.</t>
  </si>
  <si>
    <r>
      <rPr>
        <b/>
        <u/>
        <sz val="9"/>
        <color rgb="FF009900"/>
        <rFont val="Times New Roman"/>
        <family val="1"/>
        <charset val="238"/>
      </rPr>
      <t xml:space="preserve">Navýšení neinvestičního účelového příspěvku zřiz.
na vybudování  Přírodní zahrady -  Výzva 7/2019.
</t>
    </r>
    <r>
      <rPr>
        <b/>
        <sz val="9"/>
        <color rgb="FF0000FF"/>
        <rFont val="Times New Roman"/>
        <family val="1"/>
        <charset val="238"/>
      </rPr>
      <t>Usnesení RMP čís. 0609 ze dne 25. 08. 2020.</t>
    </r>
    <r>
      <rPr>
        <b/>
        <sz val="9"/>
        <color rgb="FF00B050"/>
        <rFont val="Times New Roman"/>
        <family val="1"/>
        <charset val="238"/>
      </rPr>
      <t xml:space="preserve"> </t>
    </r>
    <r>
      <rPr>
        <b/>
        <sz val="9"/>
        <color rgb="FF0000FF"/>
        <rFont val="Times New Roman"/>
        <family val="1"/>
        <charset val="238"/>
      </rPr>
      <t xml:space="preserve">
Revokace části usnesení výše - usnesení RMP  
čís. 1037 ze dne 26. 01. 2021.</t>
    </r>
  </si>
  <si>
    <r>
      <t xml:space="preserve">Budování Přírodní zahrady - MŠ Moravská
</t>
    </r>
    <r>
      <rPr>
        <sz val="9"/>
        <rFont val="Times New Roman"/>
        <family val="1"/>
        <charset val="238"/>
      </rPr>
      <t>(strom, keře, trvalky, vodní rostliny, mulč, štěrk, 
kameny, cedulky k rostlinám, drobný spojovací mater.).</t>
    </r>
  </si>
  <si>
    <r>
      <t xml:space="preserve">Budování Přírodní zahrady - MŠ Moravská
</t>
    </r>
    <r>
      <rPr>
        <sz val="9"/>
        <color rgb="FF000000"/>
        <rFont val="Times New Roman"/>
        <family val="1"/>
        <charset val="238"/>
      </rPr>
      <t>(zemní práce strojem a ručně, založení trávníku
s modelací terénu)</t>
    </r>
  </si>
  <si>
    <r>
      <t xml:space="preserve">Budování Přírodní zahrady - MŠ Moravská
</t>
    </r>
    <r>
      <rPr>
        <sz val="9"/>
        <color rgb="FF000000"/>
        <rFont val="Times New Roman"/>
        <family val="1"/>
        <charset val="238"/>
      </rPr>
      <t>(pořízení jednotlivých prvků - lavičky, inform. panely,
model krajiny s vyhlídkou, dvě jezírka, čabrárna, tepe,
kameniště, mechanická pumpa …</t>
    </r>
  </si>
  <si>
    <r>
      <t xml:space="preserve">Úspora na položce 549 - Ostatní nákl. - pojištění.
</t>
    </r>
    <r>
      <rPr>
        <sz val="9"/>
        <color rgb="FFC00000"/>
        <rFont val="Times New Roman"/>
        <family val="1"/>
        <charset val="238"/>
      </rPr>
      <t>Nekonal se ozdravný pobyt dětí do Itálie, vzhledem k
epidemiolog. situaci.</t>
    </r>
  </si>
  <si>
    <r>
      <t xml:space="preserve">Nutné povýšení nákladů na reprezentaci  - zvýšené
množství pracovních schůzek a návštěv školy 
</t>
    </r>
    <r>
      <rPr>
        <sz val="9"/>
        <color rgb="FFC00000"/>
        <rFont val="Times New Roman"/>
        <family val="1"/>
        <charset val="238"/>
      </rPr>
      <t>(Šablony II. a III., budování přírodních zahrad</t>
    </r>
    <r>
      <rPr>
        <b/>
        <sz val="9"/>
        <color rgb="FFC00000"/>
        <rFont val="Times New Roman"/>
        <family val="1"/>
        <charset val="238"/>
      </rPr>
      <t xml:space="preserve">, </t>
    </r>
    <r>
      <rPr>
        <sz val="9"/>
        <color rgb="FFC00000"/>
        <rFont val="Times New Roman"/>
        <family val="1"/>
        <charset val="238"/>
      </rPr>
      <t>ČŠI…)</t>
    </r>
  </si>
  <si>
    <t>Z důvodu epidemiologické situace - Covid-19, 
(uzavření MŠ, malá docházka), nebyla dosažena
plánovaná výše výnosů z činnosti - školného.
Bylo nutné snížit nákladové položky tam, kde 
vznikla úspora.</t>
  </si>
  <si>
    <r>
      <t>Spotřeba materiálu -</t>
    </r>
    <r>
      <rPr>
        <sz val="9"/>
        <color rgb="FF000000"/>
        <rFont val="Times New Roman"/>
        <family val="1"/>
        <charset val="238"/>
      </rPr>
      <t xml:space="preserve"> dárky spotřebního charakteru od rodičů dětí, některé nákupy se neuskutečnily, </t>
    </r>
    <r>
      <rPr>
        <b/>
        <sz val="9"/>
        <color rgb="FF000000"/>
        <rFont val="Times New Roman"/>
        <family val="1"/>
        <charset val="238"/>
      </rPr>
      <t>úspora.</t>
    </r>
  </si>
  <si>
    <r>
      <t>Ostatní služby -</t>
    </r>
    <r>
      <rPr>
        <sz val="9"/>
        <color rgb="FF000000"/>
        <rFont val="Times New Roman"/>
        <family val="1"/>
        <charset val="238"/>
      </rPr>
      <t xml:space="preserve"> brigáda na školní zahradě, práce 
a drobné služby konané svépomocí</t>
    </r>
    <r>
      <rPr>
        <b/>
        <sz val="9"/>
        <color rgb="FF000000"/>
        <rFont val="Times New Roman"/>
        <family val="1"/>
        <charset val="238"/>
      </rPr>
      <t xml:space="preserve">, </t>
    </r>
    <r>
      <rPr>
        <sz val="9"/>
        <color rgb="FF000000"/>
        <rFont val="Times New Roman"/>
        <family val="1"/>
        <charset val="238"/>
      </rPr>
      <t>některé</t>
    </r>
    <r>
      <rPr>
        <b/>
        <sz val="9"/>
        <color rgb="FF000000"/>
        <rFont val="Times New Roman"/>
        <family val="1"/>
        <charset val="238"/>
      </rPr>
      <t xml:space="preserve"> s</t>
    </r>
    <r>
      <rPr>
        <sz val="9"/>
        <color rgb="FF000000"/>
        <rFont val="Times New Roman"/>
        <family val="1"/>
        <charset val="238"/>
      </rPr>
      <t xml:space="preserve">lužby se
neuskutečnily, </t>
    </r>
    <r>
      <rPr>
        <b/>
        <sz val="9"/>
        <color rgb="FF000000"/>
        <rFont val="Times New Roman"/>
        <family val="1"/>
        <charset val="238"/>
      </rPr>
      <t>úspora</t>
    </r>
  </si>
  <si>
    <r>
      <t>OSSZ po provedené kontrole vyměřila organizaci
penále -</t>
    </r>
    <r>
      <rPr>
        <sz val="9"/>
        <color rgb="FF000000"/>
        <rFont val="Times New Roman"/>
        <family val="1"/>
        <charset val="238"/>
      </rPr>
      <t xml:space="preserve"> překvalifikovala věcné dary zaměstnancům z FKSP na dary finanční</t>
    </r>
    <r>
      <rPr>
        <b/>
        <sz val="9"/>
        <color rgb="FF000000"/>
        <rFont val="Times New Roman"/>
        <family val="1"/>
        <charset val="238"/>
      </rPr>
      <t>.</t>
    </r>
  </si>
  <si>
    <t>Úhrada zaplaceného penále - externí účetní organizace.</t>
  </si>
  <si>
    <t>ÚPRAVY ROZPOČTU V DOPLŇKOVÉ ČINNOSTI NEBYLY PROVEDENY.</t>
  </si>
  <si>
    <t>Komentář:</t>
  </si>
  <si>
    <r>
      <t xml:space="preserve">
Na KD k 30. 6. 2021 nebyla organizaci uložena žádná opatření ani závěry. Organizace nepřekročila závazné ukazatele stanoveného rozpočtu, neevidovala žádné pohledávky ani závazky.
Finanční prostředky ze ZVH roku 2020 ve výši 182 275,30 Kč organizace převedla na základě usnesení RMP čís. 1399 ze dne 18. 05. 2021 a schválení ZMP čís. 11108 ze dne 15. 06. 2021 do peněžních fondů organizace dne 28. 06. 2021. </t>
    </r>
    <r>
      <rPr>
        <b/>
        <u/>
        <sz val="9"/>
        <rFont val="Times New Roman"/>
        <family val="1"/>
        <charset val="238"/>
      </rPr>
      <t>DO RF: 165 275,30 Kč</t>
    </r>
    <r>
      <rPr>
        <sz val="9"/>
        <rFont val="Times New Roman"/>
        <family val="1"/>
        <charset val="238"/>
      </rPr>
      <t xml:space="preserve"> - použití na ztráty organizace způsobené pandemií koronavirové infekce nebo na další nutné nákupy, </t>
    </r>
    <r>
      <rPr>
        <b/>
        <u/>
        <sz val="9"/>
        <rFont val="Times New Roman"/>
        <family val="1"/>
        <charset val="238"/>
      </rPr>
      <t>do Fondu odměn</t>
    </r>
    <r>
      <rPr>
        <sz val="9"/>
        <rFont val="Times New Roman"/>
        <family val="1"/>
        <charset val="238"/>
      </rPr>
      <t xml:space="preserve">
</t>
    </r>
    <r>
      <rPr>
        <b/>
        <u/>
        <sz val="9"/>
        <rFont val="Times New Roman"/>
        <family val="1"/>
        <charset val="238"/>
      </rPr>
      <t>17 000,00 Kč</t>
    </r>
    <r>
      <rPr>
        <sz val="9"/>
        <rFont val="Times New Roman"/>
        <family val="1"/>
        <charset val="238"/>
      </rPr>
      <t xml:space="preserve"> - překročení prostředků na platy, odměny zaměstnancům.
Byl prodiskutován opakující se požadavek organizace na nutnost rekonstrukce kotelny na MŠ Raisova ul. 6, Prostějov - nevyhovující a poruchovy stav. Dále požadavek na další opravy zpevněných ploch na MŠ Moravská ul. 30 a rozšíření svěřeného majetku do péče  z důvodu vybudování předvstupu (předzahrádky) - pozemku o výměře cca 75 m2,  p. č. 7787 v k.ú. Prostějov, na pracovišti MŠ 
Raisova ul. 6, PV. Dále byly prodiskutovány ztráty organizace způsobené COVID-19 (ztráty na školném cca 93 tis. Kč), možnosti řešení, hospodaření organizace a nutné výdaje.
</t>
    </r>
  </si>
  <si>
    <t>Komentář :</t>
  </si>
  <si>
    <t>Organizaci nebyla uložena žádná opatření ani závěry vyplývající z KD k výsledkům hospodaření za rok 2021. Organizace nepřekročila závazné ukazatele rozpočtu pro rok 2021, neeviduje žádné pohledávky ani závazky po lhůtě 
splatnosti, ke dni 31. 12. 2021.
Účastníci KD vzhledem k provedené analýze výsledku hospodaření organizace, doporučují ponechat celý ZVH roku 2021 - tj. 63 520,55 Kč tak, jak je uvedeno výše, dle zákona čís. 250/2000 Sb., o rozpočtových pravidlech
územních rozpočtů, ve znění pozdějších předpisů. Do RF organizace je navržena částka 53 520,55 Kč, do Fondu odměn 10 000,00 Kč. Příděl do fondů organizace provede na základě písemného vyrozumnění odborem školství,
kultury a sportu Magistrátu města Prostějova. Odvod na účet zřizovatele nebyl organizaci uložen.</t>
  </si>
  <si>
    <t>Vyúčtování navýšených účelových neinvestičních příspěvků roku 2021 (UZ-828, UZ-870) v celkové výši 870 000,00 Kč od zřizovatele, organizace provedla dne 10. ledna 2022. Finanční prostřeky byly vyčerpány v plné výši.
Vyúčtování projektu Přírodní zahrady při MŠ Prostějov, Moravská ul. 30, na základě Výzvy čís. 7/2019 SF ŽP ČR, bylo provedeno k 31. 12. 2021 a organizace na účet zřizovatele vrátila dne 10. 01. 2022 částku 1 001 480,38 Kč. Zřizovatel celý projekt předfinancoval a podílel se 15ti% na jeho realizaci (UZ-764, UZ-800)
Organizace velmi děkuji zřizovateli za uvolnění finančních prostředků na celkovou venkovní rekonstrukci budovy školy - MŠ Raisova ul. 6, Prostějov, která proběhla v letních měsících roku 2021.
Opakovaně byl projednán požadavek na rekonstrukci plynové kotelny na témže pracovišti školy. V roce 2022 jsou v rozpočtu zřizovatele uvolněny finanční prostředky na zpracování PD. Finanční požadavek organizace na
pokračující opravu zpevněných ploch na MŠ Moravské a nátěry zárubní na obou pracovištích školy byl organizaci schválen v plné a požadované výši pro rok 2022.
Organizace děkuji všem zúčastněným za zdárný průběh kontrolního dne.</t>
  </si>
  <si>
    <t>Zpracovala:  PaedDr. Alena Hekalová, ředitelka školy</t>
  </si>
  <si>
    <t>Schválila:     PaedDr. Alena Hekalová, ředitelka školy</t>
  </si>
  <si>
    <t xml:space="preserve">V Prostějově dne: 23. března 2022 </t>
  </si>
  <si>
    <t>Výsledek hospodaření byl dosažen nedočerpáním nákladových položek - úspory na energii, službách a efektivním hospodařením i v době poklesu výnosů.</t>
  </si>
  <si>
    <t>Výsledek je tvořen úhradou za pronájem části nebytových prostor v objektu MŠ Hanačka.</t>
  </si>
  <si>
    <t>Pokračování v rekonstrukcích a opravách interiérů škol.</t>
  </si>
  <si>
    <t>Fond odměn bude využit na odměny pro zaměstnance za mimořádné aktivity.</t>
  </si>
  <si>
    <t>Fond bude využit na dary při pracovních a osobních výročích, vitamínové balíčky, příspěvek na penzijní spoření zaměstnanců ( dle Pravidel čerpání fondu FKSP)</t>
  </si>
  <si>
    <t xml:space="preserve">Navýšení záv.ukazatele 551 - odpisy majetku </t>
  </si>
  <si>
    <t>16.1.2021 usn.RMPV č. 1035</t>
  </si>
  <si>
    <t>Navýšení neinv. příspěvku - oprava oplocení MŠ A. Krále 825</t>
  </si>
  <si>
    <t>23.2.2021 usn.RMPV č. 11011</t>
  </si>
  <si>
    <t>Navýšení neinv. příspěvku - oprava oplocení MŠ A. Krále ÚZ 825</t>
  </si>
  <si>
    <t>Navýšení neinv. příspěvku - oprava vstupních dveří MŠ Part ÚZ 826</t>
  </si>
  <si>
    <t>27.7.2021 usn. RMPV č. 1631</t>
  </si>
  <si>
    <t>17.8.2021 usn. RMPV č. 1694</t>
  </si>
  <si>
    <t xml:space="preserve">Zvýšení účtu 524,525 </t>
  </si>
  <si>
    <t>14.12.2021 usn. RMPV č. 11065</t>
  </si>
  <si>
    <t xml:space="preserve">Zvýšení účtu 551 </t>
  </si>
  <si>
    <t>Snížení účtu 512</t>
  </si>
  <si>
    <t>Snížení účtu 513</t>
  </si>
  <si>
    <t>Snížení účtu 549</t>
  </si>
  <si>
    <t>Zvýšení úču 501</t>
  </si>
  <si>
    <t xml:space="preserve">Organizace splnila všechna opatření, čerpání fondů probíhá průběžně a bude výrazně pokračovat. </t>
  </si>
  <si>
    <t xml:space="preserve">Účastníci kontrolního dne doporučují ponechat ZHV ve výši 65 184,60 Kč pro příděl do rezervního fondu, který bude využit na nákupy moderního vybavení škol, herních prvků na školní zahrady a investiční fond bude dále požit k opravám na jednotlivých pracovištích. </t>
  </si>
  <si>
    <t>V Prostějově dne 17.3.2022</t>
  </si>
  <si>
    <t>Hospodářský výsledek dosažen z nedočerpané částky stanovené finančním plánem na odpisy. V nedočerpané výši byl navršen odvod do rozpočtu zřizovatele.</t>
  </si>
  <si>
    <t xml:space="preserve">Hospodářský výsledek z pronájmů nebytových prostor. </t>
  </si>
  <si>
    <t>Částka ve výši 1.033.060,32 kč je částka na projekt "Šablony III". Zbývající částka ve výši 289.932,81 Kč je rezervní fond z kladného hospodářského výsledku předchozích let. Plánovanuje se užití fondu na obnovu vybavení kabinetů pro pedagogy ve výši 100.000 Kč a posílení fondu investic ve výši 200.000 Kč</t>
  </si>
  <si>
    <t>Opravy vodoinstalace, která je v havarijním stavu. Odhadovaná částka je ve výši 250.000 Kč</t>
  </si>
  <si>
    <t xml:space="preserve">Není stanoveno. </t>
  </si>
  <si>
    <t>Plánované čerpání na obědy, rekreace, kulturní a sportovní akce, peněžité dary dle rozpočtu FKSP na rok 2022.</t>
  </si>
  <si>
    <t>dar Women and Women</t>
  </si>
  <si>
    <t xml:space="preserve"> Podpora stravování sociálně znevýhodněných dětí. Dar je finančně vyúčtováván ve výši skutečného čerpání. </t>
  </si>
  <si>
    <t>navýšení nákladů - odpisy, UZ 310, usnesení č. 1100</t>
  </si>
  <si>
    <t>navýšení výnosů - odpisy, UZ 310, usnesení č.1100</t>
  </si>
  <si>
    <t>navýšení nákladů - opravy, UZ 833, oprava podhledů a osvětlení v šatnách, usnesení č. 11011</t>
  </si>
  <si>
    <t>navýšení výnosů - opravy, UZ 833, oprava podhledů a osvětlení v šatnách, usnesení č. 11011</t>
  </si>
  <si>
    <t>navýšení nákladů - správní poplatky</t>
  </si>
  <si>
    <t>538/320</t>
  </si>
  <si>
    <t>snížní nákladů - kancelářský materiál</t>
  </si>
  <si>
    <t>navýšení výnosů - usnesení č. 1161, UZ 852 - pořízení ICT technologií</t>
  </si>
  <si>
    <t>18.3.2021/1161</t>
  </si>
  <si>
    <t>navýšení nákladů - usnesení č. 1161, UZ 852 - pořízení ICT technologií</t>
  </si>
  <si>
    <t>snížení nákladů - energie čj. PVMU 993/2022 20</t>
  </si>
  <si>
    <t>502/310,320,300</t>
  </si>
  <si>
    <t>navýšení položky nákladů DDHM  čj. PVMU 993/2022 20</t>
  </si>
  <si>
    <t>navýšení položky nákladů POE  čj. PVMU 993/2022 20</t>
  </si>
  <si>
    <t>navýšení nákladů oprava  čj. PVMU 993/2022 20</t>
  </si>
  <si>
    <t>511/</t>
  </si>
  <si>
    <t>snížení nákladů - kroužky UZ 301 ze dne 14.12.2021 usnesení č. 11066</t>
  </si>
  <si>
    <t>snížení nákladů - odpisy UZ 310 ze dne 14.12.2021 usnesení č. 11066</t>
  </si>
  <si>
    <t>navýšení nákladů - DDHM ze dne 14.12.2021 usnesení č. 11066</t>
  </si>
  <si>
    <t>snížení nákladů - kroužky UZ 301 ze dne 2.11.2021 usnesení č. 1921</t>
  </si>
  <si>
    <t>navýšení nákladů - opravy ze dne 2.11.2021 usnesení č. 1921</t>
  </si>
  <si>
    <t>navýšení nákladů DDHM ze dne 21.9.2021 usnesení č. 1775</t>
  </si>
  <si>
    <t>navýšení výnosů ze dne 21.9.2021 usnesení č. 1775</t>
  </si>
  <si>
    <t>navýšení nákladů - opravy</t>
  </si>
  <si>
    <t>navýšení výnosů - čerpání fondů</t>
  </si>
  <si>
    <t>nebyly uloženy</t>
  </si>
  <si>
    <t>V Prostějově dne 23.3.2022</t>
  </si>
  <si>
    <t>Základní škola Prostějov, ul. E. Valenty 52</t>
  </si>
  <si>
    <t xml:space="preserve">Hospodářský výsledek je úměrný vůči dosaženým výnosům a vzniklým nákladům. I přes realizaci anticovidových opatření bylo dosaženo vyrovnaného hospodaření. </t>
  </si>
  <si>
    <t xml:space="preserve"> U doplňkové činností se podařilo i přes omezený provoz školy z důvodu mimořádné situace udržet kladný hospodářský výsledek. </t>
  </si>
  <si>
    <t xml:space="preserve">Organizace plánuje zakoupení skříněk do tříd a obnovu vybavení v celkové hodnotě 200.000 Kč. Po plánovaném převedení hospodářského výsledku bude zůstatek fondu cca 114.000 Kč. Pokračuje čerpání projektu Šablony III. </t>
  </si>
  <si>
    <t xml:space="preserve">Pořízení DHM (čistící stroj 130.000 Kč), oprava podlahové krytiny 150.000 Kč. </t>
  </si>
  <si>
    <t>od Obce Držovice schválených RMP učelově neurčený finanční dar, č.usnesení 1278 ze dne 8.4.2021</t>
  </si>
  <si>
    <t>účelově určený finanční dar od fy. Women and Women, účel: strava pro děti ze sociálně znevýhodněných skupin</t>
  </si>
  <si>
    <t>Navýšení závazného ukazatele 551 odpisy DHM</t>
  </si>
  <si>
    <t>09.02.2021/ 1103</t>
  </si>
  <si>
    <t>Navýšení neinvestičního příspěvku na Oplocení areálu školy - ÚZ 840</t>
  </si>
  <si>
    <t>23.02.2021/ 11011</t>
  </si>
  <si>
    <t>Opravy a udržování - nemov.majetku do 100 tis. Kč</t>
  </si>
  <si>
    <t>Opravy a udržování - nemov.majetku nad 100 tis. Kč</t>
  </si>
  <si>
    <t>Navýšení neinvestičního příspěvku na pořízení ICT technologií (distanční výuka) - ÚZ 856</t>
  </si>
  <si>
    <t>09.03.2021/ 1161</t>
  </si>
  <si>
    <t xml:space="preserve">Spotřeba materiálu - vyjma účelově určených pomůcek </t>
  </si>
  <si>
    <t>Navýšení neinvestičního příspěvku na pořízení pomůcek pro 1. třídy</t>
  </si>
  <si>
    <t>18.05.2021/ 1413</t>
  </si>
  <si>
    <t>Čerpání účelově neurčeného peněžního daru od Obce Držovice</t>
  </si>
  <si>
    <t>08.04.2021/ 1278</t>
  </si>
  <si>
    <t>Navýšení neinvestičního příspěvku na projekt "Učíme se v přírodě a z přírody"- ÚZ 769</t>
  </si>
  <si>
    <t>Snížení položky energií</t>
  </si>
  <si>
    <t>Navýšení položky opravy</t>
  </si>
  <si>
    <t>Navýšení položky služby</t>
  </si>
  <si>
    <t>518/300-510</t>
  </si>
  <si>
    <t>Navýšení položky - FKSP, antigenní testy</t>
  </si>
  <si>
    <t>527/300-340</t>
  </si>
  <si>
    <t>Navýšení položky - pokuty</t>
  </si>
  <si>
    <t>542/310</t>
  </si>
  <si>
    <t>Navýšení položky - čipy, menuboxy</t>
  </si>
  <si>
    <t>544/300-350</t>
  </si>
  <si>
    <t>Navýšení položky - odpisy</t>
  </si>
  <si>
    <t>Navýšení položky DDHM</t>
  </si>
  <si>
    <t>Navýšení příspěvku na provoz  ÚZ - 769 - Učíme se v přírodě a z přírody</t>
  </si>
  <si>
    <t>Navýšení příspěvku na provoz UZ 310 - odpisy</t>
  </si>
  <si>
    <t>Snížení položky - potraviny</t>
  </si>
  <si>
    <t xml:space="preserve">Organizace neměla žádná opatření z minulého kontrolního dne. </t>
  </si>
  <si>
    <t>Nebyla uložena opatření či konkrétní závěry pro rok 2022.</t>
  </si>
  <si>
    <t>Schválil(a): Mgr. Radim Weisser</t>
  </si>
  <si>
    <t>V Prostějově dne 6.4.2022</t>
  </si>
  <si>
    <r>
      <t>Příspěvková organizace:</t>
    </r>
    <r>
      <rPr>
        <b/>
        <sz val="14"/>
        <rFont val="Times New Roman"/>
        <family val="1"/>
        <charset val="238"/>
      </rPr>
      <t xml:space="preserve"> Základní škola a mateřská škola Prostějov, Palackého tř. 14</t>
    </r>
  </si>
  <si>
    <t>Výsledek hospodaření v hlavní činnosti byl ovlivněn úsporou na položce odpisy ve výši 1.201,- Kč.</t>
  </si>
  <si>
    <t>Výsledek hospodaření v doplňkové činnosti ve výši 133.683,63 Kč je vytvořen rozdílem mezi skutečnými výnosy za pronájmy tělocvičen, učeben a části nemovitosti v částce 223.570,- Kč a celkovými náklady na tyto pronájmy ve výši 89.886,37 Kč, vypočítanými podle klíče uvedeného výše v popisu doplňkové činnosti. Výsledek hospodaření byl ovlivněn uzavřením vnitřních sportovišť v průběhu roku 2021.</t>
  </si>
  <si>
    <t>Prostředky fondu v příštím roce plánujeme použít na případné dokrytí finančních prostředků při rekonstrukci vstupních dveří pro žáky v budově ZŠ Palackého, příp. na obnovu školního nábytku.</t>
  </si>
  <si>
    <t>Prostředky fondu v příštím roce plánujeme použít na nákup myčky nebo kopírky.</t>
  </si>
  <si>
    <t>Fond bude použit na případné odměny nebo překročení mzdových prostředků za rok 2022.</t>
  </si>
  <si>
    <t>Finance fondu FKSP používáme na příspěvky na obědy, rekreace, odměny k výročím, kulturní a sportovní akce.</t>
  </si>
  <si>
    <t>315.0030 poplatky za školné ŠD</t>
  </si>
  <si>
    <t>všechny poplatky za družinu i mateřskou školu byly uhrazeny do konce února 2022</t>
  </si>
  <si>
    <t>315.0030 poplatky za školné MŠ</t>
  </si>
  <si>
    <t>účelový dar Women For Women - Obědy pro děti 2021</t>
  </si>
  <si>
    <r>
      <t>usnesením RM č. 1101</t>
    </r>
    <r>
      <rPr>
        <sz val="8"/>
        <color indexed="8"/>
        <rFont val="Times New Roman"/>
        <family val="1"/>
        <charset val="238"/>
      </rPr>
      <t xml:space="preserve"> byl posílen účet 672.0510 - navýšení NIV KAP.20 a účet 551.0300 - odpisy budov (TZ bud. MŠ Mánesova a bud. ZŠ Čechovická 53)</t>
    </r>
  </si>
  <si>
    <r>
      <t>usnesením RM č. 11011</t>
    </r>
    <r>
      <rPr>
        <sz val="8"/>
        <color indexed="8"/>
        <rFont val="Times New Roman"/>
        <family val="1"/>
        <charset val="238"/>
      </rPr>
      <t xml:space="preserve"> byl posílen účet 672.0510 - navýšení NIV a účet 511.0300 - opravy nem.majetku = UZ 829 oprava obložení v malé TV </t>
    </r>
  </si>
  <si>
    <r>
      <t xml:space="preserve">usnesením RM č. 1161 UZ 849 </t>
    </r>
    <r>
      <rPr>
        <sz val="8"/>
        <color indexed="8"/>
        <rFont val="Times New Roman"/>
        <family val="1"/>
        <charset val="238"/>
      </rPr>
      <t>byl posílen účet 672.0510 - navýšení NIV a účet 501.0310 - nákup webkamer a wifi routerů, účet 518.0470 - licence OFFICE a účet 558.0300 - nákup NTB (zkvalitnění podmínek distanční vyúuky) UZ 849</t>
    </r>
  </si>
  <si>
    <t>518.0470</t>
  </si>
  <si>
    <r>
      <t>usnesením RM č. 0554/2020</t>
    </r>
    <r>
      <rPr>
        <sz val="8"/>
        <color indexed="8"/>
        <rFont val="Times New Roman"/>
        <family val="1"/>
        <charset val="238"/>
      </rPr>
      <t xml:space="preserve"> byl posílen účet 648.0300 - čerpání fondů - RF a účet 549.0360 - ostatní náklady z činnosti = Obědy pro děti 01-06/2021</t>
    </r>
  </si>
  <si>
    <t>navýšení účtu 649.0500 - ostatní výnosy a účtu 501.0500 (žáci) a účtu 527.0500 (zaměstnanci) = bezúplatné předání testů, roušek a respirátorů</t>
  </si>
  <si>
    <t>501.0500</t>
  </si>
  <si>
    <r>
      <t>usnesením RM č. 1413</t>
    </r>
    <r>
      <rPr>
        <sz val="8"/>
        <color indexed="8"/>
        <rFont val="Times New Roman"/>
        <family val="1"/>
        <charset val="238"/>
      </rPr>
      <t xml:space="preserve"> byl posílen účet 672.0510 - navýšení NIV a účet 501.0330 (UZ 858) - pomůcky pro 1. tř.</t>
    </r>
  </si>
  <si>
    <r>
      <t>usnesením RM č. 1546</t>
    </r>
    <r>
      <rPr>
        <sz val="8"/>
        <color indexed="8"/>
        <rFont val="Times New Roman"/>
        <family val="1"/>
        <charset val="238"/>
      </rPr>
      <t xml:space="preserve"> byl posílen účet 672.0510 - navýšení NIV KAP.20 a účet 551.0300 - odpisy budov (TZ dokončení oplacení hřiště)</t>
    </r>
  </si>
  <si>
    <r>
      <t xml:space="preserve">usnesením RM č. 1774 </t>
    </r>
    <r>
      <rPr>
        <sz val="8"/>
        <color indexed="8"/>
        <rFont val="Times New Roman"/>
        <family val="1"/>
        <charset val="238"/>
      </rPr>
      <t>bylo schváleno přijetí daru pro MŠ Mánesova (SU 558 - tabule Honza)</t>
    </r>
  </si>
  <si>
    <r>
      <t xml:space="preserve">usnesením RM č. 1161 UZ 849 </t>
    </r>
    <r>
      <rPr>
        <sz val="8"/>
        <color indexed="8"/>
        <rFont val="Times New Roman"/>
        <family val="1"/>
        <charset val="238"/>
      </rPr>
      <t>byl posílen účet 672.0510 - navýšení NIV a účet 511.0300 - obnova internetové sítě</t>
    </r>
  </si>
  <si>
    <r>
      <t xml:space="preserve">usnesením RM č. 1881 </t>
    </r>
    <r>
      <rPr>
        <sz val="8"/>
        <color indexed="8"/>
        <rFont val="Times New Roman"/>
        <family val="1"/>
        <charset val="238"/>
      </rPr>
      <t>bylo schváleno přijetí daru pro ZŠ Skálovo nám. (SU 501 - stolní fotbálek Glasgow)</t>
    </r>
  </si>
  <si>
    <r>
      <t xml:space="preserve">usnesením RM č. 11274 </t>
    </r>
    <r>
      <rPr>
        <sz val="8"/>
        <color indexed="8"/>
        <rFont val="Times New Roman"/>
        <family val="1"/>
        <charset val="238"/>
      </rPr>
      <t>byl ponížen účet 672.0510  UZ 829 - na opravu obložení v TV a posílen SU 672.0510 UZ 880 - na opravu přepážek žák.WC a navýšen účet 511.0300 - oprava přepážek žák.WC</t>
    </r>
  </si>
  <si>
    <t>usnesením RM č. 11274 byl posílen účet 672.0510 UZ 881 - na výsadbu stromů a navýšen účet 518.0530 - ostatní služby</t>
  </si>
  <si>
    <t>518.0530</t>
  </si>
  <si>
    <t>použití SU 648 na nákup lednic z fondu FKSP pro zaměstnance a SU 558.0300 (DDHM)</t>
  </si>
  <si>
    <t>vedoucím odboru OŠKS byla schváleno navýšení SU 502 - spotřeba energií a snížení položek: SU 511 opravy majetku, SU 512 cestovné a SU 518 ostatní služby</t>
  </si>
  <si>
    <t xml:space="preserve">čerpání RF SU 648 na pokrytí ztráty na nákup úklidových vozíků, vybavení dvou tříd nábytkem, MT, PC, NTB (SU 501+558) </t>
  </si>
  <si>
    <t>snížení SU 602 - poplatky za MŠ a ŠD (důvodem bylo vracení poplatků za obd.uzavření škol), SU 649 - výnosy za sběr, zápisové lístky a zničené a poškozené učebnice, bezúplatné nabytí respirátoů a navýšení SU 662 - úroky</t>
  </si>
  <si>
    <t>snížení SU 501 - ostatní materiál, navýšení SU 511 - opravy nemovitého maj., snížení SU 513 - repefond, snížení SU 518 - ostatní služby, navýšení SU 524-527 (odvody k odměnám vyplaceným z FO), navýšení SU 527 - bezúpl.nabytí respirátorů, navýšení SU 549 - pojistné škod budov a navýšení SU 558 - nákupy DDHM</t>
  </si>
  <si>
    <t>- nebyla uložena žádná opatření</t>
  </si>
  <si>
    <t>1. Účastníci kontrolního dne, vzhledem k provedené analýze výsledku hospodaření, doporučují ponechat organizaci část výsledku hospodaření ve výši 133.683,63 Kč  pro příděl do peněžních fondů organizace dle zákona č. 250/200 Sb., o rozpočtových pravidlech územních rozpočtů, ve znění pozdějších předpisů a na základě předložených požadavků a potřeb organizace. Do rezervního fondu je navrženo převést částku 88.683,63 Kč a do fondu odměn částku 45.000,- Kč.</t>
  </si>
  <si>
    <t>2. Účastníci KD, vzhledem k provedené analýze výsledku hospodaření, doporučují odvést část VH (vratka z odpisů) ve výši 1.201,- Kč na účet zřizovatele v rámci finančního vypořádání roku 2021.</t>
  </si>
  <si>
    <t>3. Příděl fondům a odvod části VH na účet zřizovatele provede organizace na základě písemného vyrozumnění OŠKS.</t>
  </si>
  <si>
    <t>V Prostějově dne 21.3.2022</t>
  </si>
  <si>
    <t>Základní škola a mateřská škola Prostějov, Kollárova ul. 4, 796 01 Prostějov, IČ 47922494</t>
  </si>
  <si>
    <t>Organizace se v průběhu roku snažila zajišťovat dobrý technický stav budov a veškerého zařízení, nezbytné opravy realizovala z navýšených účelově určených neinvestičních příspěvků od zřizovatele, na které navázala dovybavením zrekonstruovaných prostor, financovaným ze schváleného rozpočtu na rok 2021. Za tímto účelem organizace nastavila úsporná opatření zejména na položce běžné údržby a provedla přesuny na položky majetkové. Dále organizace v průběhu roku sledovala přepočet odebraných výrobků a služeb v rámci náhradního plnění. V roce 2021 se podařilo dosáhnout nulové výše poplatku za neplnění povinného podílu osob se zdravotním postižením na celkovém počtu zaměstnanců. Hospodaření organizace za rok 2021 je ukončeno kladným hospodářským výsledkem ve výši 62 144,39 Kč.</t>
  </si>
  <si>
    <t>Výsledek hospodaření v doplňkové činnosti je srovnatelný s předchozím rokem, obě období byla ovlivněna uzavřením škol v rámci protiepidemických opatření v souvislosti s onemocněním COVID-19, kdy neprobíhaly některé pronájmy, zejména tělocvičny. Doplňková činnost za rok 2021 vykazuje hospodářský výsledek ve výši + 51 873,96 Kč.</t>
  </si>
  <si>
    <t>Finanční krytí na BÚ - předpokládá se pouze užití fondu z ostatních zdrojů, a to čerpání daru na stravování sociálně slabých žáků a čerpání nespotřebované části dotace na OP VVV III. U RF ze ZVH vzhledem ke stáří svěřených budov s vyšším rizikem vzniku havarijních situací, plánuje organizace v roce 2022 režim šetření.</t>
  </si>
  <si>
    <t>Finanční krytí na BÚ - organizace má ze dne 19. 10. 2021 uzavřenu závaznou objednávku ve výši 90 871,-- Kč na dodávku dětských herních prvků do dvora základní školy. Herní prvky budou instalovány na jaře roku 2022, po realizaci této akce bude fond téměř zcela vyčerpán.</t>
  </si>
  <si>
    <t>Finanční krytí na BÚ - použití na výplatu odměny.</t>
  </si>
  <si>
    <t xml:space="preserve">Rozdíl mezi účty 412 a 243 je způsobem časovým nesouladem mezi převodem základního přídělu z hrubých mezd za 12/2021, vyplacenými příspěvky na penzijní připojištění a srážkou bankovního poplatku. Použití: příspěvky na stravování zaměstnanců, rekreace, sportovní a kulturní akce, finanční dary, penzijní připojištění, zájmové vzdělávání, vitamínové prostředky a pracovní obuv. </t>
  </si>
  <si>
    <r>
      <t xml:space="preserve">dar na stravu žáků od společnosti WOMEN </t>
    </r>
    <r>
      <rPr>
        <sz val="8"/>
        <rFont val="Calibri"/>
        <family val="2"/>
        <charset val="238"/>
      </rPr>
      <t>&amp; WOMEN, vyúčtování - vratky ve výši 8 525,-- Kč</t>
    </r>
  </si>
  <si>
    <t>Zvýšení nákladů - zdražení registračního poplatku</t>
  </si>
  <si>
    <t>518/0330</t>
  </si>
  <si>
    <t>Zvýšení nákladů - ověření listin</t>
  </si>
  <si>
    <t>538/0320</t>
  </si>
  <si>
    <t>Snížení nákladů - úspora za nájem nem.majetku</t>
  </si>
  <si>
    <t>Zvýšení výnosů - opisy vysvědčení</t>
  </si>
  <si>
    <t>Zvýšení nákladů - barvy nátěr,mat.na plot a zábr.</t>
  </si>
  <si>
    <t>Zvýšení nákladů - úr.poj.zam. z ÚP</t>
  </si>
  <si>
    <t>01.06.2021 / usn.č.1475</t>
  </si>
  <si>
    <t>Zvýšení nákladů - odvod do FKSP za zam. z ÚP</t>
  </si>
  <si>
    <t>Zvýšení nákladů - lékařská dohlídka pracoviště</t>
  </si>
  <si>
    <t>Zvýšení nákladů - zvýšená potřeba tonerů, zdraž.</t>
  </si>
  <si>
    <t>501/0320</t>
  </si>
  <si>
    <t>Zvýšení výnosů - škodní událost, náhrada od žáka</t>
  </si>
  <si>
    <t>649/0301</t>
  </si>
  <si>
    <t>18. 05. 2021 / usn.č.1413</t>
  </si>
  <si>
    <t>Zvýšení nákladů - pořízení ICT technologií</t>
  </si>
  <si>
    <t>09. 03. 2021 / usn.č. 1161</t>
  </si>
  <si>
    <t>Zvýšení výnosů - navýš.neinv.přísp.na ICT techn.</t>
  </si>
  <si>
    <t>09. 03. 2021 / usn.č.1161</t>
  </si>
  <si>
    <t>27. 07. 2021 / usn.č. 1631</t>
  </si>
  <si>
    <t>27.07.2021 / usn.č. 1631</t>
  </si>
  <si>
    <t>Zvýšení nákladů - opr.nem.maj.nad 100tis. kabinet</t>
  </si>
  <si>
    <t>23.02.2021 / usn.č. 11011</t>
  </si>
  <si>
    <t xml:space="preserve">Zvýšení výnosů - navýš.neinv.přísp.na opr.kabinetu </t>
  </si>
  <si>
    <t>Zvýšení nákladů - opr.nem.maj.nad 100tis.podlah MŠ</t>
  </si>
  <si>
    <t>01.06.2021 / usn.č. 1474</t>
  </si>
  <si>
    <t xml:space="preserve">Zvýšení výnosů - navýš.neinv.přísp.na opr.podlah MŠ </t>
  </si>
  <si>
    <t>Zvýšení nákladů - OE dovybavení tříd MŠ</t>
  </si>
  <si>
    <t>15.10.2021 / usn.č. 1766</t>
  </si>
  <si>
    <t>Zvýšení nákladů - DDHM dovybavení tříd MŠ</t>
  </si>
  <si>
    <t xml:space="preserve">Zvýšení výnosů - navýš.neinv.přísp.na dovybav. MŠ </t>
  </si>
  <si>
    <t>Zvýšení nákladů - odpisy budov TZ budovy MŠ</t>
  </si>
  <si>
    <t>14.12.2021 / usn.č. 11063</t>
  </si>
  <si>
    <t>Snížení nákladů - odpisy DHM prodloužení používání</t>
  </si>
  <si>
    <t>Snížení nákladů - OE DDNM úspora za nákupu soft.</t>
  </si>
  <si>
    <t>Zvýšení nákladů - mzd.nákl.zam.prádelny zástup</t>
  </si>
  <si>
    <t>Zvýšení nákladů - SP ke mzdě za zástup zam.prád.</t>
  </si>
  <si>
    <t>Zvýšení nákladů - SP k odměně z FO</t>
  </si>
  <si>
    <t>Zvýšení nákladů - ZP ke mzdě za zástup.zam.prád.</t>
  </si>
  <si>
    <t>Zvýšení nákladů - ZP k odměně z FO</t>
  </si>
  <si>
    <t>Zvýšení nákladů - úr.poj.ke mzdě za zástup.zam.prád.</t>
  </si>
  <si>
    <t>Zvýšení nákladů - úr.poj.zam.z ÚP</t>
  </si>
  <si>
    <t>Zvýšení nákladů - odvod do FKSP zást.zam.prád.+ÚP</t>
  </si>
  <si>
    <t>Zvýšení nákladů - roušky + respirátory pro zam.</t>
  </si>
  <si>
    <t>Zvýšení výnosů - RF ze ZVH, odvody k odměně z FO</t>
  </si>
  <si>
    <t>648/0350</t>
  </si>
  <si>
    <t>Zvýšení nákladů - vodné, havárie na potrubí</t>
  </si>
  <si>
    <t>Zvýšení nákladů - zemní plyn, navýšení spotř.cen</t>
  </si>
  <si>
    <t>Zvýšení nákladů - DDHM, nábytek do MŠ</t>
  </si>
  <si>
    <t xml:space="preserve">Snížení nákladů - úspora za elektrickou energii </t>
  </si>
  <si>
    <t xml:space="preserve">Snížení nákladů - úspora za UP, poříz.z navýš.ONIV  </t>
  </si>
  <si>
    <t>501/0341</t>
  </si>
  <si>
    <t>Zvýšení nákladů - nábytek do MŠ v ceně pod hr.OE</t>
  </si>
  <si>
    <t>Zvýšení nákladů - mat., hry pro ŠD</t>
  </si>
  <si>
    <t>Zvýšení nákladů - mat., podnosy do ŠJ</t>
  </si>
  <si>
    <t xml:space="preserve">Snížení nákladů - prací prostř.,úspora za dobu uzavř.  </t>
  </si>
  <si>
    <t>501/0391</t>
  </si>
  <si>
    <t>Zvýšení nákladů - tiskop., časop., navýšení cen</t>
  </si>
  <si>
    <t>Zvýšení nákladů - OE, škol.nábytek ZŠ, UP, zál.zdr.</t>
  </si>
  <si>
    <t>Zvýšení nákladů - mat.na údržbu venk.prostor-posyp</t>
  </si>
  <si>
    <t xml:space="preserve">Snížení nákladů - úspora za opr.nem.maj.do 100tis.  </t>
  </si>
  <si>
    <t xml:space="preserve">Snížení nákladů - úspora za opr.nem.maj.nad 100tis.  </t>
  </si>
  <si>
    <t>Zvýšení nákladů - sl.WEB GDPR</t>
  </si>
  <si>
    <t>518/0310</t>
  </si>
  <si>
    <t>Zvýšení nákladů - sl.zvýšení bankovních poplatků</t>
  </si>
  <si>
    <t>518/0320</t>
  </si>
  <si>
    <t xml:space="preserve">Snížení nákladů - sl.úspora za nájem tělocvičny  </t>
  </si>
  <si>
    <t xml:space="preserve">Snížení nákladů - sl.úspora za servis.prohl.dvoulet.i.  </t>
  </si>
  <si>
    <t>Zvýšení nákladů - sl.2xstěhování MŠ rekonstrukce</t>
  </si>
  <si>
    <t xml:space="preserve">Snížení nákladů - sl.úspora za rozvor prádla v době u.  </t>
  </si>
  <si>
    <t>518/0500</t>
  </si>
  <si>
    <t xml:space="preserve">Snížení nákladů - ost.sl.úspora neproběhla vým.písku  </t>
  </si>
  <si>
    <t>518/0530</t>
  </si>
  <si>
    <t>Zvýšení nákladů - TZ rozšíření internetové sítě</t>
  </si>
  <si>
    <t>Zvýšení nákladů - DDHM kuchyňské linky MŠ,reg.</t>
  </si>
  <si>
    <t>Zvýšení nákladů - DDHM UP brýle pro virtuální real.</t>
  </si>
  <si>
    <t>Zvýšení výnosů - za kopírování, opisy vysvědčení</t>
  </si>
  <si>
    <t>605/0360</t>
  </si>
  <si>
    <t>Zvýšení výnosů - náhr.žáci za poničené učebnice</t>
  </si>
  <si>
    <t>511/0101</t>
  </si>
  <si>
    <t>Zvýšení nákladů - servisní prohlídka ve sl.bytě</t>
  </si>
  <si>
    <t>Zvýšení výnosů - poplatek za používání sauny</t>
  </si>
  <si>
    <t>Zvýšení výnosů - vodné ve sl.bytě</t>
  </si>
  <si>
    <t>Po provedení analýzy výsledku hospodaření zúčastněné strany vyslovily souhlas s navrženým rozdělením zlepšeného hospodářského výsledku za rok 2021 ve výši 114 018,35 Kč, po odvodu nevyčerpané částky na odpisy ve výši 136,-- Kč zřizovateli, doporučují zbývající část finančních prostředků ve výši 113 882,35 Kč ponechat organizaci pro příděl do  penežních fondů organizace dle zákona č. 250/2000 Sb., o rozpočtových pravidlech územních rozpočtů, ve znění pozdějších předpisů a na základě předložených požadavků - potřeb organizace. Je navrženo převést výsledek hospodaření v souhrnu za hlavní i doplňkovou činnost v celkové výši 113 882,35 Kč do rezervního fondu, u kterého organizace, vzhledem ke stáří svěřených budov s vysokým rizikem vzniku havarijních situací, plánuje režim šetření. Část rezervního fondu organizace využívá k případnému dofinancovaní investičního fondu, který vykazuje, vzhledem k pravidelnému čerpání, trvale nízký zůstatek.</t>
  </si>
  <si>
    <t>VH vznikl mírným nedočerpání nákladových položek , účet 502,511 a 551.Ve výnosových položkách jde o nepatrné překročení výnosů.</t>
  </si>
  <si>
    <t xml:space="preserve">VH v doplňkové činnosti byl silně ovlivně epidemilogoickou situací Covid 19. </t>
  </si>
  <si>
    <t>Zajištění prořez a kácení keřů a stromů,nákup školních tabulí, skříní pro MŠ.</t>
  </si>
  <si>
    <t>Nákup mulatifunkčního tiskového zařízení, nákup průmyslové myčky nádobí.</t>
  </si>
  <si>
    <t>Vyplacení mimořádných odměn.</t>
  </si>
  <si>
    <t>Využití na příspěvek stravování,nákup permanentek,zajištění společného zájezdu.</t>
  </si>
  <si>
    <t>Stravné v MŠ. ZŠ požádá o odpis pohledávky.</t>
  </si>
  <si>
    <t>Sponzorský dar účelově neurčený, nákup výukových pomůcek.</t>
  </si>
  <si>
    <t>Sponzorský dar účelově neurčený, nákup dataprojektoru a ostatních výukových pomůcek</t>
  </si>
  <si>
    <t>Věcný dar - notebook.</t>
  </si>
  <si>
    <t>RMP usnesením č. 1099 e dne 9.2.2021 schválila úpravu FP</t>
  </si>
  <si>
    <t>518/0442</t>
  </si>
  <si>
    <r>
      <t xml:space="preserve">pro zajištění financování správce hřiště </t>
    </r>
    <r>
      <rPr>
        <b/>
        <sz val="7"/>
        <color theme="1"/>
        <rFont val="Times New Roman"/>
        <family val="1"/>
        <charset val="238"/>
      </rPr>
      <t>521 UZ 302</t>
    </r>
  </si>
  <si>
    <t>5210310 UZ302</t>
  </si>
  <si>
    <t>usnesení č.1099</t>
  </si>
  <si>
    <t>Zastupitelstvo města Prostějova schválilo navýšení neinv.příspěvku</t>
  </si>
  <si>
    <t>na opravu sociálního zařízení UZ 832</t>
  </si>
  <si>
    <t>672/0300</t>
  </si>
  <si>
    <t>usnesení č.11011</t>
  </si>
  <si>
    <t xml:space="preserve">Úprava FP pro nákup anitgenních testů pro potřeby testování </t>
  </si>
  <si>
    <t>zaměstnanců při distanční výuce.</t>
  </si>
  <si>
    <t>527/0510</t>
  </si>
  <si>
    <t>RMP usnesením č. 1161 schválila úpravu FP navýšení neinvest.</t>
  </si>
  <si>
    <t>příspěvku na ICT technologie a služby pro distanční výuku</t>
  </si>
  <si>
    <t>9.3.2021</t>
  </si>
  <si>
    <t>usnesení č.1161</t>
  </si>
  <si>
    <t>Bezúplatné převzetí respirátorů-zaměstnanci</t>
  </si>
  <si>
    <t>Použití RF - kácení stromů, ořez keřů</t>
  </si>
  <si>
    <t>Bezúplatné převzetí antigenních testů I.</t>
  </si>
  <si>
    <t>501/0500</t>
  </si>
  <si>
    <t>žáci, zaměstnanci</t>
  </si>
  <si>
    <t>Bezúplatné převzetí ochranných roušek - žáci</t>
  </si>
  <si>
    <t>Bezúplatné převzetí antigenních testů II.</t>
  </si>
  <si>
    <t>Použití RF - sponzorský dar Lidl</t>
  </si>
  <si>
    <t>nákup sedacích vaků a koberce na odpočinkovou zonu</t>
  </si>
  <si>
    <t>501/0649</t>
  </si>
  <si>
    <t>26.521</t>
  </si>
  <si>
    <t>Použití RF-  sponzorského daru - Lidl</t>
  </si>
  <si>
    <t>nákup tabule Smart Board</t>
  </si>
  <si>
    <t>RMP usnesením č. 1413 schválila navýšení neinvest. Příspěvku</t>
  </si>
  <si>
    <t>na pořízení pomůcek pro žáky 1.tříd</t>
  </si>
  <si>
    <t>usnesení č.1413</t>
  </si>
  <si>
    <t xml:space="preserve">Použití RF - sponzorský dar Lidl na nákup </t>
  </si>
  <si>
    <t>euroclipů pro 1. třídy.</t>
  </si>
  <si>
    <t>501/0600</t>
  </si>
  <si>
    <t>Úprava FP - bezúplatné převzetí antigenních testů</t>
  </si>
  <si>
    <t>21.06.2021</t>
  </si>
  <si>
    <t>RMP usnesením č. 1176 z 9.3.2021 schválila cenu za účast</t>
  </si>
  <si>
    <t>v soutěži sběru starého ppaíru</t>
  </si>
  <si>
    <t>usnesení č.1176</t>
  </si>
  <si>
    <t>Použití FO na úhradu odměny-řidič pro rozvoz stravy.</t>
  </si>
  <si>
    <t>648/0640</t>
  </si>
  <si>
    <t>Úprava FP -přesun mezi účtem 558 a 501- nákup nábytkového</t>
  </si>
  <si>
    <t>vybavení v ceně do 3000.- Kč/ks.</t>
  </si>
  <si>
    <t>Čerpání RF - terénní úprava -odvoz odpadu</t>
  </si>
  <si>
    <t>648/0311</t>
  </si>
  <si>
    <t>Bezúplatný převod teploměrů od MMPv</t>
  </si>
  <si>
    <t>648/0340</t>
  </si>
  <si>
    <t>Bezúplatný příjem-sponzorský dar notebook</t>
  </si>
  <si>
    <t>Použití IF -zajištění oprav WC - pavilon D</t>
  </si>
  <si>
    <t>Úprava FP-použití sponz.dar Lidl na nákup</t>
  </si>
  <si>
    <t>skříněk C 23</t>
  </si>
  <si>
    <t>Použití FO - dle rozhodnutí RMP- odměna z fondu odměn</t>
  </si>
  <si>
    <t>Úprava FP - úspora spotřeby energií</t>
  </si>
  <si>
    <t>oprava WC - pav. D</t>
  </si>
  <si>
    <t>TZ telef. Přístroje ŠD</t>
  </si>
  <si>
    <t>Aktualizace odpisového plánu budov a snížení 551</t>
  </si>
  <si>
    <t>usnesení č.1771</t>
  </si>
  <si>
    <t>Nákup přepravního vozíku z RF</t>
  </si>
  <si>
    <t>Bezúplatný příjem antig.testů</t>
  </si>
  <si>
    <t>Použití RF - VH na úhradu nákladů spojených s výsadbou</t>
  </si>
  <si>
    <t>nových stromů v zahradě MŠ(po kácení stromů)</t>
  </si>
  <si>
    <t>Úprava FP-opravy svépomoci, převod na úhradu materiálu pro opravy</t>
  </si>
  <si>
    <t>Úprava FP- nenaplnění výnosových položek z důvodu Covid 19</t>
  </si>
  <si>
    <t>(školné MŠ, docházka ŠD)</t>
  </si>
  <si>
    <t>Úprava FP - nenaplnění výnosových položek z důvodu Covid 19</t>
  </si>
  <si>
    <t>(školné MŠ,docházka ŠD) - úspora za otop, TUV</t>
  </si>
  <si>
    <t>Použití RF - přijatý dar</t>
  </si>
  <si>
    <t>Použití RF - nákup šatních laviček</t>
  </si>
  <si>
    <t xml:space="preserve">Úprava FP-nevyčerpané mzdové prostdky za kroužky </t>
  </si>
  <si>
    <t>usnesení č.11062</t>
  </si>
  <si>
    <t>použity na nákup DDHM,POE 2</t>
  </si>
  <si>
    <t>Úprava FP- snížení nákladů na potraviny a snížení</t>
  </si>
  <si>
    <t>výnosových položek za úhradu stravného</t>
  </si>
  <si>
    <t>Úprava FP- nevyčerpané prostředky účty 512 - Cestovné</t>
  </si>
  <si>
    <t>použity na úhradu údržby zahrady MŠ</t>
  </si>
  <si>
    <t>Úprava FP - účet 549 přesun na účet 556 Náklady opravných položek</t>
  </si>
  <si>
    <t>pohledávky</t>
  </si>
  <si>
    <t>Výsledky hospodaření organizace v roce 2021 reflektovaly požadavky zřizovatele na chod organizace.</t>
  </si>
  <si>
    <t xml:space="preserve">Nadále efektivně a hospodárně využívat veškeré finanční prostředky. </t>
  </si>
  <si>
    <t>V dalším období je třeba se zaměřit na projekt - výstavba dalších prostor pro tělesnou přípravu, a to nejen žáků školy, ale i místních</t>
  </si>
  <si>
    <t>sportovních oddílů a občanů města v podobě běžeckého tunelu 80x9 m, a tím podporovat zdravý životní styl.</t>
  </si>
  <si>
    <t>V Prostějově dne : 15. 3. 2022</t>
  </si>
  <si>
    <t>Srovn. skut.  2020</t>
  </si>
  <si>
    <t>Komentář k výsledku hospodaření v hlavní činnosti: na výsledku hospodaření v hlavní činnosti se projevily menší úspory ve spotřebě materiálu, ve službách a opravách, cestovném a u nákladů na reprezentaci. Odměny pro vedoucí zájmových kroužků se vyplácely až od října. Bylo to jen 5 zaměstnanců, kteří dostávali 150,- Kč/hod. Celkem 20.250,- Kč. Správce hřiště pracoval na dohodu od 1.5.2021 do 30.11.2021. Menší úspora vznikla i v příspěvku na stravování zaměstnanců kvůli krizovému stavu. Do rezervního fondu bychom rádi převedli úspory z neúčelového příspěvku na provoz - celkem 77.892,- Kč v HČ a k odvodu zřizovateli všechny úspory účelově určených prostředků účtů 521, 524, 527, t.j. 60.941,- Kč. Vývoj do dalších let: výsledek hospodaření bude obdobný.</t>
  </si>
  <si>
    <t>Komentář k výsledku hospodaření v doplňkové činnosti celkem: kvůli mimořádným opatřením v souvislosti s prevencí šíření nákazy koronavirem jsme tělocvičnu v 1. pololetí nepronajímali. Od září si na chvíli pronajalo tělocvičnu 5 organizací a Veselá věda učebnu. Tržby jsou z tohoto důvodu oproti předchozím letům o něco nižší, o 740,- Kč nižší oproti plánu roku 2021.</t>
  </si>
  <si>
    <t>Fond bude využit k obnově zastaralého vybavení školy.</t>
  </si>
  <si>
    <t>Fond bude v případě potřeby použit pro nutné opravy v budově školy.</t>
  </si>
  <si>
    <t>Fond odměn se dlouhodobě nečerpá, může být použit na odměny zaměstnanců.</t>
  </si>
  <si>
    <t>Z fondu se přispívá v rámci individuálního příspěvku na rekreační a lázeňské pobyty, zájezdy a rehabilitace, na stravování zaměstnanců, kulturní představení, tělovýchovné akce, setkávání s důchodci školy. Z fondu mohou být zakoupeny věcné dary pro důchodce k životnímu výročí, poskytnuty finanční dary dle vnitřní směrnice, příspěvky na dioptrické brýle, vitamíny...</t>
  </si>
  <si>
    <t>Ke konci roku 2021 nevedeme pohledávky po lhůtě splatnosti.</t>
  </si>
  <si>
    <t>Ke konci roku 2021 nevedeme závazky po lhůtě splatnosti</t>
  </si>
  <si>
    <t>V roce 2021 nebyly přijaty žádné dary.</t>
  </si>
  <si>
    <t>pořízení nábytku, serveru, sekačky</t>
  </si>
  <si>
    <t>navýšení neinv. příspěvku na pořízení ICT - ÚZ 853</t>
  </si>
  <si>
    <t>9.3.2021/1161</t>
  </si>
  <si>
    <t>pořízení ICT</t>
  </si>
  <si>
    <t>7.10.2020//0727</t>
  </si>
  <si>
    <t>čerpání ÚZ 768</t>
  </si>
  <si>
    <t>501/xxxx</t>
  </si>
  <si>
    <t>účelové navýšení neinv. příspěvku - ÚZ 862</t>
  </si>
  <si>
    <t>18.5.2021/1413</t>
  </si>
  <si>
    <t>1. místo ve sběru papíru 2020-2021</t>
  </si>
  <si>
    <t>9.3.2021/1176</t>
  </si>
  <si>
    <t>zakoupeny 2 vozíky na převoz pomůcek a věcí</t>
  </si>
  <si>
    <t>převod prostředků do energíí</t>
  </si>
  <si>
    <t>posílení položky energií - spotřeba plynu</t>
  </si>
  <si>
    <t xml:space="preserve">502/0310    </t>
  </si>
  <si>
    <t>snížení spotřeby materiálu</t>
  </si>
  <si>
    <t>použití úspory z materiálu na nákup DDHM</t>
  </si>
  <si>
    <t>čerpání FKSP na nákup kávovaru</t>
  </si>
  <si>
    <t>nákup kávovaru</t>
  </si>
  <si>
    <t>čerpání fondu investic na opravu plyn. kotle ve ŠD</t>
  </si>
  <si>
    <t>oprava plynového kotle ve ŠD</t>
  </si>
  <si>
    <t>OOP poskytnuté školám bezplatně</t>
  </si>
  <si>
    <t>OOP poskytnuté školám bezplatně - žáci</t>
  </si>
  <si>
    <t>OOP pro zaměstnance</t>
  </si>
  <si>
    <t>OOP na sklad</t>
  </si>
  <si>
    <t>112/0000</t>
  </si>
  <si>
    <t>výnosy za zničené nebo poškozené učebnice</t>
  </si>
  <si>
    <t>použití výnosu za učebnice v položce materiálu</t>
  </si>
  <si>
    <t>připsané úroky</t>
  </si>
  <si>
    <t>662/0301</t>
  </si>
  <si>
    <t>použití připsaných úroků v položce materiálu</t>
  </si>
  <si>
    <t>551/xxxx</t>
  </si>
  <si>
    <t>neinv. navýšení dotace na opravu osvětlení tříd ÚZ 834</t>
  </si>
  <si>
    <t>23.2.2021/11011</t>
  </si>
  <si>
    <t>oprava osvětlení ve třídách</t>
  </si>
  <si>
    <t xml:space="preserve">Požadovaný komentář : </t>
  </si>
  <si>
    <t>Pro naši organizaci nevyplynula z minulého kontrolního dne žádná opatření.</t>
  </si>
  <si>
    <t xml:space="preserve">Požadovaný komentář :  </t>
  </si>
  <si>
    <t>Účastníci kontrolního dne, vzhledem k provedené analýze výsledku hospodaření, doporučují ponechat organizaci celý výsledek hospodaření v doplňkové činnosti ve výši Kč 4.915,-- a část výsledku hospodaření v hlavní činnosti ve výši Kč 77.892,-- Kč pro příděl do peněžních fondů organizace dle zákona č. 250/2000 Sb., o rozpočtových pravidlech územních rozpočů, ve znění pozdějších předpisů a na základě předložených požadavků a potřeb organizace. Do rezervního fondu je navrženo převést celou částku Kč 4.915,-- z DČ a a část Kč 77.892,-- z HČ, t.j. celkem Kč 82.807--. Čásku ve výši Kč 60.941,--  doporučují účastníci kontrolního dne, vzhledem k provedené analýze výsledku hospodaření, odvést na účet zřizovatele v rámci finančního vypořádáníroku 2021. Příděl fondům a odvod na účet zřizovatele provede organizace na základě vyrozumění odboru školství, kultury a sportu MMPv.</t>
  </si>
  <si>
    <t>Zpracoval(a): Ivana Lišková</t>
  </si>
  <si>
    <t>Schválil(a):    Mgr. Martina Šírková</t>
  </si>
  <si>
    <t>V Prostějově dne: 17.3.2022</t>
  </si>
  <si>
    <t>Vliv na HV má aktuální situace - koronavirová opatření, která způsobila omezení provozu bazénu pro výuku plavání. Tudíž nám poklesly výnosy, které používáme na pokrytí provozních nákladů.</t>
  </si>
  <si>
    <t>Výsledek je nižší než v předchozím roce, neboť pronájmů, kde je kalkulován vyšší zisk, bylo velmi málo. Zvýšil se naopak počet obědů v DČ, kde je zisk minimální (1 Kč).</t>
  </si>
  <si>
    <t>RF obsahuje nespotřebované prostředky z projektu EU Šablony III. (2021-2022) ve výši 722.800,09 Kč.</t>
  </si>
  <si>
    <t>IF čerpáme na financování oprav.</t>
  </si>
  <si>
    <t>Fond FKSP čepáme na akce (Den učitelů, Sportovní den, závěr roku apod.), dále na nákup vitamínových prostředků, nákup předmětů na zkvalitnění pracovního prostředí, zaměstnanci fond čerpají na rekreace, tábory dětí, příspěvek na brýle, dentální hygienu, očkování apod.</t>
  </si>
  <si>
    <t>Dětský čin roku 2021: nákup her a materiálu do ŠD</t>
  </si>
  <si>
    <t>Navýšení závazného ukazatele odpisy. RMP usnesení č. 1102 ze dne 9.2.2021.</t>
  </si>
  <si>
    <t>551 0331 / 672 0331</t>
  </si>
  <si>
    <t>Navýšení neinvestičního příspěvku - oprava cvičných kuchyněk. RMP usnesení č. 11011 ze dne 23.2.2021. UZ 848.</t>
  </si>
  <si>
    <t>511 0301, 501 0431, 518 0461, 558 0301 / 672 0331</t>
  </si>
  <si>
    <t>170 012,50; 4 053,50; 6 609,00; 39 325,00</t>
  </si>
  <si>
    <t>Navýšení neinvestičního příspěvku - oprava dveří v budově školy. RMP usnesení č. 11011 ze dne 23.2.2021. UZ 839.</t>
  </si>
  <si>
    <t>511 0301 / 672 0331</t>
  </si>
  <si>
    <t>Navýšení neinvestičního příspěvku - na pořízení ICT technologií. RMP usnesení č. 1161 ze dne 9.3.2021. UZ 855.</t>
  </si>
  <si>
    <t>558 0301, 501 0431 / 672 0331</t>
  </si>
  <si>
    <t>155 180,52; 14 819,48</t>
  </si>
  <si>
    <t>Navýšení neinvestičního příspěvku - projekt "Stromy života". RMP usnesení č. 1305 ze dne 8.4.2021. UZ 754.</t>
  </si>
  <si>
    <t>501 0321, 501 0360, 501 0431, 558 0301 / 672 0331</t>
  </si>
  <si>
    <t>5 063,00; 17 067,99; 2 470,01; 5 399,00</t>
  </si>
  <si>
    <t>Navýšení neinvestičního příspěvku - na opravu a vybavení učebny pro výuku informatiky. RMP usnesení č. 1343 ze dne 4.5.2021. UZ 857.</t>
  </si>
  <si>
    <t>511 0301, 501 0431, 558 0301 / 672 0331</t>
  </si>
  <si>
    <t>196 780,00; 54 780,00; 118 440,00</t>
  </si>
  <si>
    <t>Vratka neinvestičního příspěvku - na opravu a vybyvení učebny pro výuku informatiky. RMP usnesení č. 1343 ze dne 4.5.2021. UZ 857.</t>
  </si>
  <si>
    <t>Navýšení neinvestičního příspěvku - 1. třída. RMP usnesení č. 1413 ze dne 18.5.2021. UZ 864.</t>
  </si>
  <si>
    <t>501 0334 / 672 0331</t>
  </si>
  <si>
    <t>Navýšení neinvestičního příspěvku odpisy auto. RMP usnesení č. 1473 ze dne 1.6.2021.</t>
  </si>
  <si>
    <t>Navýšení rozpočtu ztráta. RMP usnesení č. 1548 ze dne 2.7.2021.</t>
  </si>
  <si>
    <t>501 0391, 502 0310, 502 0330, 511 0301, 518 0391, 518 0431, 518 0481, 504 0300, 549 0340 / 672 0331</t>
  </si>
  <si>
    <t>150 000,00; 100 000,00; 50 000,00; 500 000,00; 25 000,00; 50 000,00; 25 000,00; 50 000,00; 50 000,00</t>
  </si>
  <si>
    <t>Úprava rozpočtu správce hřiště. RMP usnesení č. 1883 ze dne 19.10.2021.</t>
  </si>
  <si>
    <t>518 0606 / 518 0442</t>
  </si>
  <si>
    <t>-31 280,00 / 31 280,00</t>
  </si>
  <si>
    <t>Úprava rozpočtu mzdy. RMP usnesení č. 11067 ze dne 14.12.2021.</t>
  </si>
  <si>
    <t>521 0300, 524 0300 / 558 0301</t>
  </si>
  <si>
    <t>-160 000,00; -55 000,00 / 215 000,00</t>
  </si>
  <si>
    <t>Úprava rozpočtu dar. RMP usnesení č. 11069 ze dne 14.12.2021.</t>
  </si>
  <si>
    <t>501 0360, 501 0431, 558 0301 / 648 0414</t>
  </si>
  <si>
    <t>954,00; 4 580,00; 4 466,00</t>
  </si>
  <si>
    <t>Úprava rozpočtu odpisy. RMP usnesení č. 2022/104/16 ze dne 25.1.2022.</t>
  </si>
  <si>
    <t>551 0331 / 501 0301</t>
  </si>
  <si>
    <t>743,00 / -743,00</t>
  </si>
  <si>
    <t>Požadovaný komentář : nebyla uložena</t>
  </si>
  <si>
    <t>Požadovaný komentář:</t>
  </si>
  <si>
    <t>Účastníci kontrolního dne, vzhledem k provedené anylýze hospodaření, doporučují ponechat organizaci výsledek hospodaření ve výši 9.329,49 Kč. Do rezervního fondu je navrženo převést 1.865,90 Kč a do fondu odměn částku 7.463,59 Kč.</t>
  </si>
  <si>
    <t>Schválil(a): Mgr. Bc. Petra Rubáčová</t>
  </si>
  <si>
    <t>V Prostějově dne 14. 3. 2022</t>
  </si>
  <si>
    <t>poznámka ONIV: 1.416.273 Kč</t>
  </si>
  <si>
    <t>Reálné gymnázium a základní škola Otto Wichterleho, Prostějov</t>
  </si>
  <si>
    <t>Škola v roce 2021 hospodařila  v hlavní činnosti se ziskem 2.714,38 Kč. Omezení provozu z epidemiolockých důvodů mělo vliv na dosažení nižších výnosů za režie na stravování a v poplatcích za školní družinu a kroužky byl proti plánovaným tržbám propad celkem 120.704 Kč. Nižší vlastní tržby měly dopad i do nákladů, které musely být dofinancovány zčásti úsporou energií a použitím rezervního fondu. V hospodářském výsledku je zahrnuta částečná úspora nákladů v závazném ukazateli plánu v energiích v celkové výši  53.979,57 Kč.                                               
Nespotřebované účelové prostředky vedené jako zálohy na účtu 374 byly vráceny zřizovateli v rámci vyúčtování k 10. 1.2022: 52x mzdové náklady - účelově UZ 301 - vráceno zpět zřizovateli 73.256 Kč jako úspora za odměny za vedení kroužků, které v 1. pololetí vůbec neprobíhaly kvůli epidemiologické situaci.</t>
  </si>
  <si>
    <t>Výsledek hospodaření v doplňkové činnosti v částce 177.514,66 Kč je vytvořen rozdílem mezi skutečnými výnosy za vlastní činnost 525.679 K a, zejména pronájmů v celkové výši 507.139 Kč (874.636 Kč v roce 2019) a celkovými vybranými náklady na tuto činnost ve výši 316.680 Kč, převážně vypočítanými podle kalkulace za pomoci koeficientů podle celkové pronajímané plochy a její vytíženosti vzhledem ke konkrétnímu nájmu a potřebám školy. Mezi ostatní ziskové činnosti patří v podstatně menší míře i stravování cizích osob nebo keramický kroužek pro dospělé.
Ztráta ve výši  -8.846 Kč v roce 2021 byla vyčíslena z pronájmu hřiště, protože jednorázové i klíčované náklady na provoz hřiště byly vyšší, než příjem z těchto pronájmů. 
Výnosy z pronájmu sportovišť měla škola jen za období, kdy to umožnila epidemiologická situace - až do srpna nebyla v provozu tělocvičná hala. Od podzimu hala již byla v provozu, ale zase odpadávaly některé nasmlouvané turnaje. 
U ostatních pronájmů (bufet - až od října, automaty) byly tržby snížené v poměrné výši k době uzavření školy. 
Výnosy za pronájem bytu a garsoniér běžely po celé období rovnoměrně, s výjimkou ukončení pronájmu k 1. listopadu v jedné z garsoniér. Náhradní nájemce má smlouvu až od 1. 1. 2022. 
Výnosy z prodeje služeb byly také omezené - máme jen výnosy za keramický kroužek a jen na podzim.
Z výše uvedených důvodů je v doplňkové činnosti vykazován nižší hospodářský výsledek proti výsledku v běžném roce, ale o něco vyšší , než v roce předchozím, kdy byly školy uzavřeny po část jara i podzimu.</t>
  </si>
  <si>
    <t xml:space="preserve">413_Prvotně z rezervního fondu bude škola financovat další předpokládaný propad mezi příjmy a výdaji, jak z důvodů epidemilogických, tak především z důvodu zdražování energie a jeho dopadu na hospodaření v roce 2022; 
414_ Prostředky rezervního fondu budou použity na financování projektů v příštím období a dále na financování potřeb školy, zejména na obnovu vybavení ve škole, a to především na obnovu ICT. Postupně budou prostředky fondu použity i na obnovu žákovských lavic a židlí do kmenových tříd, příp. na vybavení kabinetů. </t>
  </si>
  <si>
    <t>416_V plánu je pořízení nového ohřívacího výdejního pultu, obnova systému snímačů čipů, nákup sklopné plynové pánve a postupně dalšího zařízení školní kuchyně, které výhledově bude potřebovat výměnu. Zejména starý konvektomat dosluhuje. Přesto, že byl pořízen konvektomat nový, v kuchyni se používají stále oba dva z kapacitních důvodů. 
Na školním hřišti zase dosluhuje sekačka z roku 2005, malotraktor funguje od doby otevření základní školy v roce 1974.</t>
  </si>
  <si>
    <t xml:space="preserve">411_Prostředky fondu odměn budou použity na odměny zaměstnancům. </t>
  </si>
  <si>
    <t xml:space="preserve">412_Použití FKSP v následujícím období bude podobné jako v letech minulých pro zaměstnance, tj. zejména příspěvek na penzijní připojištění, příspěvek na obědy, dary k životnímu a pracovnímu výročí, společné akce zaměstnanců a bývalých zaměstnanců, příp. příspěvek na sportovní a kulturní akce, příspěvek na vitamíny. </t>
  </si>
  <si>
    <t xml:space="preserve">Organizace neměla k datu konání kontrolního dne 14. 3. 2022 žádné pohledávky po lhůtě splatnosti. </t>
  </si>
  <si>
    <t xml:space="preserve">Organizace neměla k datu konání kontrolního dne 14. 3. 2022 žádné závazky po lhůtě splatnosti. </t>
  </si>
  <si>
    <t>WOMEN FOR WOMEN, o.p.s., finanční dar na projekt Obědy pro děti na jaro 2021 (schváleno RMP -  rozhodnutí č. 0554 ze dne 28. 7. 2020); nevyužitý přeplatek 12.716 Kč (zejména kvůli COVIDu 19) byl vrácen dárci zpět 21.7.2021.</t>
  </si>
  <si>
    <t>WOMEN FOR WOMEN, o.p.s., finanční dar na projekt Obědy pro děti na podzim 2021 (schváleno RMP -  rozhodnutí č. 1634 ze dne 27. 7. 2021); nevyužitý přeplatek 2.884 Kč (zejména kvůli COVIDu 19) byl vrácen dárci zpět 12.1.2022.</t>
  </si>
  <si>
    <t>Navýšení příspěvku zřizovatele na opravy - účelový příspěvek UZ 835 na opravu podlah v učebnách, UZ 836 na opravy žaluzií, UZ 837 na opravu osvětlení na schodištích, UZ 838 na opravu rozvodů elektroinstalace  v učebně IVT;  schváleno usnesením Rady města Prostějova č. 11011 ze dne 23. 2. 2021</t>
  </si>
  <si>
    <t>23.2.2021/ RMP č. 11011</t>
  </si>
  <si>
    <t>Opravy nemovitého majetku - viz účelový příspěvek UZ 835+UZ 836+UZ 837+UZ 838</t>
  </si>
  <si>
    <t>Navýšení příspěvku zřizovatele  - UZ 854 - na pořízení ICT technologií a služeb z důvodu zkvalitnění podmínek distanční výuky; schváleno RMP č. 1161 ze dne 9.3.2021</t>
  </si>
  <si>
    <t>9. 3. 2021/ RMP č. 1161</t>
  </si>
  <si>
    <t>Opravy nemovitého majetku  - opravy vnitřní sítě - viz účelový příspěvek - UZ 854 ICT</t>
  </si>
  <si>
    <t>Pořízení licence Office 365 - viz účelový příspěvek - UZ 854 ICT</t>
  </si>
  <si>
    <t>518.0300</t>
  </si>
  <si>
    <t>Pořízení DDHM  -  viz účelový příspěvek - UZ 854 ICT</t>
  </si>
  <si>
    <t>Navýšení příspěvku zřizovatele  - UZ 863 - na pořízení pomůcek pro žáky prvních tříd ve šk. roce 2021/2022;  RMP rozhodnutí č.1413 ze dne 18. 5. 2021</t>
  </si>
  <si>
    <t>18.5.2021/ RMP č. 1413</t>
  </si>
  <si>
    <t>Spotřeba materiálu  -  spotřební materiál pro žáky 1. tříd - viz účelový příspěvek UZ 863</t>
  </si>
  <si>
    <t>RF - Služby - ponížení nákladů, financovaných z RF  (licence Office pořízena částečně z účelového příspěvku) ve prospěch pořízení NTB z rezervního fondu</t>
  </si>
  <si>
    <t>RF - Pořízení dlouhodobého majetku - pořízení NTB z rezervního  fondu</t>
  </si>
  <si>
    <t xml:space="preserve">Spotřeba materiálu - stravování - omezený provoz školní jídelny z epidemiologických důvodů - ve prospěch oprav, TZ  a nákupu DHM </t>
  </si>
  <si>
    <t xml:space="preserve">Pořízení dlohodobého majetku - pořízení vysavače a stolu do kabinetu fyziky </t>
  </si>
  <si>
    <t>Opravy - oprava obou výtahů (celkem cca 146 tis. Kč)- posílení finančního plánu</t>
  </si>
  <si>
    <t>511.0311</t>
  </si>
  <si>
    <t xml:space="preserve">Technické zhodnocení - oplocení herních prvků na hřišti </t>
  </si>
  <si>
    <t>549.0310</t>
  </si>
  <si>
    <t>Bezúplatné plnění - antigenní testy, roušky, respirátory</t>
  </si>
  <si>
    <t>Bezúplatné plnění - antigenní testy, roušky, respirátory - pro zaměstnance a žáky</t>
  </si>
  <si>
    <t>UZ 301 - mzdové náklady - odměny kroužky převod na správce hřiště - RMP rozhodnutí č.1770 ze dne 21. 9. 2021</t>
  </si>
  <si>
    <t>521.0310</t>
  </si>
  <si>
    <t>21.9.2021/ RMP č. 1770</t>
  </si>
  <si>
    <t>UZ 302 - mzdové náklady - správce hřiště</t>
  </si>
  <si>
    <t>UZ 302 - zákonné sociální náklady - správce hřiště</t>
  </si>
  <si>
    <t>524.0304</t>
  </si>
  <si>
    <t>FKSP - pořízení majetku z fondu kulurních a sociálních potřeb</t>
  </si>
  <si>
    <t>648.0800</t>
  </si>
  <si>
    <t>FKSP - pořízení majetku - mikrovlnná trouba pro zaměstnance</t>
  </si>
  <si>
    <t>FKSP - pořízení majetku - lednička pro zaměstnance</t>
  </si>
  <si>
    <t>UZ 301 - mzdové náklady - odměny kroužky převod na správce hřiště - RMP rozhodnutí č.11072 ze dne 14.12. 2021</t>
  </si>
  <si>
    <t>14.12.2021/ RMP č. 11072</t>
  </si>
  <si>
    <t>Zákonné sociální náklady - úrazové pojištění</t>
  </si>
  <si>
    <t>Navýšení příspěvku zřizovatele  - na odpisy v souvislosti s pořízením nového vybavení a změnou mezi DČ a HČ;  schváleno usnesením Rady města Prostějova č. 11072 ze dne 14.12.2021</t>
  </si>
  <si>
    <t>Úprava odpisového plánu  - na odpisy hmotného majetku v souvislosti s pořízením nového vybavení;  schváleno usnesením Rady města Prostějova č. 11072 ze dne 14.12.2021</t>
  </si>
  <si>
    <t>Úprava odpisového plánu  - na odpisy v souvislosti s pořízením nového vybavení;  schváleno usnesením Rady města Prostějova č. 11072 ze dne 14.12.2021 ve prospěch odpisů hmotného majetku</t>
  </si>
  <si>
    <t>Spotřeba energie - snížení; schváleno vedoucím OŠKaS dne 3.12.2021; SpZn. OŠKS    /2021</t>
  </si>
  <si>
    <t>502.0320</t>
  </si>
  <si>
    <t>Náklady na pořízení DDHM - obnova licencí sw Bakaláři a antiviru AVG z úspory energie</t>
  </si>
  <si>
    <t>558.0310</t>
  </si>
  <si>
    <t>Spotřeba materiálu - náklady na pořízení drobného vybavení školy z úspory energie</t>
  </si>
  <si>
    <t>Opravy nemovitého majetku - oprava omezovače lan u obou výtahů z úspory energie</t>
  </si>
  <si>
    <t>Služby - navýšení nákladů - nanonástřik proti koronaviru z úspory energie</t>
  </si>
  <si>
    <t>518.0600</t>
  </si>
  <si>
    <t xml:space="preserve">Výnosy z prodeje služeb -  potraviny - výrazné snížení počtu odebraných obědů proti předpokladu na rok 2021 z důvodu nouzového stavu a uzavření škol a omezeného provozu na podzim </t>
  </si>
  <si>
    <t>602.0300</t>
  </si>
  <si>
    <t>Spotřeba materiálu  -   potraviny - výrazné snížení počtu odebraných obědů proti předpokladu na rok 2021 kvůli epidemiologické situaci</t>
  </si>
  <si>
    <t>Aktivace dlouhodobého majetku - vybavení vyrobené školníkem ve výši nákladů</t>
  </si>
  <si>
    <t>506.0300</t>
  </si>
  <si>
    <t>Spotřeba materiálu - OEM - lavičky na hřiště a ostatní vyrobené školníkem</t>
  </si>
  <si>
    <t>Pořízení dlouhodobého majetku - pracovní stůl a police - vyrobené školníkem</t>
  </si>
  <si>
    <t>Služby - snížení nákladů - omezení provozu z důvodu koronaviru - ve prospěch pořízení dlouhodobého majetku</t>
  </si>
  <si>
    <t>518.04xx</t>
  </si>
  <si>
    <t>558.03x0</t>
  </si>
  <si>
    <t>518.03xx</t>
  </si>
  <si>
    <t>Pořízení dlouhodobého majetku - na vrub služeb - pořízení dlouhodobého majetku- ICT vybavení do 6 učeben, část</t>
  </si>
  <si>
    <t>RF - čerpání fondů - navýšení položky na pořízení majetku - ICT vybavení do 6 učeben, část</t>
  </si>
  <si>
    <t>648.0400</t>
  </si>
  <si>
    <t>RF - Pořízení dlouhodobého majetku - posílení nákladů - pořízení NTB z rezervního  fondu</t>
  </si>
  <si>
    <t>Ostatní výnosy - navýšení položky z důvodu věcného daru - 42800 KPŠ dresy + 32000 roušky</t>
  </si>
  <si>
    <t>14.12.2021/RMP č. 11071</t>
  </si>
  <si>
    <t>Ostatní výnosy - navýšení položky z důvodu věcného daru - 42800 KPŠ dresy pro žáky</t>
  </si>
  <si>
    <t>501.0337</t>
  </si>
  <si>
    <t>Ostatní výnosy - navýšení položky z důvodu věcného daru - 32000 roušky pro žáky</t>
  </si>
  <si>
    <t>501.0412</t>
  </si>
  <si>
    <t>649.033x</t>
  </si>
  <si>
    <t>Bezúplatné plnění - antigenní testy, roušky, respirátory - pro zaměstnance</t>
  </si>
  <si>
    <t>Bezúplatné plnění - antigenní testy, roušky, respirátory - pro žáky</t>
  </si>
  <si>
    <t>501.041x</t>
  </si>
  <si>
    <t xml:space="preserve">Z minulého kontrolního dne k hospodaření v 1. pololetí 2021 nevyplynuly žádné konkrétní úkoly. 
Upozornění na COVID 19 - propad ve výnosech v hlavní i doplňkové činnosti. Proti tomu úspory nákladových položek. Případný propad v hospodaření měl být sanován z rezervního fondu, úsporami nákladů, zejména energií, případně z doplňkové činnosti, pokud nebude ztrátová.  To také bylo naplněno, propad v příjmech byl sanován z úspor za ušetřenou energii a částečně rezervním fondem. </t>
  </si>
  <si>
    <r>
      <rPr>
        <b/>
        <sz val="8"/>
        <rFont val="Times New Roman"/>
        <family val="1"/>
        <charset val="238"/>
      </rPr>
      <t>1. Doporučení  pro ponechání výsledku hospodaření organizaci pro příděl do peněžních fondů organizace:</t>
    </r>
    <r>
      <rPr>
        <sz val="8"/>
        <rFont val="Times New Roman"/>
        <family val="1"/>
        <charset val="238"/>
      </rPr>
      <t xml:space="preserve">
Účastníci kontrolního dne, vzhledem k provedené analýze dosaženého výsledku hospodaření, doporučují ponechat organizaci celý výsledek hospodaření ve výši 180.229,04 Kč pro příděl do peněžních fondů organizace dle zákona č. 250/2000 Sb. o rozpočtových pravidlech územních rozpočtů, ve znění pozdějších předpisů a na základě předložených požadavků a potřeb organizace. Účastníci kontrolního dne navrhují zlepšený hospodářský výsledek převést do rezervního fondu v plné výši 180.229,04 Kč Kč. V této částce je zahrnuta i část výsledku hospodaření, která vznikla úsporou nákladů na energie ve výši 53.979,50 Kč.</t>
    </r>
  </si>
  <si>
    <r>
      <rPr>
        <b/>
        <sz val="8"/>
        <rFont val="Times New Roman"/>
        <family val="1"/>
        <charset val="238"/>
      </rPr>
      <t>2. Doporučení pro odvod ZVH organizace na účet zřizovatele:</t>
    </r>
    <r>
      <rPr>
        <sz val="8"/>
        <rFont val="Times New Roman"/>
        <family val="1"/>
        <charset val="238"/>
      </rPr>
      <t xml:space="preserve">
Účastníci KD, vzhledem k provedené analýze dosaženého výsledku hospodaření, doporučují část výsledku hospodaření ve výši 53.979,50 Kč místo odvodu zřizovateli ponechat organizaci  k odvodu do rezervního fondu. Tyto finanční prostředky budou použity na pořízení 3 ks počítačů do odborných učeben a zbývající prostředky použít na financování ozvučení do učeben.
Zbývající prostředky převedené do rezervního fondu škola využije na činnost školy, a to zejména na další obměnu počítačů a noteboků a dalšího ICT vybavení. Jen v roce 2022 plánují ICT pracovníci prostou výměnu min. 12 ks počítačů (přenosných) v učebnách a dokončit obnovu infrastruktury sítě wifi. Dále bude potřeba hradit nad rámec finančního plánu roční licenci Office 365 pro provoz školy a k distanční výuce (e-Teams). Ve škole je potřeba, kromě jiného, pokračovat v postupné prosté obměně žákovských lavic a židlí ve třídách. 
</t>
    </r>
  </si>
  <si>
    <r>
      <rPr>
        <b/>
        <sz val="8"/>
        <rFont val="Times New Roman"/>
        <family val="1"/>
        <charset val="238"/>
      </rPr>
      <t>3. Termíny pro příděly a odvod:</t>
    </r>
    <r>
      <rPr>
        <sz val="8"/>
        <rFont val="Times New Roman"/>
        <family val="1"/>
        <charset val="238"/>
      </rPr>
      <t xml:space="preserve">
Příděl  do rezervního fondu provede organizace na základě písemného vyrozumění odborem Odboru školství, kultury a sportu MMPv.
</t>
    </r>
  </si>
  <si>
    <r>
      <rPr>
        <b/>
        <sz val="8"/>
        <rFont val="Times New Roman"/>
        <family val="1"/>
        <charset val="238"/>
      </rPr>
      <t xml:space="preserve">4. Informace o vyúčtování účelových příspěvků zřizovatele: 
</t>
    </r>
    <r>
      <rPr>
        <sz val="8"/>
        <rFont val="Times New Roman"/>
        <family val="1"/>
        <charset val="238"/>
      </rPr>
      <t xml:space="preserve">Z poskytnutých účelových prostředků zřizovatele, které nebyly zcely dočerpány, zejména kvůli epidemiologické situaci, byl proveden odvod celkové vratky 73.256 Kč v lednu 2022, a to: 
UZ 301 - 52x - mzdové prostředky na vedení kroužků  - poskytnuto 134.306 Kč, čerpáno 61.050 Kč, vráceno zřizovateli 73.256 Kč.                                                                                                                                                  
Ostatní účelové prostředky od zřizovatele na správce hřiště, na opravy, na pomůcky pro žáky 1. třídy a na ICT technologie a distanční výuku v celkové výši 686.115 Kč byly vyčerpány v souladu s účelem.   
</t>
    </r>
  </si>
  <si>
    <r>
      <rPr>
        <b/>
        <sz val="8"/>
        <rFont val="Times New Roman"/>
        <family val="1"/>
        <charset val="238"/>
      </rPr>
      <t>5. Informace o provedené odchylce od účetních metod:</t>
    </r>
    <r>
      <rPr>
        <sz val="8"/>
        <rFont val="Times New Roman"/>
        <family val="1"/>
        <charset val="238"/>
      </rPr>
      <t xml:space="preserve">
Škola tvořila fond investic v plné výši zaúčtovaných odpisů. V této výši také zřizovatel organizaci poskytl finanční příspěvek na odpisy, který byl zaúčtován do výnosů organizace. Proto se organizace rozhodla z důvodu dosažení lepší vypovídající schopnosti účetní závěrky a finanční situace účetní jednotky nedodržet ustanovení ČÚS 708 (bod 8.3.) 
a přeúčtovala rozpuštění investičního transferu z výnosů zápisem ze strany MD účtu 672
– Výnosy vybraných místních vládních institucí z transferů na stranu Dal účtu 401 – Jmění účetní jednotky. 
Důvodem této odchylky je snaha o sjednocení pohledu na nutný objem finančních prostředků k prosté reprodukci majetku, kdy fond investic je vytvářen v plné výši odpisů. 
V účetním období od ledna do prosince bylo takto zúčtováno 314.988,36 Kč, tj. 26.249,03 Kč/měsíc.
</t>
    </r>
  </si>
  <si>
    <t>Základní umělecká škola Vladimíra Ambrose Prostějov</t>
  </si>
  <si>
    <t>Finanční prostředky bychom rádi použili k posílení zdrojů určených na rozvoj činnosti. Finanční prostředky bychom rádi použili na nákup klavírního křídla a basklarinetu.</t>
  </si>
  <si>
    <t>Doplňkovou činností organzace je poskytování pronájmů bytových i nebytových prostor a pořádání výtvarných kurzů.,</t>
  </si>
  <si>
    <t>Rada města Prostějova schválila převod finančních prostředků ve výši  140 000,-Kč z rezervního fondu do fondu investic. Finanční prostředky byly použity na nákup hmotného majetku.</t>
  </si>
  <si>
    <t>Zdrojem fondu jsou odpisy a finanční prostředky převedené z rezervního fondu. Čerpáním byl odvod zřizovateli a nákup hmotného majetku.</t>
  </si>
  <si>
    <t>Čerpáním fondu odměn byly vyplacené mimořádné odměny ve výši 3600,-Kč</t>
  </si>
  <si>
    <t>Při tvorbě a čerpání FKSP se organizace řídí vyhláškou č. 114/2002 Sb., v platném znění a dále Směrnicí k používání FKSP a Směrnicí k závodnímu stravování. V roce 2021 nebyl z FKSP pořízen žádný majetek.</t>
  </si>
  <si>
    <t>Organizace nemá pohledávky po lhůtě splastnosti.</t>
  </si>
  <si>
    <t>Oranizace nemá závazky po lhůtě splatnosti.</t>
  </si>
  <si>
    <t>Organizace nepřijala žádné dary.</t>
  </si>
  <si>
    <t>Poplatek za využívání komunikace</t>
  </si>
  <si>
    <t>Účelově určené fin. prostředky na opravu věžičky</t>
  </si>
  <si>
    <t>střechy a podrovnávky budovy na Kravařové ul.</t>
  </si>
  <si>
    <t>Oprava  proběhne v období prázdnin.</t>
  </si>
  <si>
    <t>Usnesení č.11011 ze dne 23.2.2021</t>
  </si>
  <si>
    <t>Technické zhodnocení, zasíťování učebny 3D</t>
  </si>
  <si>
    <t>Předžalobní výzva</t>
  </si>
  <si>
    <t>Posílení účtu 527 (ochranné pomůcky) - zvýšení</t>
  </si>
  <si>
    <t>nákladů za respirátory</t>
  </si>
  <si>
    <t>Usnesení č. 1415 ze dne 18.5.2021</t>
  </si>
  <si>
    <t>Nákup DDHM</t>
  </si>
  <si>
    <t>Odvod zřizovateli</t>
  </si>
  <si>
    <t>Opravy a údržba</t>
  </si>
  <si>
    <t>Opravu podrovnávky budovy na Kravařové ulici</t>
  </si>
  <si>
    <t>provede ORI</t>
  </si>
  <si>
    <t>Usnesení č. 11123 ze dne 15.6.2021</t>
  </si>
  <si>
    <t>Čerpání FO</t>
  </si>
  <si>
    <t>Navýšení odpisů</t>
  </si>
  <si>
    <t>Nákup DHM</t>
  </si>
  <si>
    <t>Usnesení Rady PV ze dne 21.09.2021 č. 1776</t>
  </si>
  <si>
    <t>Snížení ostatních tržeb - vzhledem k pandemii</t>
  </si>
  <si>
    <t>Covid 19 neprobíhají žádné soutěžní přehlídky</t>
  </si>
  <si>
    <t>Stravenkový paušál</t>
  </si>
  <si>
    <t xml:space="preserve">Rada města Prostějova 5.10.2021 </t>
  </si>
  <si>
    <t>usnesením č.</t>
  </si>
  <si>
    <t>Nižší čerpání u ostatních služeb, v roce 2021</t>
  </si>
  <si>
    <t>neproběhly koncertní zájezdy žáků</t>
  </si>
  <si>
    <t>Oprava kotelny -  celková cena bude nižší než jsme</t>
  </si>
  <si>
    <t>předpokládali.  Nižší náhradní plnění u ostatních</t>
  </si>
  <si>
    <t>služeb.</t>
  </si>
  <si>
    <t>Nižší čerpání cestovného a nákladů na reprezentaci</t>
  </si>
  <si>
    <t>z důvodu neuskutečnění řady akcí.</t>
  </si>
  <si>
    <t>Finanční prostředky budou využity na nákup</t>
  </si>
  <si>
    <t>DDHM</t>
  </si>
  <si>
    <t xml:space="preserve">Rada města Prostějov 14.12.2021 usnesením </t>
  </si>
  <si>
    <t>č. 11061 schválila úpravu rozpočtu - navýšení odpisů</t>
  </si>
  <si>
    <t>z důvodu pořízení DHM. Navýšení odvodů na</t>
  </si>
  <si>
    <t xml:space="preserve">Zákonné pojištění odpovědnosti zaměstnavatele. </t>
  </si>
  <si>
    <t>Úprava fin. Prostředků na stravenkový paušál, podle</t>
  </si>
  <si>
    <t>úvazu vyučujících.</t>
  </si>
  <si>
    <t>zvýšení silniční daně</t>
  </si>
  <si>
    <t>Mzdové náklady - kurz handletteringu (krasopísmo)</t>
  </si>
  <si>
    <t>Nákup drobného materiálu v doplňkové činnosti</t>
  </si>
  <si>
    <t>kurz handletteringu</t>
  </si>
  <si>
    <t xml:space="preserve">Za I. pololetí roku 2021 jsme neměli stanovena opatření, která bychom museli plnit. </t>
  </si>
  <si>
    <t>Finanční prostředky rezervního fondu a fondu investic jsou primárně určeny na nákup klavírního křídla a basklarinetu.</t>
  </si>
  <si>
    <t>Zpracoval(a): Simona Sogelová</t>
  </si>
  <si>
    <t>Schválil(a): Mgr. Eliška Kunčíková</t>
  </si>
  <si>
    <t>V Prostějově dne 18.3.2022</t>
  </si>
  <si>
    <t>Hlavní činnost - Vztah ke zřizovateli - zimní stadion</t>
  </si>
  <si>
    <t xml:space="preserve">Městská knihovna Prostějov, příspěvková organizace, IČO: 67008976 </t>
  </si>
  <si>
    <t>Na výši tohoto VH se projevily úspory v oblasti nákladů z důvodu hospodárného a účelného vynakládání finančních prostředků.</t>
  </si>
  <si>
    <t>Využití finančních prostředků k dalšímu rozvoji činnosti organizace, především na nákup výpočetní techniky v rámci pravidelné obnovy, spoluúčast na dotacích podaných na MK ČR na rok 2022 a dále jako případnou rezervu k pokrytí nečekaných výdajů.</t>
  </si>
  <si>
    <t xml:space="preserve">Využití investičního fondu dle aktuální potřeby pro nákup výpočetní techniky a softwarového vybavení. </t>
  </si>
  <si>
    <t>Využití fondu odměn na případné posílení mzdových nákladů.</t>
  </si>
  <si>
    <t>Použití FKSP v roce 2022 je plánováno na příspěvek na stravování zaměstnanců.</t>
  </si>
  <si>
    <t>Pohledávky od čtenářů byly vymáhány všemi dostupnými prostředky. Některé byly během roku 2021 uhrazeny, u jiných nebylo dosaženo kladného výsledku. I v roce 2022 bude organizace vymáhat tyto pohledávky všemi dostupnými prostředky.</t>
  </si>
  <si>
    <t>Organizace nemá za rok 2021 žádné závazky po lhůtě splatnosti.</t>
  </si>
  <si>
    <t>Organizace neobdržela za rok 2021 žádné dary.</t>
  </si>
  <si>
    <t>23.02./č.11011</t>
  </si>
  <si>
    <t>Úč.511 (opravy a udržování) - oprava střešních prvků, oprava klimatizace</t>
  </si>
  <si>
    <t>23.02./č. 11011</t>
  </si>
  <si>
    <t>Úč.557 (náklady z vyř.pohledávek) - snížení položky</t>
  </si>
  <si>
    <t xml:space="preserve"> 01.06.2021</t>
  </si>
  <si>
    <t>Úč.547 (jiné ostatní náklady) - spoluúčast na pojistné události - dětské odd.</t>
  </si>
  <si>
    <t>547/0300</t>
  </si>
  <si>
    <t>Úč.502 (spotřeba energií) - úspory - žádost schválena OŠKS MMP</t>
  </si>
  <si>
    <t>502/300,310,320,330</t>
  </si>
  <si>
    <t xml:space="preserve"> 22.12.2021</t>
  </si>
  <si>
    <t>Úč.501 (spotřeba materiálu) - navýšení na posílení knihovního fondu</t>
  </si>
  <si>
    <t>501/0510,0520</t>
  </si>
  <si>
    <t>Úč.558 (náklady z DDHM) - navýšení na nákup výpočetní techniky</t>
  </si>
  <si>
    <t>Úč.648 (čerpání fondů) - čerpání rezervního fondu na nákup DDHM</t>
  </si>
  <si>
    <t xml:space="preserve"> 31.12.2021</t>
  </si>
  <si>
    <t>Úč.511 (opravy a udržování) - snížení z důvodů úspor za opravy</t>
  </si>
  <si>
    <t>Úč.512 (cestovné) - snížení z důvodu omezení pracovních cest</t>
  </si>
  <si>
    <t>Úč.518 (služby ostatní) - snížení z důvodu nákupu s využitím slev</t>
  </si>
  <si>
    <t>518/300,330,540,550</t>
  </si>
  <si>
    <t>Úč.501 (spotřeba materiálu) - krácení nákladů proti nižším výnosům</t>
  </si>
  <si>
    <t>Úč.602 (výnosy z prodeje služeb) - snížení z důvodu omezeného provozu</t>
  </si>
  <si>
    <t>Úč.641 (smluvní pokuty-upomínky) - snížení z důvodu omezeného provozu</t>
  </si>
  <si>
    <t>Úč.644 (výnosy z prodaného materiálu) - snížení z důvodu omezeného provozu</t>
  </si>
  <si>
    <t>Úč.643 (výnosy z vyř.pohledávek) - navýšení po zaúčtování pohledávek r.2021</t>
  </si>
  <si>
    <t>643/0300</t>
  </si>
  <si>
    <t>Při kontrolním dnu za 1. pololetí roku 2021 nebylo organizaci uloženo žádné opatření.</t>
  </si>
  <si>
    <r>
      <rPr>
        <b/>
        <u/>
        <sz val="8"/>
        <color theme="1"/>
        <rFont val="Times New Roman"/>
        <family val="1"/>
        <charset val="238"/>
      </rPr>
      <t xml:space="preserve">Závěr:
</t>
    </r>
    <r>
      <rPr>
        <sz val="8"/>
        <color theme="1"/>
        <rFont val="Times New Roman"/>
        <family val="1"/>
        <charset val="238"/>
      </rPr>
      <t xml:space="preserve">Hospodaření organizace bylo vyrovnané bez výkyvů oproti předcházejícím rokům. </t>
    </r>
    <r>
      <rPr>
        <u/>
        <sz val="8"/>
        <color theme="1"/>
        <rFont val="Times New Roman"/>
        <family val="1"/>
        <charset val="238"/>
      </rPr>
      <t>Rozborová zpráva, přiložená tabulka a předepsané výkazy</t>
    </r>
    <r>
      <rPr>
        <sz val="8"/>
        <color theme="1"/>
        <rFont val="Times New Roman"/>
        <family val="1"/>
        <charset val="238"/>
      </rPr>
      <t xml:space="preserve"> byly sestaveny v pořádku a v řádném termínu předloženy zřizovateli.
Na základě projednání výsledků hospodaření dle předložené zprávy a účetních výkazů souhlasí zřizovatel s návrhem na rozdělení výsledku hospodaření za rok 2021 ve výši </t>
    </r>
    <r>
      <rPr>
        <b/>
        <u/>
        <sz val="8"/>
        <color theme="1"/>
        <rFont val="Times New Roman"/>
        <family val="1"/>
        <charset val="238"/>
      </rPr>
      <t>100.752,25 Kč</t>
    </r>
    <r>
      <rPr>
        <sz val="8"/>
        <color theme="1"/>
        <rFont val="Times New Roman"/>
        <family val="1"/>
        <charset val="238"/>
      </rPr>
      <t xml:space="preserve"> následovně:
</t>
    </r>
    <r>
      <rPr>
        <b/>
        <sz val="8"/>
        <color theme="1"/>
        <rFont val="Times New Roman"/>
        <family val="1"/>
        <charset val="238"/>
      </rPr>
      <t>68.371,00 Kč</t>
    </r>
    <r>
      <rPr>
        <sz val="8"/>
        <color theme="1"/>
        <rFont val="Times New Roman"/>
        <family val="1"/>
        <charset val="238"/>
      </rPr>
      <t xml:space="preserve"> - </t>
    </r>
    <r>
      <rPr>
        <b/>
        <u/>
        <sz val="8"/>
        <color theme="1"/>
        <rFont val="Times New Roman"/>
        <family val="1"/>
        <charset val="238"/>
      </rPr>
      <t>odvod zřizovatel</t>
    </r>
    <r>
      <rPr>
        <sz val="8"/>
        <color theme="1"/>
        <rFont val="Times New Roman"/>
        <family val="1"/>
        <charset val="238"/>
      </rPr>
      <t xml:space="preserve">i (úspory na účtech, které jsou závaznými ukazateli)
</t>
    </r>
    <r>
      <rPr>
        <b/>
        <sz val="8"/>
        <color theme="1"/>
        <rFont val="Times New Roman"/>
        <family val="1"/>
        <charset val="238"/>
      </rPr>
      <t>32.381,25 Kč</t>
    </r>
    <r>
      <rPr>
        <sz val="8"/>
        <color theme="1"/>
        <rFont val="Times New Roman"/>
        <family val="1"/>
        <charset val="238"/>
      </rPr>
      <t xml:space="preserve"> - </t>
    </r>
    <r>
      <rPr>
        <b/>
        <u/>
        <sz val="8"/>
        <color theme="1"/>
        <rFont val="Times New Roman"/>
        <family val="1"/>
        <charset val="238"/>
      </rPr>
      <t>příděl do rezervního fondu</t>
    </r>
    <r>
      <rPr>
        <sz val="8"/>
        <color theme="1"/>
        <rFont val="Times New Roman"/>
        <family val="1"/>
        <charset val="238"/>
      </rPr>
      <t xml:space="preserve"> (k dalšímu rozvoji činnosti organizace, především k nákupu výpočetní techniky  v rámci pravidelné obnovy, případně k pokrytí nečekaných výdajů v roce 2022).
Odvod zřizovatel a příděl do rezervního fondu provede organizace na základě písemného vyrozumění Odboru školství, kultury a sportu.
Účastníci kontrolního dne zkonstatovali, že </t>
    </r>
    <r>
      <rPr>
        <u/>
        <sz val="8"/>
        <color theme="1"/>
        <rFont val="Times New Roman"/>
        <family val="1"/>
        <charset val="238"/>
      </rPr>
      <t>hospodaření organizace za rok 2021 lze hodnotit pozitivně</t>
    </r>
    <r>
      <rPr>
        <sz val="8"/>
        <color theme="1"/>
        <rFont val="Times New Roman"/>
        <family val="1"/>
        <charset val="238"/>
      </rPr>
      <t xml:space="preserve">, je nutno zohlednit krizovou situaci, která byla řešena vlastními silami úspornými opatřeními tak, aby chod
organizace byl plně zabezpečen a fungování provozu zajištěno.
</t>
    </r>
    <r>
      <rPr>
        <b/>
        <u/>
        <sz val="8"/>
        <color theme="1"/>
        <rFont val="Times New Roman"/>
        <family val="1"/>
        <charset val="238"/>
      </rPr>
      <t>U výnosů z vlastní činnosti</t>
    </r>
    <r>
      <rPr>
        <sz val="8"/>
        <color theme="1"/>
        <rFont val="Times New Roman"/>
        <family val="1"/>
        <charset val="238"/>
      </rPr>
      <t xml:space="preserve"> bylo dosaženo příjmů ve výši </t>
    </r>
    <r>
      <rPr>
        <b/>
        <u/>
        <sz val="8"/>
        <color theme="1"/>
        <rFont val="Times New Roman"/>
        <family val="1"/>
        <charset val="238"/>
      </rPr>
      <t>99,97%</t>
    </r>
    <r>
      <rPr>
        <sz val="8"/>
        <color theme="1"/>
        <rFont val="Times New Roman"/>
        <family val="1"/>
        <charset val="238"/>
      </rPr>
      <t xml:space="preserve">, celkové příjmy činily </t>
    </r>
    <r>
      <rPr>
        <b/>
        <u/>
        <sz val="8"/>
        <color theme="1"/>
        <rFont val="Times New Roman"/>
        <family val="1"/>
        <charset val="238"/>
      </rPr>
      <t>99,99%</t>
    </r>
    <r>
      <rPr>
        <sz val="8"/>
        <color theme="1"/>
        <rFont val="Times New Roman"/>
        <family val="1"/>
        <charset val="238"/>
      </rPr>
      <t xml:space="preserve">.
</t>
    </r>
    <r>
      <rPr>
        <b/>
        <u/>
        <sz val="8"/>
        <color theme="1"/>
        <rFont val="Times New Roman"/>
        <family val="1"/>
        <charset val="238"/>
      </rPr>
      <t>V oblasti nákladů</t>
    </r>
    <r>
      <rPr>
        <sz val="8"/>
        <color theme="1"/>
        <rFont val="Times New Roman"/>
        <family val="1"/>
        <charset val="238"/>
      </rPr>
      <t xml:space="preserve">   organizace účelně a hospodárně vynakládala finanční prostředky, které byly čerpány v souladu s upraveným rozpočtem ve výši </t>
    </r>
    <r>
      <rPr>
        <b/>
        <u/>
        <sz val="8"/>
        <color theme="1"/>
        <rFont val="Times New Roman"/>
        <family val="1"/>
        <charset val="238"/>
      </rPr>
      <t>99,13%</t>
    </r>
    <r>
      <rPr>
        <b/>
        <sz val="8"/>
        <color theme="1"/>
        <rFont val="Times New Roman"/>
        <family val="1"/>
        <charset val="238"/>
      </rPr>
      <t xml:space="preserve">. </t>
    </r>
    <r>
      <rPr>
        <sz val="8"/>
        <color theme="1"/>
        <rFont val="Times New Roman"/>
        <family val="1"/>
        <charset val="238"/>
      </rPr>
      <t xml:space="preserve">
</t>
    </r>
  </si>
  <si>
    <t>Zpracovala:</t>
  </si>
  <si>
    <t>Jana Zatloukalová</t>
  </si>
  <si>
    <t>Schválil:</t>
  </si>
  <si>
    <t>MgA. Aleš Procházka</t>
  </si>
  <si>
    <t>Záporný HV v HČ odráží přerušení činnosti  a menší návštěvnost způsobené epidemií COVID-19, ale díky kladnému HV v DČ byl i celkový výsledek hospodaření za rok 2021 kladný.</t>
  </si>
  <si>
    <t>Kladného HV v DČ bylo dosaženo dodržováním nastavených úsporných opatření.</t>
  </si>
  <si>
    <t xml:space="preserve">Zdrojem RF v roce 2021 byla část ZHV z roku 2020 (dle usnesení RMPV) a neúčelový finanční dar od fy NEVA. RF jsme v roce 2021 čerpali na nákup majetku a materiálu, který přispěl nebo se týkal modernizace a rozvoje organizace. Např. logo MD a MF, záložky MD, intercom do pokladny, cloudové úložiště aj.. </t>
  </si>
  <si>
    <t>Zdrojem FI jsou odpisy DHM. FI byl v roce 2021 čerpán na plánované nákupy IM - zvukový pult a na plánované opravy IM - skla ve vitrínách v I. patře divadla, plošiny pro imobilní osoby a rolet. Odvody z IF byly provedeny dle nařízení zřizovatele.</t>
  </si>
  <si>
    <t>Zdrojem FO byla v roce 2021 část ZHV z roku 2020 (dle usnesení RMPV). FO jsme v roce 2021 čerpali na výplatu odměn u 4 zaměstnanců (kompetence ředitelky organizace) a k výplatě odměny ředitelce organizace za zisk z DČ v roce 2020 (usnesení RMPV).</t>
  </si>
  <si>
    <t>Jedná se o peněžní dar neúčelový od fy NEVA, který plánujeme použít v roce 2022 k propagaci, která pomůže vrátit diváka zpět do divadla po dlouhé přestávce způsobené epidemií COVID-19.</t>
  </si>
  <si>
    <t xml:space="preserve">Čerpání rezervního fondu na pořízení kancelářských židlí (2 ks). </t>
  </si>
  <si>
    <t>Navýšení příspěvku od zřizovatele na navýšené odpisy majetku dle aktualizovaného odpisového plánu pro rok 2021</t>
  </si>
  <si>
    <t>9.2.2021 usn. č. 1106 RMPV</t>
  </si>
  <si>
    <t xml:space="preserve">Čerpání fondu investic na opravu rolet, které jsou součástí budovy </t>
  </si>
  <si>
    <t>Čerpání fondu odměn - odměny k výročí 50 let pro 3 zaměstnance</t>
  </si>
  <si>
    <t>Úprava nákladových položek plynoucích z uzávěrkových úprav a přeúčtování nákladů z komerčních pronájmů k 30. 6. 2021</t>
  </si>
  <si>
    <t>Čerpání fondu odměn - p. Slavíková</t>
  </si>
  <si>
    <t>Čerpání fondu odměn - odměna pro ředitelku za DČ dle usnesení RMPV</t>
  </si>
  <si>
    <t>27.7.2021 usn. č. 1639 RMPV</t>
  </si>
  <si>
    <t>17.8.2021 usn. č. 1707 RMPV</t>
  </si>
  <si>
    <t>Čerpání fondu investic na opravu plošiny pro imobilní osoby, která je součástí budovy</t>
  </si>
  <si>
    <t>Čerpání fondu investic na opravu skleněných ploch pro stálé výstavy v I. patře divadla - součást budovy</t>
  </si>
  <si>
    <t>Čerpání rezervního fondu na pořízení tiskárny pro programovou pracovnici.</t>
  </si>
  <si>
    <t>Čerpání rezervního fondu na pořízení mikrofonu (intercomu) do pokladny.</t>
  </si>
  <si>
    <t>Dodatečné čerpání rezervního fondu na pořízení majetku a služeb přispívajících k rozvoji a propagaci organizace dle přílohy</t>
  </si>
  <si>
    <t>Navýšení příspěvku od zřizovatele na energie dle usnesení RMPV - skokové zvýšení cen a změna dodavatele plynu</t>
  </si>
  <si>
    <t>14.12.2021 usn. č. 11078 RMPV</t>
  </si>
  <si>
    <t>Úprava rozpočtu - snížení enerií a snížení tržeb dle schválení vedoucím OŠKS</t>
  </si>
  <si>
    <t>Závěrečná úprava nákl. položek k 31.12.2021 plynoucí z uzávěrkových operací a z přeúčtování komerčních nákladů, jejichž počet a způsob pronájmů není v době sestavení rozpočtu zřejmý. Navíc je situace ovlivněna pandemií COVID-19 a přerušením a omezením provozu.</t>
  </si>
  <si>
    <t xml:space="preserve">Úprava nákladových položek plynoucích z uzávěrkových úprav a přeúčtování nákladů z komerčních pronájmů k 30. 6. 2021 </t>
  </si>
  <si>
    <t>5510280</t>
  </si>
  <si>
    <t>5110280</t>
  </si>
  <si>
    <t xml:space="preserve">Úprava nákladových položek plynoucích z uzávěrkových úprav a přeúčtování nákladů z komerčních pronájmů k 31. 12. 2021 </t>
  </si>
  <si>
    <t>5010280</t>
  </si>
  <si>
    <t>5490280</t>
  </si>
  <si>
    <t>5020280</t>
  </si>
  <si>
    <t>6490280</t>
  </si>
  <si>
    <t xml:space="preserve">Zřizovatel souhlasí, že organizace dle pokynů pro sestavení rozpočtu 2021 vrátí nevyčerpané finanční prostředky závazného ukazatele 52X Mzdové náklady ve výši 280,31 Kč z kladného výsledku hospodaření a zbylou část </t>
  </si>
  <si>
    <t>hospodaření 9.086,86 Kč přidělí do RF.</t>
  </si>
  <si>
    <t xml:space="preserve">Zřizovatel také souhlasí, že nevyčerpané finanční prostředky závazného ukazatele 551 Odpisy ve výši 16.999,30 Kč organizace vrátí odvodem z FI, protože zbývající část kladného HV za rok 2021 je nižší a </t>
  </si>
  <si>
    <t>nepostačuje (předjednáno s FO).</t>
  </si>
  <si>
    <t>Žádné další závěry při projednávání výsledku hospodaření nebyly učiněny.</t>
  </si>
  <si>
    <t xml:space="preserve">V Prostějově dne 24. 3. 2022 </t>
  </si>
  <si>
    <t>Jesle sídliště Svobody Prostějov, příspěvková organizace, sídliště Svobody 3577/78, 796 01 Prostějov  IČO 47920360</t>
  </si>
  <si>
    <t>Jesle sídliště Svobody Prostějov, příspěvková organizace, sídl. Svobody 3577/78 Prostějov</t>
  </si>
  <si>
    <t>Prostředky rezervního fondu máme v úmyslu použít na obnovu vybavení zázemí pro zaměstnance.</t>
  </si>
  <si>
    <t>Schváleno vedoucí sociálního odboru - snížení energií</t>
  </si>
  <si>
    <t>20.8.2021</t>
  </si>
  <si>
    <t>Schváleno vedoucí sociálního odboru - navýš. nákladů DDHM</t>
  </si>
  <si>
    <t>Schváleno RMP usnesením č. 1945 - navýšení mzd. prostředků</t>
  </si>
  <si>
    <t>521/306</t>
  </si>
  <si>
    <t>2.11.2021</t>
  </si>
  <si>
    <t>Schváleno RMP usnesením č. 1945 - navýšení odvodů z mezd</t>
  </si>
  <si>
    <t>Schváleno RMP usnesením č. 1945 - navýšení zákon. pojištění</t>
  </si>
  <si>
    <t>525/300</t>
  </si>
  <si>
    <t>Schváleno RMP usnesením č. 1945 - navýšení zákon. nákladů</t>
  </si>
  <si>
    <t>11.11.2021</t>
  </si>
  <si>
    <t>Schváleno vedoucí sociálního odboru - navýš. ost. služeb</t>
  </si>
  <si>
    <t>518/520</t>
  </si>
  <si>
    <t>Schváleno RMP usnesením č. 11036 - navýšení  prostředků</t>
  </si>
  <si>
    <t>2.12.2021</t>
  </si>
  <si>
    <t>Schváleno RMP usnesením č. 11036 - navýš. nákladů DDHM</t>
  </si>
  <si>
    <t>Schváleno RMP usnesením č. 11084 - navýšení odvodů z mezd</t>
  </si>
  <si>
    <t>14.12.2021</t>
  </si>
  <si>
    <t>Schváleno RMP usnesením č. 11084 - navýšení zákon. pojištění</t>
  </si>
  <si>
    <t>Schváleno RMP usnesením č. 11084 - snížení ostatních služeb</t>
  </si>
  <si>
    <t>Čerpání fondů - čerpání fondu odměn</t>
  </si>
  <si>
    <t>Mzdové náklady - odměny zaměstnancům</t>
  </si>
  <si>
    <t xml:space="preserve">Čerpání fondů - čerpání rezervního fondu </t>
  </si>
  <si>
    <t>Zhotovení nábytku do kanceláře - dofinancování z RF</t>
  </si>
  <si>
    <t>Spotřeba materiálu - nutné provozní přesuny</t>
  </si>
  <si>
    <t>Cestovné - nutné provozní přesuny</t>
  </si>
  <si>
    <t>512/310</t>
  </si>
  <si>
    <t>Opravy a udržování - nutné provozní přesuny</t>
  </si>
  <si>
    <t>511/320</t>
  </si>
  <si>
    <t>Náklady z DDHM - nutné provozní přesuny</t>
  </si>
  <si>
    <t>Ostatní služby - nutné provozní přesuny</t>
  </si>
  <si>
    <t>Zřizovatel, vzhledem k provedené analýze výsledku hospodaření, souhlasí s navrženým rozdělením zlepšeného hospodářského výsledku za rok 2021 v hlavní činnosti ve výši 10.521,17 Kč a prostředky doporučuje ponechat organizaci (dle zákona č. 250/2000 Sb., o rozpočtových pravidlech územních rozpočtů, ve znění pozdějších předpisů) pro příděl do rezervního fondu organizace částku 3.521,17 Kč a částku 7.000 Kč pro příděl do fondu odměn.</t>
  </si>
  <si>
    <t>Schválil(a): Bc. Petra Rozehnalová, DiS., ředitelka organizace</t>
  </si>
  <si>
    <t>V Prostějově dne 11. března 2022</t>
  </si>
  <si>
    <t>KINO METRO 70 Prostějov, příspěvková organizace</t>
  </si>
  <si>
    <t xml:space="preserve">Výsledek hospodaření v hlavní činnosti proběhl v souladu s rozpočtem roku 2021. </t>
  </si>
  <si>
    <t xml:space="preserve">Výsledek hospodaření v doplňkové činnosti byl ovlivněn celosvětovou pandemií koronaviru, kdy  kino  bylo úplně uzavřené od 12.10.2020 do 31.5.2021. Z tohoto důvodu nemohla být provozována v organizaci doplňková činnost (občerstvení v kavárně, pronájem kina, kinoreklama) v plném rozsahu, ale i tak jsme dosáhli  zisku v hospodaření ve výši 25.072,23 Kč.                                               </t>
  </si>
  <si>
    <t>V roce 2022  bychom  rezervní fond použili na dočasný nesoulad mezi výnosy a náklady; úhradu ztráty z předešlých let</t>
  </si>
  <si>
    <t>V roce 2022 bychom investiční fond použili na opravy v kině;pořízení zvukového řetězce Dolby Atmos; pořízení kopírovacího stroje, pořízení digitálních obrazovek-nástěnek</t>
  </si>
  <si>
    <t>V roce 2022 bychom fond odměn použili na odměny zaměstnanců</t>
  </si>
  <si>
    <t>V roce 2022 bychom FKSP použili na příspěvek na stravné zaměstnanců.</t>
  </si>
  <si>
    <t>V hlavní činnosti</t>
  </si>
  <si>
    <t>Neinvestiční příspěvek UZ 847 - oprava zázemí bývalého bufetu</t>
  </si>
  <si>
    <t>Náklady - oprava zázemí bývalého bufetu - čerpáno z fondu investic</t>
  </si>
  <si>
    <t>Náklady - pokuta z kontroly Inspektorátu práce</t>
  </si>
  <si>
    <t>Náklady - výškové práce na údržbě prosklených ploch kina - čerpáno z fondu investic</t>
  </si>
  <si>
    <t>Náklady - malířské a natěračské práce - čerpáno z fondu investic</t>
  </si>
  <si>
    <t>Náklady - oprava oponového automatu - čerpáno z fondu investic</t>
  </si>
  <si>
    <t>Náklady -  oprava koberec foyer - čerpáno z fondu investic</t>
  </si>
  <si>
    <t>Navýšení závazného ukazatele odpisy DM</t>
  </si>
  <si>
    <t>14.11.2021/1885</t>
  </si>
  <si>
    <t>14.11.2021/1886</t>
  </si>
  <si>
    <t xml:space="preserve">Snížení závazného ukazatele mzdové náklady  </t>
  </si>
  <si>
    <t>14.12.2021/11077</t>
  </si>
  <si>
    <t>14.12.2021/11078</t>
  </si>
  <si>
    <t>Snížení závazného ukazatele odpisy DM</t>
  </si>
  <si>
    <t>14.12.2021/11079</t>
  </si>
  <si>
    <t>14.12.2021/11080</t>
  </si>
  <si>
    <t>31.12.2021/OŠKS</t>
  </si>
  <si>
    <t>Náklady - přeúčtování mezi účty</t>
  </si>
  <si>
    <t>Náklady -propad tržeb z důvodu pandemie koronaviru</t>
  </si>
  <si>
    <t>Výnosy -propad tržeb z důvodu pandemie koronaviru</t>
  </si>
  <si>
    <t>Bylo splněno</t>
  </si>
  <si>
    <t>Po roce 2020 byl i rok 2021 extrémně náročným rokem v historii kina Metro 70.  Z vývoje návštěvnosti a tržeb po znovuotevření po uzávěře trvající do konce května je patrné, že pandemická situace (COVID-19) zkomplikovala celý trh a návrat diváků do sálů. Během rozvolnění došlo k postupnému mírnému růstu, nicméně stále jsme závislí především na pouštění premiér populárních filmů do kin. Situace je nejistá, avšak s jarem 2022 očekáváme opětovný postupný nárůst, přinejmenším do podzimu 2022 a dále pak dle vývoje pandemické situace.
Uplynulé před pandemické roky prokázaly, že kino Metro 70 je pod stávajícím vedením živou a progresivní kulturní institucí, které si všímá veřejnost i mimo hranice Prostějova a kino tak plní velmi dobře nejen svou primární funkci veřejných projekcí kinematografických děl, ale podílí se na velmi pozitivní reprezentaci města, a to jak lokálně, tak celorepublikově a dokonce i celoevropsky. Proto velmi vítáme postoj města k finančnímu zajištění organizace na budoucí období a preventivní navýšení příspěvku zřizovatele. Současný vývoj nadále potvrzuje, že účast zřizovatele je pro udržení kina nezbytná.</t>
  </si>
  <si>
    <t>V Prostějově dne 10.3.2022</t>
  </si>
  <si>
    <t>Zlepšený hospodářský výsledek se projevil díky úsporám na provozu zimního stadionu, což tvořilo zhruba 90 % podílu na výsledku hospodaření. Zbývajících 10 % tvořily úspory v energiích na ostatních pracovištích.</t>
  </si>
  <si>
    <t>Zlepšený hospodářský výsledek se projevil díky výnosům z provozu nově provozované telocvičny a v jedné čtvrtině i díky provozu zimnního stadionu (bufety, nápojové a jídelní automaty).</t>
  </si>
  <si>
    <t>Bude dočerpán dotační titulu Šablony II.  Dále pak k nákupu ICT. a vybavení objektů pro zajištění jejich nových využití (koberce na halu, židličky na sál).</t>
  </si>
  <si>
    <t>Investiční fond bude použit na zakoupení lešení, na výrobu maskotů organizace, mycí stroj na zimní stadion. Dále máme v plánu opravy na objektech - kotelna zinního stadionu, fontána před halou, výměna dveří a oken na severní straně sportovní haly, oprava přívodního kabelu ke sportovní hale.</t>
  </si>
  <si>
    <t>Organizace plánuje užití fondu při odměňování za nadstandartní pracovní výkony, přesčasy, ale i při motivaci ke kvalitním pracovním výkonům při běžném provozu.</t>
  </si>
  <si>
    <t>FKSP je tvořen pravidelným odvodem 2 % z mezd. V roce 2022 bude čerpán je na stravování zaměstnanců, na vitamínové baličky, nákup knih, pro zaměstnance zimního stadionu na příspěvek na penzijní připojištění a příspěvek na dovolenou.</t>
  </si>
  <si>
    <t>2 šlapací káry na DDC</t>
  </si>
  <si>
    <t>Úprava rozpočtu č. 1 - 
Navýšení rozpočtu - čerpání Rezervního fondu</t>
  </si>
  <si>
    <t>Úprava rozpočtu č. 2 
Navýšení rozpočtu - čerpání Rezervního fondu</t>
  </si>
  <si>
    <t>Úprava rozpočtu č. 3 - navýšení neinv. příspěvku na opravy (usnesení č. 11011 Zastupitelstva města Prostějova ze dne 23. 2. 2021)</t>
  </si>
  <si>
    <t>UZ 743 - oprava interiéru (vizualizace) Olympijská</t>
  </si>
  <si>
    <t>UZ 745 - oprava šaten ve vestibulu a suterénu Olympijská</t>
  </si>
  <si>
    <t>UZ 746 - oprava dveří v budově Olympijská</t>
  </si>
  <si>
    <t>Úprava rozpočtu č. 5 - Navýšení účelového neinvestičního příspěvku na provozování a správu zimního stadionu UZ 868 
(usnesení Rady města Prostějova č. 1418 ze dne 18. 5. 2021)</t>
  </si>
  <si>
    <t>549/0880</t>
  </si>
  <si>
    <t>Úprava rozpočtu č. 5 - Navýšení účelového neinvestičního příspěvku na provozování a správu hokejových šatenUZ 866 
(usnesení Rady města Prostějova č. 1418 ze dne 18. 5. 2021)</t>
  </si>
  <si>
    <t>Úprava rozpočtu č. 6 - Navýšení rozpočtu - tvorba rezervního fondu - prodej majetku k vyřazení</t>
  </si>
  <si>
    <t>646/0880</t>
  </si>
  <si>
    <t>548/0880</t>
  </si>
  <si>
    <t>Úprava rozpočtu č. 7 - Navýšení rozpočtu - čerpání Rezervního fondu</t>
  </si>
  <si>
    <t>Úprava rozpočtu č. 8 - Navýšení závazného ukazatele - 551 - Odpisy dlouhodobého majetku. Schváleno Radou města Prostějova dne 4. 5. 2021 usnesením č. 1342.</t>
  </si>
  <si>
    <t>Úprava rozpočtu HČ č. 9 - Přesun mezi položkami</t>
  </si>
  <si>
    <t>Úprava rozpočtu č. 10 - Navýšení prostředků na opravy - čerpání fondu investic</t>
  </si>
  <si>
    <t>Úprava rozpočtu č. 11
Navýšení rozpočtu - 
účtu 551 - Odpisy dlouhodobého majetku - 
Schváleno Radou města Prostěva 17. 8. 2021 usnesením č. 1701</t>
  </si>
  <si>
    <t>Úprava rozpočtu HČ č. 12 - navýšení rozpočtu Čerpání fondu rezervního a fondu investic</t>
  </si>
  <si>
    <t>602/0880</t>
  </si>
  <si>
    <t>Úprava rozpočtu č. 13 
Přesun mezi položkami rozpočtu</t>
  </si>
  <si>
    <t>512/0880</t>
  </si>
  <si>
    <t>538/0880</t>
  </si>
  <si>
    <t>542/0880</t>
  </si>
  <si>
    <t>Úprava rozpočtu HČ č. 14 - přesun mezi položkami rozpočtu Zimní stadion</t>
  </si>
  <si>
    <t>Úprava rozpočtu č. 15
Navýšení rozpočtu - závazného ukazatele 52X - Mzdové náklady
Schváleno Radou města Prostěva
30. 11. 2021 usnesením č. 1994</t>
  </si>
  <si>
    <t>Úprava rozpočtu č. 16 na dovybavení šaten zimního stadionu, na pořízení 2 ks stolů na stolní tenis, na zákonné sociální náklady usnesení Rady města č. 1989 ze dne 30. 11. 2021</t>
  </si>
  <si>
    <t>Úprava rozpočtu č. 16 na odpisy usnesení Rady města č. 1993 ze dne 30. 11. 2021</t>
  </si>
  <si>
    <t>603/0880</t>
  </si>
  <si>
    <t>Úprava rozpočtu č. 17 navýšení rozpočtu účet 551 - Odpisy, usnesení Rady města č. 11068 ze dne 14. 12. 2021</t>
  </si>
  <si>
    <t>Úprava rozpočtu č. 18
Čerpání fondu odměn</t>
  </si>
  <si>
    <t>Úprava rozpočtu HČ č. 19- snížení rozpočtu 
Snižení výnosů a s tím souvisejících nákladů</t>
  </si>
  <si>
    <t>Úprava rozpočtu č. 20 - přesun mezi položkami
snížení účtu 502 - Spotřeba energií a navýšení účtu 511 - Opravy a udržování</t>
  </si>
  <si>
    <t>Źádná opatření nebyla uložena.</t>
  </si>
  <si>
    <t>Na kontrolním dni bylo dohodnuto, že Sportcentru - DDM Prostějov bude ponecháno 295 000 Kč k rozdělení do fondů organizace, z toho 40 000 do fondu odměn a 255 000 do rezervního fondu. Zbývající část výsledku hospodaření bude zřizovateli zaslána na účet ve formě nařízeného odvodu. Jedná se o částku 1 649 696,53 Kč, z toho činí účelově vázané prostředky na mzdy 146,45 Kč a účelově vázané prostředky na odpisy 118 200,10 Kč.</t>
  </si>
  <si>
    <t>Schválil: Bc. Jan Zatloukal</t>
  </si>
  <si>
    <t>V Prostějově dne 28. 3.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</si>
</sst>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K_č_-;\-* #,##0.00\ _K_č_-;_-* &quot;-&quot;??\ _K_č_-;_-@_-"/>
    <numFmt numFmtId="164" formatCode="#,##0.00_ ;\-#,##0.00\ "/>
    <numFmt numFmtId="165" formatCode="dd/mm/yy;@"/>
    <numFmt numFmtId="166" formatCode="_-* #,##0.00\ _K_č_-;\-* #,##0.00\ _K_č_-;_-* &quot;-&quot;??\ _K_č_-;_-@"/>
    <numFmt numFmtId="167" formatCode="dd\.mm\.yyyy"/>
    <numFmt numFmtId="168" formatCode="_-* #,##0\ _K_č_-;\-* #,##0\ _K_č_-;_-* &quot;-&quot;??\ _K_č_-;_-@_-"/>
    <numFmt numFmtId="169" formatCode="#,##0.0"/>
    <numFmt numFmtId="170" formatCode="#,##0_ ;\-#,##0\ "/>
    <numFmt numFmtId="171" formatCode="0_ ;\-0\ "/>
    <numFmt numFmtId="172" formatCode="0.000"/>
    <numFmt numFmtId="173" formatCode="d\.m\.yyyy"/>
    <numFmt numFmtId="174" formatCode="#,##0.000"/>
  </numFmts>
  <fonts count="112">
    <font>
      <sz val="6"/>
      <name val="Times New Roman"/>
      <family val="1"/>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8"/>
      <name val="Times New Roman"/>
      <family val="1"/>
      <charset val="238"/>
    </font>
    <font>
      <sz val="8"/>
      <name val="Times New Roman"/>
      <family val="1"/>
      <charset val="238"/>
    </font>
    <font>
      <b/>
      <sz val="14"/>
      <color theme="1"/>
      <name val="Times New Roman"/>
      <family val="1"/>
      <charset val="238"/>
    </font>
    <font>
      <b/>
      <sz val="8"/>
      <color theme="1"/>
      <name val="Times New Roman"/>
      <family val="1"/>
      <charset val="238"/>
    </font>
    <font>
      <sz val="8"/>
      <color theme="1"/>
      <name val="Times New Roman"/>
      <family val="1"/>
      <charset val="238"/>
    </font>
    <font>
      <b/>
      <sz val="6"/>
      <color theme="1"/>
      <name val="Times New Roman"/>
      <family val="1"/>
      <charset val="238"/>
    </font>
    <font>
      <sz val="8"/>
      <color rgb="FFFF0000"/>
      <name val="Times New Roman"/>
      <family val="1"/>
      <charset val="238"/>
    </font>
    <font>
      <sz val="7"/>
      <name val="Times New Roman"/>
      <family val="1"/>
      <charset val="238"/>
    </font>
    <font>
      <sz val="7"/>
      <color rgb="FFFF0000"/>
      <name val="Times New Roman"/>
      <family val="1"/>
      <charset val="238"/>
    </font>
    <font>
      <b/>
      <sz val="7"/>
      <color theme="1"/>
      <name val="Times New Roman"/>
      <family val="1"/>
      <charset val="238"/>
    </font>
    <font>
      <sz val="8"/>
      <color indexed="8"/>
      <name val="Arial"/>
      <family val="2"/>
      <charset val="238"/>
    </font>
    <font>
      <sz val="10"/>
      <color theme="1"/>
      <name val="Times New Roman"/>
      <family val="1"/>
      <charset val="238"/>
    </font>
    <font>
      <b/>
      <sz val="6"/>
      <name val="Times New Roman CE"/>
      <charset val="238"/>
    </font>
    <font>
      <b/>
      <sz val="5.5"/>
      <name val="Times New Roman CE"/>
      <family val="1"/>
      <charset val="238"/>
    </font>
    <font>
      <i/>
      <sz val="6"/>
      <name val="Times New Roman"/>
      <family val="1"/>
      <charset val="238"/>
    </font>
    <font>
      <sz val="9"/>
      <name val="Times New Roman"/>
      <family val="1"/>
      <charset val="238"/>
    </font>
    <font>
      <i/>
      <sz val="9"/>
      <name val="Times New Roman"/>
      <family val="1"/>
      <charset val="238"/>
    </font>
    <font>
      <b/>
      <i/>
      <sz val="6"/>
      <name val="Times New Roman CE"/>
      <charset val="238"/>
    </font>
    <font>
      <sz val="8"/>
      <name val="Calibri"/>
      <family val="2"/>
      <charset val="238"/>
    </font>
    <font>
      <sz val="9"/>
      <color theme="1"/>
      <name val="Times New Roman"/>
      <family val="1"/>
      <charset val="238"/>
    </font>
    <font>
      <b/>
      <sz val="9"/>
      <color theme="1"/>
      <name val="Times New Roman"/>
      <family val="1"/>
      <charset val="238"/>
    </font>
    <font>
      <sz val="7"/>
      <color theme="1"/>
      <name val="Times New Roman"/>
      <family val="1"/>
      <charset val="238"/>
    </font>
    <font>
      <sz val="7"/>
      <color indexed="8"/>
      <name val="Times New Roman"/>
      <family val="1"/>
      <charset val="238"/>
    </font>
    <font>
      <b/>
      <sz val="7"/>
      <color indexed="8"/>
      <name val="Times New Roman"/>
      <family val="1"/>
      <charset val="238"/>
    </font>
    <font>
      <sz val="8"/>
      <color indexed="8"/>
      <name val="Times New Roman"/>
      <family val="1"/>
      <charset val="238"/>
    </font>
    <font>
      <sz val="11"/>
      <color theme="1"/>
      <name val="Times New Roman"/>
      <family val="1"/>
      <charset val="238"/>
    </font>
    <font>
      <b/>
      <sz val="8"/>
      <color indexed="8"/>
      <name val="Times New Roman"/>
      <family val="1"/>
      <charset val="238"/>
    </font>
    <font>
      <b/>
      <sz val="9"/>
      <name val="Times New Roman"/>
      <family val="1"/>
      <charset val="238"/>
    </font>
    <font>
      <b/>
      <sz val="9"/>
      <color indexed="81"/>
      <name val="Tahoma"/>
      <family val="2"/>
      <charset val="238"/>
    </font>
    <font>
      <sz val="9"/>
      <color indexed="81"/>
      <name val="Tahoma"/>
      <family val="2"/>
      <charset val="238"/>
    </font>
    <font>
      <b/>
      <sz val="8"/>
      <color rgb="FFFF0000"/>
      <name val="Times New Roman"/>
      <family val="1"/>
      <charset val="238"/>
    </font>
    <font>
      <sz val="11"/>
      <color indexed="8"/>
      <name val="Times New Roman"/>
      <family val="1"/>
      <charset val="238"/>
    </font>
    <font>
      <sz val="9"/>
      <color indexed="8"/>
      <name val="Times New Roman"/>
      <family val="1"/>
      <charset val="238"/>
    </font>
    <font>
      <b/>
      <sz val="9"/>
      <color indexed="8"/>
      <name val="Times New Roman"/>
      <family val="1"/>
      <charset val="238"/>
    </font>
    <font>
      <b/>
      <sz val="9"/>
      <color rgb="FF000000"/>
      <name val="Times New Roman"/>
      <family val="1"/>
      <charset val="238"/>
    </font>
    <font>
      <sz val="9"/>
      <color rgb="FF000000"/>
      <name val="Times New Roman"/>
      <family val="1"/>
      <charset val="238"/>
    </font>
    <font>
      <b/>
      <u/>
      <sz val="8"/>
      <color theme="1"/>
      <name val="Times New Roman"/>
      <family val="1"/>
      <charset val="238"/>
    </font>
    <font>
      <u/>
      <sz val="8"/>
      <color theme="1"/>
      <name val="Times New Roman"/>
      <family val="1"/>
      <charset val="238"/>
    </font>
    <font>
      <b/>
      <sz val="14"/>
      <name val="Times New Roman"/>
      <family val="1"/>
      <charset val="238"/>
    </font>
    <font>
      <sz val="10"/>
      <color theme="1"/>
      <name val="Arial"/>
      <family val="2"/>
      <charset val="238"/>
    </font>
    <font>
      <sz val="8"/>
      <color theme="1"/>
      <name val="Calibri"/>
      <family val="2"/>
      <charset val="238"/>
      <scheme val="minor"/>
    </font>
    <font>
      <sz val="6"/>
      <color theme="0" tint="-0.499984740745262"/>
      <name val="Times New Roman"/>
      <family val="1"/>
      <charset val="238"/>
    </font>
    <font>
      <b/>
      <i/>
      <sz val="6"/>
      <color rgb="FFFF0000"/>
      <name val="Times New Roman CE"/>
      <family val="1"/>
      <charset val="238"/>
    </font>
    <font>
      <b/>
      <i/>
      <u/>
      <sz val="6"/>
      <color rgb="FFFF0000"/>
      <name val="Times New Roman"/>
      <family val="1"/>
      <charset val="238"/>
    </font>
    <font>
      <sz val="11"/>
      <name val="Calibri"/>
      <family val="2"/>
      <charset val="238"/>
      <scheme val="minor"/>
    </font>
    <font>
      <sz val="9"/>
      <color rgb="FF000000"/>
      <name val="Arial"/>
      <family val="2"/>
      <charset val="238"/>
    </font>
    <font>
      <sz val="8"/>
      <color theme="1"/>
      <name val="&quot;Times New Roman&quot;"/>
    </font>
    <font>
      <sz val="6"/>
      <color theme="1"/>
      <name val="Times New Roman"/>
      <family val="1"/>
      <charset val="238"/>
    </font>
    <font>
      <i/>
      <sz val="8"/>
      <color theme="1"/>
      <name val="Times New Roman"/>
      <family val="1"/>
      <charset val="238"/>
    </font>
    <font>
      <i/>
      <sz val="8"/>
      <name val="Times New Roman"/>
      <family val="1"/>
      <charset val="238"/>
    </font>
    <font>
      <b/>
      <sz val="11"/>
      <color theme="1"/>
      <name val="Times New Roman"/>
      <family val="1"/>
      <charset val="238"/>
    </font>
    <font>
      <u/>
      <sz val="7"/>
      <name val="Times New Roman"/>
      <family val="1"/>
      <charset val="238"/>
    </font>
    <font>
      <b/>
      <u/>
      <sz val="9"/>
      <color rgb="FF009900"/>
      <name val="Times New Roman"/>
      <family val="1"/>
      <charset val="238"/>
    </font>
    <font>
      <b/>
      <sz val="9"/>
      <color rgb="FF0000FF"/>
      <name val="Times New Roman"/>
      <family val="1"/>
      <charset val="238"/>
    </font>
    <font>
      <b/>
      <sz val="9"/>
      <color rgb="FF009900"/>
      <name val="Times New Roman"/>
      <family val="1"/>
      <charset val="238"/>
    </font>
    <font>
      <b/>
      <sz val="9"/>
      <color rgb="FFC00000"/>
      <name val="Times New Roman"/>
      <family val="1"/>
      <charset val="238"/>
    </font>
    <font>
      <b/>
      <u/>
      <sz val="9"/>
      <name val="Times New Roman"/>
      <family val="1"/>
      <charset val="238"/>
    </font>
    <font>
      <b/>
      <u/>
      <sz val="9"/>
      <color rgb="FFC00000"/>
      <name val="Times New Roman"/>
      <family val="1"/>
      <charset val="238"/>
    </font>
    <font>
      <b/>
      <sz val="9"/>
      <color rgb="FF00B050"/>
      <name val="Times New Roman"/>
      <family val="1"/>
      <charset val="238"/>
    </font>
    <font>
      <b/>
      <u/>
      <sz val="9"/>
      <color rgb="FF00B050"/>
      <name val="Times New Roman"/>
      <family val="1"/>
      <charset val="238"/>
    </font>
    <font>
      <sz val="9"/>
      <color rgb="FFC00000"/>
      <name val="Times New Roman"/>
      <family val="1"/>
      <charset val="238"/>
    </font>
    <font>
      <b/>
      <u/>
      <sz val="9"/>
      <color rgb="FF0000FF"/>
      <name val="Times New Roman"/>
      <family val="1"/>
      <charset val="238"/>
    </font>
    <font>
      <b/>
      <u/>
      <sz val="9"/>
      <color indexed="8"/>
      <name val="Times New Roman"/>
      <family val="1"/>
      <charset val="238"/>
    </font>
    <font>
      <b/>
      <u/>
      <sz val="9"/>
      <color indexed="10"/>
      <name val="Times New Roman"/>
      <family val="1"/>
      <charset val="238"/>
    </font>
    <font>
      <sz val="5"/>
      <color indexed="8"/>
      <name val="Arial"/>
      <family val="2"/>
      <charset val="238"/>
    </font>
    <font>
      <b/>
      <u/>
      <sz val="14"/>
      <name val="Times New Roman"/>
      <family val="1"/>
      <charset val="238"/>
    </font>
    <font>
      <i/>
      <sz val="8"/>
      <color indexed="8"/>
      <name val="Times New Roman"/>
      <family val="1"/>
      <charset val="238"/>
    </font>
    <font>
      <sz val="8"/>
      <color indexed="8"/>
      <name val="Calibri"/>
      <family val="2"/>
      <charset val="238"/>
    </font>
    <font>
      <b/>
      <sz val="5"/>
      <name val="Times New Roman"/>
      <family val="1"/>
      <charset val="238"/>
    </font>
    <font>
      <b/>
      <u/>
      <sz val="8"/>
      <color theme="1"/>
      <name val="Calibri"/>
      <family val="2"/>
      <charset val="238"/>
      <scheme val="minor"/>
    </font>
    <font>
      <b/>
      <sz val="6"/>
      <color rgb="FF00B050"/>
      <name val="Times New Roman"/>
      <family val="1"/>
      <charset val="238"/>
    </font>
    <font>
      <b/>
      <sz val="14"/>
      <color theme="1"/>
      <name val="Times New Roman"/>
    </font>
    <font>
      <b/>
      <sz val="14"/>
      <color rgb="FF000000"/>
      <name val="Times New Roman"/>
    </font>
    <font>
      <sz val="10"/>
      <color theme="1"/>
      <name val="Times New Roman"/>
    </font>
    <font>
      <b/>
      <sz val="8"/>
      <color theme="1"/>
      <name val="Times New Roman"/>
    </font>
    <font>
      <sz val="11"/>
      <name val="Calibri"/>
    </font>
    <font>
      <sz val="8"/>
      <color theme="1"/>
      <name val="Times New Roman"/>
    </font>
    <font>
      <b/>
      <sz val="6"/>
      <color theme="1"/>
      <name val="Times New Roman"/>
    </font>
    <font>
      <sz val="8"/>
      <color rgb="FF000000"/>
      <name val="Times New Roman"/>
    </font>
    <font>
      <sz val="6"/>
      <color theme="1"/>
      <name val="Times New Roman"/>
    </font>
    <font>
      <sz val="8"/>
      <color rgb="FFFF0000"/>
      <name val="Times New Roman"/>
    </font>
    <font>
      <sz val="7"/>
      <color theme="1"/>
      <name val="Times New Roman"/>
    </font>
    <font>
      <b/>
      <sz val="7"/>
      <color theme="1"/>
      <name val="Times New Roman"/>
    </font>
    <font>
      <b/>
      <sz val="8"/>
      <color rgb="FF000000"/>
      <name val="Times New Roman"/>
    </font>
    <font>
      <b/>
      <sz val="9"/>
      <color rgb="FF000000"/>
      <name val="Times New Roman"/>
    </font>
    <font>
      <b/>
      <sz val="7"/>
      <color rgb="FF000000"/>
      <name val="Times New Roman"/>
    </font>
    <font>
      <b/>
      <sz val="14"/>
      <color theme="1"/>
      <name val="Arial"/>
      <family val="2"/>
      <charset val="238"/>
    </font>
    <font>
      <b/>
      <sz val="8"/>
      <color theme="1"/>
      <name val="Arial"/>
      <family val="2"/>
      <charset val="238"/>
    </font>
    <font>
      <sz val="11"/>
      <name val="Calibri"/>
      <family val="2"/>
      <charset val="238"/>
    </font>
    <font>
      <sz val="8"/>
      <color theme="1"/>
      <name val="Arial"/>
      <family val="2"/>
      <charset val="238"/>
    </font>
    <font>
      <b/>
      <sz val="6"/>
      <color theme="1"/>
      <name val="Arial"/>
      <family val="2"/>
      <charset val="238"/>
    </font>
    <font>
      <sz val="9"/>
      <color theme="1"/>
      <name val="Arial"/>
      <family val="2"/>
      <charset val="238"/>
    </font>
    <font>
      <sz val="6"/>
      <color theme="1"/>
      <name val="Arial"/>
      <family val="2"/>
      <charset val="238"/>
    </font>
    <font>
      <sz val="8"/>
      <color rgb="FFFF0000"/>
      <name val="Arial"/>
      <family val="2"/>
      <charset val="238"/>
    </font>
    <font>
      <sz val="7"/>
      <color theme="1"/>
      <name val="Arial"/>
      <family val="2"/>
      <charset val="238"/>
    </font>
    <font>
      <b/>
      <sz val="7"/>
      <color theme="1"/>
      <name val="Arial"/>
      <family val="2"/>
      <charset val="238"/>
    </font>
    <font>
      <b/>
      <sz val="8"/>
      <color rgb="FF000000"/>
      <name val="Arial"/>
      <family val="2"/>
      <charset val="238"/>
    </font>
    <font>
      <b/>
      <sz val="9"/>
      <color theme="1"/>
      <name val="Arial"/>
      <family val="2"/>
      <charset val="238"/>
    </font>
    <font>
      <b/>
      <sz val="9"/>
      <color rgb="FF000000"/>
      <name val="Arial"/>
      <family val="2"/>
      <charset val="238"/>
    </font>
    <font>
      <b/>
      <sz val="7"/>
      <color rgb="FF000000"/>
      <name val="Arial"/>
      <family val="2"/>
      <charset val="238"/>
    </font>
  </fonts>
  <fills count="2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9"/>
        <bgColor indexed="64"/>
      </patternFill>
    </fill>
    <fill>
      <patternFill patternType="solid">
        <fgColor indexed="13"/>
        <bgColor indexed="64"/>
      </patternFill>
    </fill>
    <fill>
      <patternFill patternType="solid">
        <fgColor theme="1"/>
        <bgColor indexed="64"/>
      </patternFill>
    </fill>
    <fill>
      <patternFill patternType="solid">
        <fgColor rgb="FFFFC000"/>
        <bgColor rgb="FFFFC000"/>
      </patternFill>
    </fill>
    <fill>
      <patternFill patternType="solid">
        <fgColor rgb="FF92D050"/>
        <bgColor rgb="FF92D050"/>
      </patternFill>
    </fill>
    <fill>
      <patternFill patternType="solid">
        <fgColor rgb="FFFFFF00"/>
        <bgColor rgb="FFFFFF00"/>
      </patternFill>
    </fill>
    <fill>
      <patternFill patternType="solid">
        <fgColor rgb="FF7F7F7F"/>
        <bgColor rgb="FF7F7F7F"/>
      </patternFill>
    </fill>
    <fill>
      <patternFill patternType="solid">
        <fgColor indexed="8"/>
        <bgColor indexed="64"/>
      </patternFill>
    </fill>
    <fill>
      <patternFill patternType="solid">
        <fgColor indexed="23"/>
        <bgColor indexed="64"/>
      </patternFill>
    </fill>
    <fill>
      <patternFill patternType="solid">
        <fgColor indexed="5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99CC00"/>
        <bgColor rgb="FF99CC00"/>
      </patternFill>
    </fill>
    <fill>
      <patternFill patternType="solid">
        <fgColor theme="5"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bgColor rgb="FFFFFFFF"/>
      </patternFill>
    </fill>
  </fills>
  <borders count="176">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auto="1"/>
      </right>
      <top style="thin">
        <color indexed="64"/>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diagonal/>
    </border>
    <border>
      <left/>
      <right/>
      <top style="thin">
        <color indexed="64"/>
      </top>
      <bottom/>
      <diagonal/>
    </border>
    <border>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style="hair">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bottom/>
      <diagonal/>
    </border>
    <border>
      <left style="hair">
        <color rgb="FF000000"/>
      </left>
      <right style="hair">
        <color rgb="FF000000"/>
      </right>
      <top style="hair">
        <color rgb="FF000000"/>
      </top>
      <bottom/>
      <diagonal/>
    </border>
    <border>
      <left style="hair">
        <color rgb="FF000000"/>
      </left>
      <right style="hair">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style="hair">
        <color rgb="FF000000"/>
      </left>
      <right/>
      <top style="thin">
        <color rgb="FF000000"/>
      </top>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auto="1"/>
      </left>
      <right/>
      <top/>
      <bottom style="thin">
        <color indexed="64"/>
      </bottom>
      <diagonal/>
    </border>
    <border>
      <left/>
      <right style="hair">
        <color auto="1"/>
      </right>
      <top/>
      <bottom style="thin">
        <color indexed="64"/>
      </bottom>
      <diagonal/>
    </border>
    <border>
      <left/>
      <right/>
      <top style="thin">
        <color indexed="64"/>
      </top>
      <bottom style="thin">
        <color indexed="64"/>
      </bottom>
      <diagonal/>
    </border>
    <border>
      <left style="hair">
        <color auto="1"/>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style="hair">
        <color auto="1"/>
      </right>
      <top style="thin">
        <color indexed="64"/>
      </top>
      <bottom style="thin">
        <color indexed="64"/>
      </bottom>
      <diagonal/>
    </border>
    <border>
      <left/>
      <right/>
      <top style="hair">
        <color indexed="64"/>
      </top>
      <bottom/>
      <diagonal/>
    </border>
    <border>
      <left style="medium">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rgb="FF000000"/>
      </right>
      <top style="thin">
        <color rgb="FF000000"/>
      </top>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style="thin">
        <color rgb="FF000000"/>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bottom/>
      <diagonal/>
    </border>
    <border>
      <left style="thin">
        <color rgb="FF000000"/>
      </left>
      <right style="hair">
        <color rgb="FF000000"/>
      </right>
      <top style="hair">
        <color rgb="FF000000"/>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hair">
        <color auto="1"/>
      </right>
      <top style="medium">
        <color indexed="64"/>
      </top>
      <bottom/>
      <diagonal/>
    </border>
    <border>
      <left/>
      <right style="hair">
        <color auto="1"/>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s>
  <cellStyleXfs count="7">
    <xf numFmtId="4" fontId="0" fillId="0" borderId="0">
      <alignment vertical="top"/>
    </xf>
    <xf numFmtId="3" fontId="5" fillId="0" borderId="0"/>
    <xf numFmtId="0" fontId="4" fillId="0" borderId="0"/>
    <xf numFmtId="0" fontId="3" fillId="0" borderId="0"/>
    <xf numFmtId="43" fontId="7" fillId="0" borderId="0" applyFont="0" applyFill="0" applyBorder="0" applyAlignment="0" applyProtection="0"/>
    <xf numFmtId="0" fontId="2" fillId="0" borderId="0"/>
    <xf numFmtId="0" fontId="1" fillId="0" borderId="0"/>
  </cellStyleXfs>
  <cellXfs count="1881">
    <xf numFmtId="4" fontId="0" fillId="0" borderId="0" xfId="0">
      <alignment vertical="top"/>
    </xf>
    <xf numFmtId="4" fontId="6" fillId="0" borderId="0" xfId="0" applyFont="1" applyAlignment="1">
      <alignment horizontal="center" vertical="top"/>
    </xf>
    <xf numFmtId="4" fontId="16" fillId="0" borderId="0" xfId="0" applyFont="1" applyAlignment="1"/>
    <xf numFmtId="4" fontId="15" fillId="2" borderId="3" xfId="0" applyFont="1" applyFill="1" applyBorder="1" applyAlignment="1">
      <alignment vertical="center"/>
    </xf>
    <xf numFmtId="4" fontId="15" fillId="7" borderId="1" xfId="0" applyFont="1" applyFill="1" applyBorder="1" applyAlignment="1">
      <alignment vertical="center"/>
    </xf>
    <xf numFmtId="4" fontId="15" fillId="0" borderId="2" xfId="0" applyFont="1" applyBorder="1" applyAlignment="1">
      <alignment vertical="center"/>
    </xf>
    <xf numFmtId="4" fontId="15" fillId="0" borderId="13" xfId="0" applyFont="1" applyBorder="1" applyAlignment="1">
      <alignment vertical="center"/>
    </xf>
    <xf numFmtId="4" fontId="15" fillId="7" borderId="3" xfId="0" applyFont="1" applyFill="1" applyBorder="1" applyAlignment="1">
      <alignment vertical="center"/>
    </xf>
    <xf numFmtId="0" fontId="16" fillId="0" borderId="1" xfId="0" applyNumberFormat="1" applyFont="1" applyBorder="1" applyAlignment="1">
      <alignment vertical="center"/>
    </xf>
    <xf numFmtId="0" fontId="16" fillId="0" borderId="2" xfId="0" applyNumberFormat="1" applyFont="1" applyBorder="1" applyAlignment="1">
      <alignment vertical="center"/>
    </xf>
    <xf numFmtId="4" fontId="15" fillId="0" borderId="0" xfId="0" applyFont="1" applyAlignment="1">
      <alignment horizontal="center"/>
    </xf>
    <xf numFmtId="14" fontId="22" fillId="8" borderId="2" xfId="0" applyNumberFormat="1" applyFont="1" applyFill="1" applyBorder="1" applyAlignment="1">
      <alignment horizontal="left" vertical="center"/>
    </xf>
    <xf numFmtId="43" fontId="22" fillId="8" borderId="2" xfId="0" applyNumberFormat="1" applyFont="1" applyFill="1" applyBorder="1" applyAlignment="1">
      <alignment horizontal="left" vertical="center"/>
    </xf>
    <xf numFmtId="0" fontId="16" fillId="0" borderId="13" xfId="0" applyNumberFormat="1" applyFont="1" applyBorder="1" applyAlignment="1">
      <alignment vertical="center"/>
    </xf>
    <xf numFmtId="4" fontId="23" fillId="0" borderId="0" xfId="0" applyFont="1" applyAlignment="1"/>
    <xf numFmtId="3" fontId="8" fillId="0" borderId="4" xfId="1" applyNumberFormat="1" applyFont="1" applyBorder="1" applyAlignment="1">
      <alignment horizontal="right"/>
    </xf>
    <xf numFmtId="4" fontId="15" fillId="2" borderId="3" xfId="0" applyNumberFormat="1" applyFont="1" applyFill="1" applyBorder="1" applyAlignment="1">
      <alignment vertical="center"/>
    </xf>
    <xf numFmtId="4" fontId="15" fillId="2" borderId="6" xfId="0" applyNumberFormat="1" applyFont="1" applyFill="1" applyBorder="1" applyAlignment="1">
      <alignment vertical="center"/>
    </xf>
    <xf numFmtId="4" fontId="15" fillId="2" borderId="2" xfId="0" applyNumberFormat="1" applyFont="1" applyFill="1" applyBorder="1" applyAlignment="1">
      <alignment vertical="center"/>
    </xf>
    <xf numFmtId="4" fontId="16" fillId="0" borderId="0" xfId="0" applyNumberFormat="1" applyFont="1" applyAlignment="1"/>
    <xf numFmtId="4" fontId="16" fillId="0" borderId="0" xfId="0" applyFont="1" applyBorder="1" applyAlignment="1"/>
    <xf numFmtId="4" fontId="17" fillId="0" borderId="0" xfId="0" applyFont="1" applyFill="1" applyBorder="1" applyAlignment="1"/>
    <xf numFmtId="4" fontId="18" fillId="0" borderId="0" xfId="0" applyFont="1" applyFill="1" applyBorder="1" applyAlignment="1"/>
    <xf numFmtId="4" fontId="15" fillId="0" borderId="6" xfId="0" applyFont="1" applyFill="1" applyBorder="1" applyAlignment="1">
      <alignment vertical="center"/>
    </xf>
    <xf numFmtId="4" fontId="16" fillId="0" borderId="0" xfId="0" applyNumberFormat="1" applyFont="1" applyFill="1" applyBorder="1" applyAlignment="1">
      <alignment horizontal="left"/>
    </xf>
    <xf numFmtId="4" fontId="18" fillId="0" borderId="0" xfId="0" applyFont="1" applyFill="1" applyBorder="1" applyAlignment="1">
      <alignment vertical="center" wrapText="1"/>
    </xf>
    <xf numFmtId="4" fontId="15" fillId="0" borderId="3" xfId="0" applyNumberFormat="1" applyFont="1" applyBorder="1" applyAlignment="1">
      <alignment vertical="center"/>
    </xf>
    <xf numFmtId="4" fontId="18" fillId="0" borderId="0" xfId="0" applyFont="1" applyFill="1" applyBorder="1" applyAlignment="1">
      <alignment horizontal="left" vertical="center" wrapText="1"/>
    </xf>
    <xf numFmtId="4" fontId="15" fillId="0" borderId="0" xfId="0" applyFont="1" applyFill="1" applyBorder="1" applyAlignment="1">
      <alignment vertical="center"/>
    </xf>
    <xf numFmtId="4" fontId="16" fillId="0" borderId="0" xfId="0" applyFont="1" applyFill="1" applyAlignment="1"/>
    <xf numFmtId="4" fontId="16" fillId="0" borderId="0" xfId="0" applyNumberFormat="1" applyFont="1" applyFill="1" applyAlignment="1"/>
    <xf numFmtId="4" fontId="16" fillId="0" borderId="0" xfId="0" applyFont="1" applyFill="1" applyBorder="1" applyAlignment="1"/>
    <xf numFmtId="4" fontId="16" fillId="0" borderId="6" xfId="0" applyNumberFormat="1" applyFont="1" applyBorder="1" applyAlignment="1">
      <alignment vertical="center"/>
    </xf>
    <xf numFmtId="4" fontId="16" fillId="0" borderId="2" xfId="0" applyNumberFormat="1" applyFont="1" applyBorder="1" applyAlignment="1">
      <alignment vertical="center"/>
    </xf>
    <xf numFmtId="4" fontId="16" fillId="0" borderId="13" xfId="0" applyNumberFormat="1" applyFont="1" applyBorder="1" applyAlignment="1">
      <alignment vertical="center"/>
    </xf>
    <xf numFmtId="4" fontId="23" fillId="0" borderId="0" xfId="0" applyFont="1" applyBorder="1" applyAlignment="1"/>
    <xf numFmtId="4" fontId="16" fillId="0" borderId="1" xfId="0" applyNumberFormat="1" applyFont="1" applyBorder="1" applyAlignment="1">
      <alignment vertical="center"/>
    </xf>
    <xf numFmtId="4" fontId="16" fillId="0" borderId="0" xfId="0" applyNumberFormat="1" applyFont="1" applyBorder="1" applyAlignment="1">
      <alignment horizontal="center" vertical="center" wrapText="1"/>
    </xf>
    <xf numFmtId="4" fontId="16" fillId="0" borderId="0" xfId="0" applyNumberFormat="1" applyFont="1" applyBorder="1" applyAlignment="1">
      <alignment vertical="center" wrapText="1"/>
    </xf>
    <xf numFmtId="4" fontId="9" fillId="3" borderId="3" xfId="1" applyNumberFormat="1" applyFont="1" applyFill="1" applyBorder="1"/>
    <xf numFmtId="4" fontId="0" fillId="0" borderId="0" xfId="0" applyAlignment="1">
      <alignment horizontal="center" vertical="top"/>
    </xf>
    <xf numFmtId="4" fontId="31" fillId="0" borderId="0" xfId="0" applyFont="1" applyAlignment="1"/>
    <xf numFmtId="4" fontId="32" fillId="0" borderId="1" xfId="0" applyFont="1" applyBorder="1" applyAlignment="1">
      <alignment vertical="center" wrapText="1"/>
    </xf>
    <xf numFmtId="4" fontId="32" fillId="0" borderId="6" xfId="0" applyFont="1" applyBorder="1" applyAlignment="1">
      <alignment horizontal="left" vertical="center" wrapText="1"/>
    </xf>
    <xf numFmtId="4" fontId="21" fillId="0" borderId="6" xfId="0" applyFont="1" applyBorder="1" applyAlignment="1">
      <alignment horizontal="center" vertical="center" wrapText="1"/>
    </xf>
    <xf numFmtId="14" fontId="21" fillId="0" borderId="6" xfId="0" applyNumberFormat="1" applyFont="1" applyBorder="1" applyAlignment="1">
      <alignment horizontal="center" vertical="center" wrapText="1"/>
    </xf>
    <xf numFmtId="4" fontId="32" fillId="0" borderId="42" xfId="0" applyFont="1" applyBorder="1" applyAlignment="1">
      <alignment vertical="center" wrapText="1"/>
    </xf>
    <xf numFmtId="4" fontId="32" fillId="0" borderId="42" xfId="0" applyFont="1" applyBorder="1" applyAlignment="1">
      <alignment horizontal="left" vertical="center" wrapText="1"/>
    </xf>
    <xf numFmtId="4" fontId="21" fillId="0" borderId="42" xfId="0" applyFont="1" applyBorder="1" applyAlignment="1">
      <alignment horizontal="center" vertical="center" wrapText="1"/>
    </xf>
    <xf numFmtId="14" fontId="21" fillId="0" borderId="42" xfId="0" applyNumberFormat="1" applyFont="1" applyBorder="1" applyAlignment="1">
      <alignment horizontal="center" vertical="center" wrapText="1"/>
    </xf>
    <xf numFmtId="3" fontId="8" fillId="0" borderId="3" xfId="1" applyNumberFormat="1" applyFont="1" applyFill="1" applyBorder="1" applyAlignment="1"/>
    <xf numFmtId="3" fontId="11" fillId="0" borderId="3" xfId="1" applyNumberFormat="1" applyFont="1" applyFill="1" applyBorder="1"/>
    <xf numFmtId="3" fontId="8" fillId="0" borderId="3" xfId="1" applyFont="1" applyBorder="1"/>
    <xf numFmtId="3" fontId="8" fillId="0" borderId="3" xfId="1" applyFont="1" applyBorder="1" applyAlignment="1">
      <alignment horizontal="right"/>
    </xf>
    <xf numFmtId="4" fontId="18" fillId="0" borderId="0" xfId="0" applyFont="1" applyAlignment="1"/>
    <xf numFmtId="4" fontId="16" fillId="0" borderId="31" xfId="0" applyNumberFormat="1" applyFont="1" applyBorder="1" applyAlignment="1">
      <alignment vertical="center"/>
    </xf>
    <xf numFmtId="4" fontId="38" fillId="17" borderId="3" xfId="0" applyFont="1" applyFill="1" applyBorder="1" applyAlignment="1">
      <alignment horizontal="center" vertical="center" wrapText="1"/>
    </xf>
    <xf numFmtId="4" fontId="15" fillId="2" borderId="3" xfId="0" applyFont="1" applyFill="1" applyBorder="1" applyAlignment="1">
      <alignment horizontal="center" vertical="center" wrapText="1"/>
    </xf>
    <xf numFmtId="14" fontId="15" fillId="0" borderId="6"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14" fontId="15" fillId="0" borderId="22" xfId="0" applyNumberFormat="1" applyFont="1" applyBorder="1" applyAlignment="1">
      <alignment horizontal="center" vertical="center" wrapText="1"/>
    </xf>
    <xf numFmtId="14" fontId="15" fillId="0" borderId="13" xfId="0" applyNumberFormat="1" applyFont="1" applyBorder="1" applyAlignment="1">
      <alignment horizontal="center" vertical="center" wrapText="1"/>
    </xf>
    <xf numFmtId="4" fontId="15" fillId="2" borderId="42" xfId="0" applyNumberFormat="1" applyFont="1" applyFill="1" applyBorder="1" applyAlignment="1">
      <alignment vertical="center"/>
    </xf>
    <xf numFmtId="4" fontId="15" fillId="2" borderId="47" xfId="0" applyFont="1" applyFill="1" applyBorder="1" applyAlignment="1">
      <alignment vertical="center"/>
    </xf>
    <xf numFmtId="4" fontId="15" fillId="0" borderId="66" xfId="0" applyNumberFormat="1" applyFont="1" applyBorder="1" applyAlignment="1">
      <alignment vertical="center"/>
    </xf>
    <xf numFmtId="4" fontId="15" fillId="0" borderId="70" xfId="0" applyNumberFormat="1" applyFont="1" applyBorder="1" applyAlignment="1">
      <alignment vertical="center"/>
    </xf>
    <xf numFmtId="4" fontId="15" fillId="0" borderId="64" xfId="0" applyNumberFormat="1" applyFont="1" applyFill="1" applyBorder="1" applyAlignment="1">
      <alignment horizontal="right" vertical="center"/>
    </xf>
    <xf numFmtId="4" fontId="15" fillId="0" borderId="110" xfId="0" applyNumberFormat="1" applyFont="1" applyBorder="1" applyAlignment="1">
      <alignment vertical="center"/>
    </xf>
    <xf numFmtId="4" fontId="15" fillId="0" borderId="45" xfId="0" applyFont="1" applyBorder="1" applyAlignment="1">
      <alignment vertical="center"/>
    </xf>
    <xf numFmtId="4" fontId="15" fillId="0" borderId="44" xfId="0" applyFont="1" applyBorder="1" applyAlignment="1">
      <alignment vertical="center"/>
    </xf>
    <xf numFmtId="4" fontId="15" fillId="0" borderId="109" xfId="0" applyFont="1" applyBorder="1" applyAlignment="1">
      <alignment vertical="center"/>
    </xf>
    <xf numFmtId="4" fontId="16" fillId="0" borderId="44" xfId="0" applyNumberFormat="1" applyFont="1" applyBorder="1" applyAlignment="1">
      <alignment vertical="center"/>
    </xf>
    <xf numFmtId="4" fontId="6" fillId="0" borderId="0" xfId="0" applyFont="1" applyAlignment="1">
      <alignment horizontal="center" vertical="top"/>
    </xf>
    <xf numFmtId="14" fontId="22" fillId="8" borderId="3" xfId="0" applyNumberFormat="1" applyFont="1" applyFill="1" applyBorder="1" applyAlignment="1">
      <alignment horizontal="left" vertical="center"/>
    </xf>
    <xf numFmtId="43" fontId="22" fillId="8" borderId="3" xfId="0" applyNumberFormat="1" applyFont="1" applyFill="1" applyBorder="1" applyAlignment="1">
      <alignment horizontal="left" vertical="center"/>
    </xf>
    <xf numFmtId="4" fontId="51" fillId="0" borderId="0" xfId="0" applyFont="1" applyAlignment="1"/>
    <xf numFmtId="4" fontId="16" fillId="0" borderId="0" xfId="0" applyFont="1" applyBorder="1" applyAlignment="1">
      <alignment horizontal="left" vertical="center" wrapText="1"/>
    </xf>
    <xf numFmtId="4" fontId="10" fillId="18" borderId="35" xfId="1" applyNumberFormat="1" applyFont="1" applyFill="1" applyBorder="1" applyAlignment="1"/>
    <xf numFmtId="3" fontId="8" fillId="4" borderId="3" xfId="1" applyNumberFormat="1" applyFont="1" applyFill="1" applyBorder="1" applyAlignment="1">
      <alignment horizontal="right"/>
    </xf>
    <xf numFmtId="4" fontId="13" fillId="0" borderId="45" xfId="0" applyFont="1" applyBorder="1" applyAlignment="1">
      <alignment vertical="center"/>
    </xf>
    <xf numFmtId="4" fontId="16" fillId="0" borderId="109" xfId="0" applyFont="1" applyBorder="1" applyAlignment="1">
      <alignment vertical="center"/>
    </xf>
    <xf numFmtId="4" fontId="16" fillId="0" borderId="67" xfId="0" applyFont="1" applyBorder="1" applyAlignment="1">
      <alignment vertical="center"/>
    </xf>
    <xf numFmtId="4" fontId="16" fillId="0" borderId="42" xfId="0" applyNumberFormat="1" applyFont="1" applyBorder="1" applyAlignment="1">
      <alignment vertical="center"/>
    </xf>
    <xf numFmtId="0" fontId="16" fillId="0" borderId="9" xfId="0" applyNumberFormat="1" applyFont="1" applyBorder="1" applyAlignment="1">
      <alignment vertical="center"/>
    </xf>
    <xf numFmtId="4" fontId="15" fillId="2" borderId="5" xfId="0" applyFont="1" applyFill="1" applyBorder="1" applyAlignment="1">
      <alignment vertical="center"/>
    </xf>
    <xf numFmtId="4" fontId="15" fillId="2" borderId="5" xfId="0" applyNumberFormat="1" applyFont="1" applyFill="1" applyBorder="1" applyAlignment="1">
      <alignment vertical="center"/>
    </xf>
    <xf numFmtId="4" fontId="13" fillId="0" borderId="44" xfId="0" applyFont="1" applyBorder="1" applyAlignment="1">
      <alignment vertical="center"/>
    </xf>
    <xf numFmtId="4" fontId="16" fillId="0" borderId="47" xfId="0" applyNumberFormat="1" applyFont="1" applyBorder="1" applyAlignment="1">
      <alignment vertical="center"/>
    </xf>
    <xf numFmtId="4" fontId="16" fillId="0" borderId="30" xfId="0" applyNumberFormat="1" applyFont="1" applyBorder="1" applyAlignment="1">
      <alignment vertical="center"/>
    </xf>
    <xf numFmtId="14" fontId="22" fillId="8" borderId="22" xfId="0" applyNumberFormat="1" applyFont="1" applyFill="1" applyBorder="1" applyAlignment="1">
      <alignment horizontal="left" vertical="center"/>
    </xf>
    <xf numFmtId="43" fontId="22" fillId="8" borderId="29" xfId="0" applyNumberFormat="1" applyFont="1" applyFill="1" applyBorder="1" applyAlignment="1">
      <alignment horizontal="left" vertical="center"/>
    </xf>
    <xf numFmtId="43" fontId="22" fillId="8" borderId="53" xfId="0" applyNumberFormat="1" applyFont="1" applyFill="1" applyBorder="1" applyAlignment="1">
      <alignment horizontal="left" vertical="center"/>
    </xf>
    <xf numFmtId="4" fontId="45" fillId="7" borderId="3" xfId="0" applyFont="1" applyFill="1" applyBorder="1" applyAlignment="1">
      <alignment vertical="center" wrapText="1"/>
    </xf>
    <xf numFmtId="4" fontId="38" fillId="9" borderId="3" xfId="0" applyNumberFormat="1" applyFont="1" applyFill="1" applyBorder="1" applyAlignment="1">
      <alignment horizontal="right" vertical="center" wrapText="1"/>
    </xf>
    <xf numFmtId="3" fontId="10" fillId="18" borderId="11" xfId="1" applyNumberFormat="1" applyFont="1" applyFill="1" applyBorder="1" applyAlignment="1"/>
    <xf numFmtId="4" fontId="10" fillId="18" borderId="11" xfId="1" applyNumberFormat="1" applyFont="1" applyFill="1" applyBorder="1" applyAlignment="1"/>
    <xf numFmtId="3" fontId="10" fillId="18" borderId="71" xfId="1" applyNumberFormat="1" applyFont="1" applyFill="1" applyBorder="1" applyAlignment="1"/>
    <xf numFmtId="4" fontId="11" fillId="18" borderId="3" xfId="0" applyNumberFormat="1" applyFont="1" applyFill="1" applyBorder="1">
      <alignment vertical="top"/>
    </xf>
    <xf numFmtId="3" fontId="11" fillId="18" borderId="3" xfId="0" applyNumberFormat="1" applyFont="1" applyFill="1" applyBorder="1">
      <alignment vertical="top"/>
    </xf>
    <xf numFmtId="3" fontId="11" fillId="18" borderId="40" xfId="0" applyNumberFormat="1" applyFont="1" applyFill="1" applyBorder="1">
      <alignment vertical="top"/>
    </xf>
    <xf numFmtId="3" fontId="11" fillId="18" borderId="41" xfId="0" applyNumberFormat="1" applyFont="1" applyFill="1" applyBorder="1">
      <alignment vertical="top"/>
    </xf>
    <xf numFmtId="3" fontId="11" fillId="18" borderId="36" xfId="0" applyNumberFormat="1" applyFont="1" applyFill="1" applyBorder="1">
      <alignment vertical="top"/>
    </xf>
    <xf numFmtId="3" fontId="9" fillId="3" borderId="3" xfId="1" applyNumberFormat="1" applyFont="1" applyFill="1" applyBorder="1" applyAlignment="1">
      <alignment horizontal="right"/>
    </xf>
    <xf numFmtId="3" fontId="9" fillId="0" borderId="3" xfId="1" applyNumberFormat="1" applyFont="1" applyBorder="1"/>
    <xf numFmtId="3" fontId="24" fillId="0" borderId="3" xfId="1" applyNumberFormat="1" applyFont="1" applyBorder="1" applyAlignment="1">
      <alignment horizontal="right"/>
    </xf>
    <xf numFmtId="3" fontId="9" fillId="0" borderId="3" xfId="1" applyFont="1" applyFill="1" applyBorder="1" applyAlignment="1">
      <alignment horizontal="center"/>
    </xf>
    <xf numFmtId="3" fontId="9" fillId="0" borderId="3" xfId="1" applyNumberFormat="1" applyFont="1" applyBorder="1" applyAlignment="1">
      <alignment horizontal="right"/>
    </xf>
    <xf numFmtId="3" fontId="9" fillId="0" borderId="3" xfId="1" applyNumberFormat="1" applyFont="1" applyBorder="1" applyAlignment="1"/>
    <xf numFmtId="3" fontId="9" fillId="0" borderId="3" xfId="1" applyNumberFormat="1" applyFont="1" applyFill="1" applyBorder="1"/>
    <xf numFmtId="49" fontId="10" fillId="3" borderId="3" xfId="1" applyNumberFormat="1" applyFont="1" applyFill="1" applyBorder="1" applyAlignment="1">
      <alignment horizontal="center"/>
    </xf>
    <xf numFmtId="4" fontId="10" fillId="3" borderId="3" xfId="1" applyNumberFormat="1" applyFont="1" applyFill="1" applyBorder="1" applyAlignment="1">
      <alignment horizontal="center"/>
    </xf>
    <xf numFmtId="2" fontId="10" fillId="0" borderId="3" xfId="1" applyNumberFormat="1" applyFont="1" applyFill="1" applyBorder="1" applyAlignment="1"/>
    <xf numFmtId="4" fontId="8" fillId="0" borderId="3" xfId="1" applyNumberFormat="1" applyFont="1" applyBorder="1" applyAlignment="1">
      <alignment horizontal="right"/>
    </xf>
    <xf numFmtId="4" fontId="8" fillId="0" borderId="3" xfId="0" applyNumberFormat="1" applyFont="1" applyBorder="1">
      <alignment vertical="top"/>
    </xf>
    <xf numFmtId="4" fontId="0" fillId="0" borderId="0" xfId="0">
      <alignment vertical="top"/>
    </xf>
    <xf numFmtId="49" fontId="8" fillId="2" borderId="3" xfId="1" applyNumberFormat="1" applyFont="1" applyFill="1" applyBorder="1" applyAlignment="1">
      <alignment horizontal="center"/>
    </xf>
    <xf numFmtId="3" fontId="9" fillId="3" borderId="3" xfId="1" applyFont="1" applyFill="1" applyBorder="1" applyAlignment="1">
      <alignment horizontal="center"/>
    </xf>
    <xf numFmtId="3" fontId="9" fillId="0" borderId="3" xfId="1" applyFont="1" applyBorder="1" applyAlignment="1">
      <alignment horizontal="center"/>
    </xf>
    <xf numFmtId="49" fontId="9" fillId="3" borderId="3" xfId="1" applyNumberFormat="1" applyFont="1" applyFill="1" applyBorder="1" applyAlignment="1">
      <alignment horizontal="center"/>
    </xf>
    <xf numFmtId="3" fontId="24" fillId="0" borderId="3" xfId="1" applyFont="1" applyBorder="1" applyAlignment="1">
      <alignment horizontal="center"/>
    </xf>
    <xf numFmtId="3" fontId="10" fillId="0" borderId="3" xfId="1" applyFont="1" applyBorder="1" applyAlignment="1">
      <alignment horizontal="center"/>
    </xf>
    <xf numFmtId="4" fontId="10" fillId="0" borderId="3" xfId="1" applyNumberFormat="1" applyFont="1" applyBorder="1" applyAlignment="1">
      <alignment horizontal="center"/>
    </xf>
    <xf numFmtId="3" fontId="8" fillId="0" borderId="3" xfId="1" applyNumberFormat="1" applyFont="1" applyBorder="1" applyAlignment="1" applyProtection="1">
      <alignment horizontal="right"/>
      <protection locked="0"/>
    </xf>
    <xf numFmtId="3" fontId="8" fillId="0" borderId="3" xfId="1" applyNumberFormat="1" applyFont="1" applyBorder="1" applyProtection="1">
      <protection locked="0"/>
    </xf>
    <xf numFmtId="3" fontId="8" fillId="0" borderId="3" xfId="1" applyNumberFormat="1" applyFont="1" applyFill="1" applyBorder="1" applyProtection="1">
      <protection locked="0"/>
    </xf>
    <xf numFmtId="3" fontId="8" fillId="0" borderId="3" xfId="1" applyNumberFormat="1" applyFont="1" applyBorder="1" applyAlignment="1" applyProtection="1">
      <protection locked="0"/>
    </xf>
    <xf numFmtId="3" fontId="8" fillId="0" borderId="3" xfId="1" applyNumberFormat="1" applyFont="1" applyFill="1" applyBorder="1" applyAlignment="1" applyProtection="1">
      <alignment horizontal="right"/>
      <protection locked="0"/>
    </xf>
    <xf numFmtId="3" fontId="8" fillId="0" borderId="3" xfId="0" applyNumberFormat="1" applyFont="1" applyBorder="1" applyAlignment="1" applyProtection="1">
      <alignment horizontal="right" vertical="top"/>
      <protection locked="0"/>
    </xf>
    <xf numFmtId="3" fontId="8" fillId="0" borderId="3" xfId="0" applyNumberFormat="1" applyFont="1" applyBorder="1" applyProtection="1">
      <alignment vertical="top"/>
      <protection locked="0"/>
    </xf>
    <xf numFmtId="3" fontId="10" fillId="4" borderId="3" xfId="1" applyNumberFormat="1" applyFont="1" applyFill="1" applyBorder="1" applyAlignment="1">
      <alignment horizontal="right"/>
    </xf>
    <xf numFmtId="3" fontId="10" fillId="0" borderId="5" xfId="1" applyNumberFormat="1" applyFont="1" applyFill="1" applyBorder="1" applyAlignment="1"/>
    <xf numFmtId="14" fontId="23" fillId="0" borderId="0" xfId="0" applyNumberFormat="1" applyFont="1" applyAlignment="1"/>
    <xf numFmtId="4" fontId="8" fillId="0" borderId="35" xfId="1" applyNumberFormat="1" applyFont="1" applyBorder="1" applyAlignment="1">
      <alignment horizontal="right"/>
    </xf>
    <xf numFmtId="4" fontId="8" fillId="0" borderId="36" xfId="1" applyNumberFormat="1" applyFont="1" applyBorder="1" applyAlignment="1">
      <alignment horizontal="right"/>
    </xf>
    <xf numFmtId="4" fontId="8" fillId="0" borderId="36" xfId="1" applyNumberFormat="1" applyFont="1" applyFill="1" applyBorder="1" applyAlignment="1">
      <alignment horizontal="right"/>
    </xf>
    <xf numFmtId="4" fontId="8" fillId="0" borderId="3" xfId="1" applyNumberFormat="1" applyFont="1" applyFill="1" applyBorder="1" applyAlignment="1">
      <alignment horizontal="right"/>
    </xf>
    <xf numFmtId="3" fontId="53" fillId="18" borderId="35" xfId="0" applyNumberFormat="1" applyFont="1" applyFill="1" applyBorder="1" applyAlignment="1">
      <alignment vertical="top"/>
    </xf>
    <xf numFmtId="3" fontId="53" fillId="18" borderId="3" xfId="0" applyNumberFormat="1" applyFont="1" applyFill="1" applyBorder="1" applyAlignment="1">
      <alignment vertical="top"/>
    </xf>
    <xf numFmtId="3" fontId="7" fillId="18" borderId="36" xfId="0" applyNumberFormat="1" applyFont="1" applyFill="1" applyBorder="1" applyAlignment="1">
      <alignment vertical="top"/>
    </xf>
    <xf numFmtId="3" fontId="53" fillId="18" borderId="39" xfId="0" applyNumberFormat="1" applyFont="1" applyFill="1" applyBorder="1" applyAlignment="1">
      <alignment vertical="top"/>
    </xf>
    <xf numFmtId="3" fontId="53" fillId="18" borderId="40" xfId="0" applyNumberFormat="1" applyFont="1" applyFill="1" applyBorder="1" applyAlignment="1">
      <alignment vertical="top"/>
    </xf>
    <xf numFmtId="3" fontId="7" fillId="18" borderId="41" xfId="0" applyNumberFormat="1" applyFont="1" applyFill="1" applyBorder="1" applyAlignment="1">
      <alignment vertical="top"/>
    </xf>
    <xf numFmtId="4" fontId="22" fillId="8" borderId="1" xfId="0" applyNumberFormat="1" applyFont="1" applyFill="1" applyBorder="1" applyAlignment="1">
      <alignment horizontal="left" vertical="center"/>
    </xf>
    <xf numFmtId="14" fontId="22" fillId="8" borderId="1" xfId="0" applyNumberFormat="1" applyFont="1" applyFill="1" applyBorder="1" applyAlignment="1">
      <alignment horizontal="left" vertical="center"/>
    </xf>
    <xf numFmtId="14" fontId="22" fillId="8" borderId="66" xfId="0" applyNumberFormat="1" applyFont="1" applyFill="1" applyBorder="1" applyAlignment="1">
      <alignment horizontal="left" vertical="center"/>
    </xf>
    <xf numFmtId="4" fontId="22" fillId="8" borderId="2" xfId="0" applyNumberFormat="1" applyFont="1" applyFill="1" applyBorder="1" applyAlignment="1">
      <alignment horizontal="left" vertical="center"/>
    </xf>
    <xf numFmtId="14" fontId="22" fillId="8" borderId="64" xfId="0" applyNumberFormat="1" applyFont="1" applyFill="1" applyBorder="1" applyAlignment="1">
      <alignment horizontal="left" vertical="center"/>
    </xf>
    <xf numFmtId="3" fontId="9" fillId="0" borderId="35" xfId="1" applyNumberFormat="1" applyFont="1" applyFill="1" applyBorder="1" applyAlignment="1">
      <alignment horizontal="right"/>
    </xf>
    <xf numFmtId="4" fontId="16" fillId="0" borderId="6" xfId="0" applyNumberFormat="1" applyFont="1" applyBorder="1" applyAlignment="1">
      <alignment horizontal="right" vertical="center" wrapText="1"/>
    </xf>
    <xf numFmtId="4" fontId="56" fillId="0" borderId="0" xfId="0" applyFont="1" applyFill="1" applyAlignment="1"/>
    <xf numFmtId="3" fontId="10" fillId="4" borderId="35" xfId="1" applyNumberFormat="1" applyFont="1" applyFill="1" applyBorder="1" applyAlignment="1"/>
    <xf numFmtId="4" fontId="10" fillId="4" borderId="35" xfId="1" applyNumberFormat="1" applyFont="1" applyFill="1" applyBorder="1" applyAlignment="1"/>
    <xf numFmtId="3" fontId="10" fillId="4" borderId="39" xfId="1" applyNumberFormat="1" applyFont="1" applyFill="1" applyBorder="1" applyAlignment="1"/>
    <xf numFmtId="3" fontId="9" fillId="3" borderId="11" xfId="1" applyNumberFormat="1" applyFont="1" applyFill="1" applyBorder="1"/>
    <xf numFmtId="3" fontId="8" fillId="0" borderId="11" xfId="1" applyNumberFormat="1" applyFont="1" applyBorder="1"/>
    <xf numFmtId="3" fontId="8" fillId="0" borderId="11" xfId="1" applyNumberFormat="1" applyFont="1" applyBorder="1" applyAlignment="1">
      <alignment horizontal="right"/>
    </xf>
    <xf numFmtId="3" fontId="8" fillId="3" borderId="11" xfId="1" applyNumberFormat="1" applyFont="1" applyFill="1" applyBorder="1" applyAlignment="1">
      <alignment horizontal="right"/>
    </xf>
    <xf numFmtId="3" fontId="8" fillId="0" borderId="11" xfId="1" applyNumberFormat="1" applyFont="1" applyFill="1" applyBorder="1"/>
    <xf numFmtId="3" fontId="8" fillId="0" borderId="11" xfId="1" applyNumberFormat="1" applyFont="1" applyFill="1" applyBorder="1" applyAlignment="1">
      <alignment horizontal="right"/>
    </xf>
    <xf numFmtId="3" fontId="8" fillId="0" borderId="11" xfId="0" applyNumberFormat="1" applyFont="1" applyBorder="1" applyAlignment="1">
      <alignment horizontal="right" vertical="top"/>
    </xf>
    <xf numFmtId="3" fontId="8" fillId="0" borderId="11" xfId="0" applyNumberFormat="1" applyFont="1" applyBorder="1">
      <alignment vertical="top"/>
    </xf>
    <xf numFmtId="3" fontId="26" fillId="0" borderId="4" xfId="0" applyNumberFormat="1" applyFont="1" applyBorder="1">
      <alignment vertical="top"/>
    </xf>
    <xf numFmtId="3" fontId="10" fillId="4" borderId="3" xfId="1" applyNumberFormat="1" applyFont="1" applyFill="1" applyBorder="1" applyAlignment="1"/>
    <xf numFmtId="3" fontId="10" fillId="4" borderId="36" xfId="1" applyNumberFormat="1" applyFont="1" applyFill="1" applyBorder="1" applyAlignment="1"/>
    <xf numFmtId="4" fontId="26" fillId="0" borderId="4" xfId="0" applyNumberFormat="1" applyFont="1" applyBorder="1">
      <alignment vertical="top"/>
    </xf>
    <xf numFmtId="4" fontId="10" fillId="4" borderId="3" xfId="1" applyNumberFormat="1" applyFont="1" applyFill="1" applyBorder="1" applyAlignment="1"/>
    <xf numFmtId="4" fontId="10" fillId="4" borderId="36" xfId="1" applyNumberFormat="1" applyFont="1" applyFill="1" applyBorder="1" applyAlignment="1"/>
    <xf numFmtId="3" fontId="26" fillId="0" borderId="74" xfId="0" applyNumberFormat="1" applyFont="1" applyBorder="1">
      <alignment vertical="top"/>
    </xf>
    <xf numFmtId="3" fontId="10" fillId="4" borderId="40" xfId="1" applyNumberFormat="1" applyFont="1" applyFill="1" applyBorder="1" applyAlignment="1"/>
    <xf numFmtId="4" fontId="8" fillId="3" borderId="40" xfId="1" applyNumberFormat="1" applyFont="1" applyFill="1" applyBorder="1"/>
    <xf numFmtId="3" fontId="10" fillId="4" borderId="41" xfId="1" applyNumberFormat="1" applyFont="1" applyFill="1" applyBorder="1" applyAlignment="1"/>
    <xf numFmtId="4" fontId="10" fillId="0" borderId="3" xfId="1" applyNumberFormat="1" applyFont="1" applyFill="1" applyBorder="1" applyAlignment="1"/>
    <xf numFmtId="3" fontId="0" fillId="18" borderId="35" xfId="0" applyNumberFormat="1" applyFont="1" applyFill="1" applyBorder="1">
      <alignment vertical="top"/>
    </xf>
    <xf numFmtId="3" fontId="0" fillId="18" borderId="3" xfId="0" applyNumberFormat="1" applyFont="1" applyFill="1" applyBorder="1">
      <alignment vertical="top"/>
    </xf>
    <xf numFmtId="3" fontId="0" fillId="18" borderId="39" xfId="0" applyNumberFormat="1" applyFont="1" applyFill="1" applyBorder="1">
      <alignment vertical="top"/>
    </xf>
    <xf numFmtId="3" fontId="0" fillId="18" borderId="40" xfId="0" applyNumberFormat="1" applyFont="1" applyFill="1" applyBorder="1">
      <alignment vertical="top"/>
    </xf>
    <xf numFmtId="4" fontId="0" fillId="18" borderId="35" xfId="0" applyNumberFormat="1" applyFont="1" applyFill="1" applyBorder="1">
      <alignment vertical="top"/>
    </xf>
    <xf numFmtId="4" fontId="0" fillId="18" borderId="3" xfId="0" applyNumberFormat="1" applyFont="1" applyFill="1" applyBorder="1">
      <alignment vertical="top"/>
    </xf>
    <xf numFmtId="4" fontId="10" fillId="18" borderId="3" xfId="1" applyNumberFormat="1" applyFont="1" applyFill="1" applyBorder="1" applyAlignment="1"/>
    <xf numFmtId="4" fontId="38" fillId="17" borderId="10" xfId="0" applyFont="1" applyFill="1" applyBorder="1" applyAlignment="1">
      <alignment horizontal="center" vertical="center" wrapText="1"/>
    </xf>
    <xf numFmtId="4" fontId="8" fillId="3" borderId="3" xfId="1" applyNumberFormat="1" applyFont="1" applyFill="1" applyBorder="1"/>
    <xf numFmtId="3" fontId="9" fillId="3" borderId="3" xfId="1" applyNumberFormat="1" applyFont="1" applyFill="1" applyBorder="1"/>
    <xf numFmtId="3" fontId="8" fillId="3" borderId="3" xfId="1" applyNumberFormat="1" applyFont="1" applyFill="1" applyBorder="1" applyAlignment="1">
      <alignment horizontal="right"/>
    </xf>
    <xf numFmtId="3" fontId="10" fillId="0" borderId="3" xfId="1" applyNumberFormat="1" applyFont="1" applyFill="1" applyBorder="1" applyAlignment="1"/>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25" fillId="0" borderId="3" xfId="1" applyFont="1" applyBorder="1" applyAlignment="1">
      <alignment horizontal="left"/>
    </xf>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11" fillId="0" borderId="3" xfId="1" applyNumberFormat="1" applyFont="1" applyFill="1" applyBorder="1" applyAlignment="1">
      <alignment horizontal="center"/>
    </xf>
    <xf numFmtId="3" fontId="8" fillId="0" borderId="3" xfId="0" applyNumberFormat="1" applyFont="1" applyBorder="1" applyAlignment="1">
      <alignment horizontal="right" vertical="top"/>
    </xf>
    <xf numFmtId="3" fontId="8" fillId="0" borderId="3" xfId="0" applyNumberFormat="1" applyFont="1" applyBorder="1">
      <alignment vertical="top"/>
    </xf>
    <xf numFmtId="4" fontId="11" fillId="3" borderId="3" xfId="1" applyNumberFormat="1" applyFont="1" applyFill="1" applyBorder="1"/>
    <xf numFmtId="3" fontId="9" fillId="3" borderId="35" xfId="1" applyNumberFormat="1" applyFont="1" applyFill="1" applyBorder="1"/>
    <xf numFmtId="3" fontId="9" fillId="3" borderId="36" xfId="1" applyNumberFormat="1" applyFont="1" applyFill="1" applyBorder="1"/>
    <xf numFmtId="3" fontId="8" fillId="0" borderId="35" xfId="1" applyNumberFormat="1" applyFont="1" applyBorder="1" applyAlignment="1">
      <alignment horizontal="right"/>
    </xf>
    <xf numFmtId="3" fontId="8" fillId="0" borderId="36" xfId="1" applyNumberFormat="1" applyFont="1" applyBorder="1" applyAlignment="1">
      <alignment horizontal="right"/>
    </xf>
    <xf numFmtId="3" fontId="8" fillId="3" borderId="35" xfId="1" applyNumberFormat="1" applyFont="1" applyFill="1" applyBorder="1" applyAlignment="1">
      <alignment horizontal="right"/>
    </xf>
    <xf numFmtId="3" fontId="8" fillId="3" borderId="36" xfId="1" applyNumberFormat="1" applyFont="1" applyFill="1" applyBorder="1" applyAlignment="1">
      <alignment horizontal="right"/>
    </xf>
    <xf numFmtId="4" fontId="11" fillId="0" borderId="40" xfId="1" applyNumberFormat="1" applyFont="1" applyFill="1" applyBorder="1"/>
    <xf numFmtId="3" fontId="9" fillId="0" borderId="35" xfId="1" applyNumberFormat="1" applyFont="1" applyBorder="1"/>
    <xf numFmtId="3" fontId="8" fillId="0" borderId="36" xfId="1" applyNumberFormat="1" applyFont="1" applyBorder="1"/>
    <xf numFmtId="3" fontId="24" fillId="0" borderId="35" xfId="1" applyNumberFormat="1" applyFont="1" applyBorder="1" applyAlignment="1">
      <alignment horizontal="right"/>
    </xf>
    <xf numFmtId="3" fontId="9" fillId="3" borderId="35" xfId="1" applyNumberFormat="1" applyFont="1" applyFill="1" applyBorder="1" applyAlignment="1">
      <alignment horizontal="right"/>
    </xf>
    <xf numFmtId="3" fontId="9" fillId="0" borderId="35" xfId="1" applyNumberFormat="1" applyFont="1" applyBorder="1" applyAlignment="1">
      <alignment horizontal="right"/>
    </xf>
    <xf numFmtId="3" fontId="8" fillId="0" borderId="36" xfId="1" applyNumberFormat="1" applyFont="1" applyFill="1" applyBorder="1" applyAlignment="1">
      <alignment horizontal="right"/>
    </xf>
    <xf numFmtId="3" fontId="9" fillId="0" borderId="35" xfId="1" applyNumberFormat="1" applyFont="1" applyBorder="1" applyAlignment="1"/>
    <xf numFmtId="3" fontId="8" fillId="0" borderId="36" xfId="0" applyNumberFormat="1" applyFont="1" applyBorder="1" applyAlignment="1">
      <alignment horizontal="right" vertical="top"/>
    </xf>
    <xf numFmtId="3" fontId="9" fillId="0" borderId="35" xfId="1" applyNumberFormat="1" applyFont="1" applyFill="1" applyBorder="1"/>
    <xf numFmtId="3" fontId="8" fillId="0" borderId="36" xfId="0" applyNumberFormat="1" applyFont="1" applyBorder="1">
      <alignment vertical="top"/>
    </xf>
    <xf numFmtId="3" fontId="10" fillId="0" borderId="35" xfId="1" applyNumberFormat="1" applyFont="1" applyFill="1" applyBorder="1" applyAlignment="1"/>
    <xf numFmtId="3" fontId="10" fillId="0" borderId="36" xfId="1" applyNumberFormat="1" applyFont="1" applyFill="1" applyBorder="1" applyAlignment="1"/>
    <xf numFmtId="3" fontId="10" fillId="0" borderId="39" xfId="1" applyNumberFormat="1" applyFont="1" applyFill="1" applyBorder="1" applyAlignment="1"/>
    <xf numFmtId="3" fontId="10" fillId="0" borderId="40" xfId="1" applyNumberFormat="1" applyFont="1" applyFill="1" applyBorder="1" applyAlignment="1"/>
    <xf numFmtId="4" fontId="8" fillId="0" borderId="40" xfId="1" applyNumberFormat="1" applyFont="1" applyFill="1" applyBorder="1"/>
    <xf numFmtId="3" fontId="10" fillId="0" borderId="41" xfId="1" applyNumberFormat="1" applyFont="1" applyFill="1" applyBorder="1" applyAlignment="1"/>
    <xf numFmtId="3" fontId="8" fillId="0" borderId="35" xfId="1" applyNumberFormat="1" applyFont="1" applyBorder="1"/>
    <xf numFmtId="3" fontId="8" fillId="0" borderId="35" xfId="1" applyNumberFormat="1" applyFont="1" applyFill="1" applyBorder="1"/>
    <xf numFmtId="3" fontId="8" fillId="0" borderId="36" xfId="1" applyNumberFormat="1" applyFont="1" applyFill="1" applyBorder="1"/>
    <xf numFmtId="3" fontId="8" fillId="0" borderId="35" xfId="1" applyNumberFormat="1" applyFont="1" applyFill="1" applyBorder="1" applyAlignment="1">
      <alignment horizontal="right"/>
    </xf>
    <xf numFmtId="3" fontId="8" fillId="0" borderId="35" xfId="0" applyNumberFormat="1" applyFont="1" applyBorder="1" applyAlignment="1">
      <alignment horizontal="right" vertical="top"/>
    </xf>
    <xf numFmtId="3" fontId="8" fillId="0" borderId="35" xfId="0" applyNumberFormat="1" applyFont="1" applyBorder="1">
      <alignment vertical="top"/>
    </xf>
    <xf numFmtId="3" fontId="8" fillId="0" borderId="35" xfId="1" applyNumberFormat="1" applyFont="1" applyBorder="1" applyAlignment="1"/>
    <xf numFmtId="3" fontId="8" fillId="0" borderId="36" xfId="1" applyNumberFormat="1" applyFont="1" applyBorder="1" applyAlignment="1"/>
    <xf numFmtId="3" fontId="11" fillId="0" borderId="35" xfId="1" applyNumberFormat="1" applyFont="1" applyFill="1" applyBorder="1" applyAlignment="1">
      <alignment horizontal="center"/>
    </xf>
    <xf numFmtId="3" fontId="11" fillId="0" borderId="36" xfId="1" applyNumberFormat="1" applyFont="1" applyFill="1" applyBorder="1" applyAlignment="1">
      <alignment horizontal="center"/>
    </xf>
    <xf numFmtId="3" fontId="9" fillId="3" borderId="35" xfId="1" applyFont="1" applyFill="1" applyBorder="1" applyAlignment="1">
      <alignment horizontal="center"/>
    </xf>
    <xf numFmtId="3" fontId="9" fillId="0" borderId="35" xfId="1" applyFont="1" applyBorder="1" applyAlignment="1">
      <alignment horizontal="center"/>
    </xf>
    <xf numFmtId="3" fontId="24" fillId="0" borderId="35" xfId="1" applyFont="1" applyBorder="1" applyAlignment="1">
      <alignment horizontal="center"/>
    </xf>
    <xf numFmtId="3" fontId="9" fillId="0" borderId="35" xfId="1" applyFont="1" applyFill="1" applyBorder="1" applyAlignment="1">
      <alignment horizontal="center"/>
    </xf>
    <xf numFmtId="3" fontId="53" fillId="18" borderId="35" xfId="0" applyNumberFormat="1" applyFont="1" applyFill="1" applyBorder="1">
      <alignment vertical="top"/>
    </xf>
    <xf numFmtId="3" fontId="53" fillId="18" borderId="3" xfId="0" applyNumberFormat="1" applyFont="1" applyFill="1" applyBorder="1">
      <alignment vertical="top"/>
    </xf>
    <xf numFmtId="3" fontId="53" fillId="18" borderId="39" xfId="0" applyNumberFormat="1" applyFont="1" applyFill="1" applyBorder="1">
      <alignment vertical="top"/>
    </xf>
    <xf numFmtId="3" fontId="53" fillId="18" borderId="40" xfId="0" applyNumberFormat="1" applyFont="1" applyFill="1" applyBorder="1">
      <alignment vertical="top"/>
    </xf>
    <xf numFmtId="3" fontId="7" fillId="18" borderId="36" xfId="0" applyNumberFormat="1" applyFont="1" applyFill="1" applyBorder="1">
      <alignment vertical="top"/>
    </xf>
    <xf numFmtId="3" fontId="7" fillId="18" borderId="41" xfId="0" applyNumberFormat="1" applyFont="1" applyFill="1" applyBorder="1">
      <alignment vertical="top"/>
    </xf>
    <xf numFmtId="3" fontId="10" fillId="18" borderId="35" xfId="1" applyNumberFormat="1" applyFont="1" applyFill="1" applyBorder="1" applyAlignment="1"/>
    <xf numFmtId="3" fontId="10" fillId="18" borderId="3" xfId="1" applyNumberFormat="1" applyFont="1" applyFill="1" applyBorder="1" applyAlignment="1"/>
    <xf numFmtId="3" fontId="10" fillId="18" borderId="39" xfId="1" applyNumberFormat="1" applyFont="1" applyFill="1" applyBorder="1" applyAlignment="1"/>
    <xf numFmtId="3" fontId="10" fillId="18" borderId="40" xfId="1" applyNumberFormat="1" applyFont="1" applyFill="1" applyBorder="1" applyAlignment="1"/>
    <xf numFmtId="3" fontId="10" fillId="18" borderId="36" xfId="1" applyNumberFormat="1" applyFont="1" applyFill="1" applyBorder="1" applyAlignment="1"/>
    <xf numFmtId="3" fontId="10" fillId="18" borderId="41" xfId="1" applyNumberFormat="1" applyFont="1" applyFill="1" applyBorder="1" applyAlignment="1"/>
    <xf numFmtId="49" fontId="9" fillId="3" borderId="4" xfId="1" applyNumberFormat="1" applyFont="1" applyFill="1" applyBorder="1" applyAlignment="1">
      <alignment horizontal="center"/>
    </xf>
    <xf numFmtId="49" fontId="8" fillId="2" borderId="40" xfId="1" applyNumberFormat="1" applyFont="1" applyFill="1" applyBorder="1" applyAlignment="1">
      <alignment horizontal="center"/>
    </xf>
    <xf numFmtId="3" fontId="9" fillId="3" borderId="32" xfId="1" applyFont="1" applyFill="1" applyBorder="1" applyAlignment="1">
      <alignment horizontal="center"/>
    </xf>
    <xf numFmtId="49" fontId="9" fillId="3" borderId="65" xfId="1" applyNumberFormat="1" applyFont="1" applyFill="1" applyBorder="1" applyAlignment="1">
      <alignment horizontal="center"/>
    </xf>
    <xf numFmtId="3" fontId="9" fillId="3" borderId="32" xfId="1" applyNumberFormat="1" applyFont="1" applyFill="1" applyBorder="1"/>
    <xf numFmtId="3" fontId="9" fillId="3" borderId="33" xfId="1" applyNumberFormat="1" applyFont="1" applyFill="1" applyBorder="1"/>
    <xf numFmtId="4" fontId="8" fillId="3" borderId="33" xfId="1" applyNumberFormat="1" applyFont="1" applyFill="1" applyBorder="1"/>
    <xf numFmtId="3" fontId="9" fillId="3" borderId="34" xfId="1" applyNumberFormat="1" applyFont="1" applyFill="1" applyBorder="1"/>
    <xf numFmtId="169" fontId="8" fillId="0" borderId="3" xfId="1" applyNumberFormat="1" applyFont="1" applyFill="1" applyBorder="1"/>
    <xf numFmtId="3" fontId="10" fillId="0" borderId="35" xfId="1" applyFont="1" applyBorder="1" applyAlignment="1">
      <alignment horizontal="center"/>
    </xf>
    <xf numFmtId="4" fontId="10" fillId="0" borderId="35" xfId="1" applyNumberFormat="1" applyFont="1" applyBorder="1" applyAlignment="1">
      <alignment horizontal="center"/>
    </xf>
    <xf numFmtId="4" fontId="10" fillId="0" borderId="39" xfId="1" applyNumberFormat="1" applyFont="1" applyBorder="1" applyAlignment="1">
      <alignment horizontal="center"/>
    </xf>
    <xf numFmtId="49" fontId="10" fillId="3" borderId="74" xfId="1" applyNumberFormat="1" applyFont="1" applyFill="1" applyBorder="1" applyAlignment="1">
      <alignment horizontal="center"/>
    </xf>
    <xf numFmtId="49" fontId="10" fillId="3" borderId="4" xfId="1" applyNumberFormat="1" applyFont="1" applyFill="1" applyBorder="1" applyAlignment="1">
      <alignment horizontal="center"/>
    </xf>
    <xf numFmtId="4" fontId="10" fillId="3" borderId="4" xfId="1" applyNumberFormat="1" applyFont="1" applyFill="1" applyBorder="1" applyAlignment="1">
      <alignment horizontal="center"/>
    </xf>
    <xf numFmtId="3" fontId="9" fillId="0" borderId="3" xfId="1" applyFont="1" applyBorder="1" applyAlignment="1">
      <alignment horizontal="left"/>
    </xf>
    <xf numFmtId="3" fontId="10" fillId="0" borderId="3" xfId="1" applyFont="1" applyBorder="1" applyAlignment="1">
      <alignment horizontal="left"/>
    </xf>
    <xf numFmtId="3" fontId="24"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4" fontId="16" fillId="0" borderId="8" xfId="0" applyFont="1" applyBorder="1" applyAlignment="1">
      <alignment horizontal="left" vertical="center" wrapText="1"/>
    </xf>
    <xf numFmtId="4" fontId="16" fillId="0" borderId="20" xfId="0" applyFont="1" applyBorder="1" applyAlignment="1">
      <alignment horizontal="left" vertical="center" wrapText="1"/>
    </xf>
    <xf numFmtId="4" fontId="16" fillId="0" borderId="14" xfId="0" applyFont="1" applyBorder="1" applyAlignment="1">
      <alignment horizontal="left" vertical="center" wrapText="1"/>
    </xf>
    <xf numFmtId="4" fontId="15" fillId="5" borderId="0" xfId="0" applyFont="1" applyFill="1" applyAlignment="1">
      <alignment horizontal="left"/>
    </xf>
    <xf numFmtId="4" fontId="12" fillId="5" borderId="0" xfId="0" applyFont="1" applyFill="1" applyAlignment="1">
      <alignment horizontal="left"/>
    </xf>
    <xf numFmtId="4" fontId="17" fillId="3" borderId="3" xfId="0" applyNumberFormat="1" applyFont="1" applyFill="1" applyBorder="1" applyAlignment="1">
      <alignment horizontal="center"/>
    </xf>
    <xf numFmtId="4" fontId="17" fillId="3" borderId="3" xfId="0" applyFont="1" applyFill="1" applyBorder="1" applyAlignment="1">
      <alignment horizontal="center"/>
    </xf>
    <xf numFmtId="4" fontId="19" fillId="0" borderId="100" xfId="0" applyFont="1" applyBorder="1" applyAlignment="1">
      <alignment horizontal="left" vertical="center" wrapText="1"/>
    </xf>
    <xf numFmtId="4" fontId="19" fillId="0" borderId="61" xfId="0" applyFont="1" applyBorder="1" applyAlignment="1">
      <alignment horizontal="left" vertical="center" wrapText="1"/>
    </xf>
    <xf numFmtId="4" fontId="19" fillId="0" borderId="55" xfId="0" applyFont="1" applyBorder="1" applyAlignment="1">
      <alignment horizontal="left" vertical="center" wrapText="1"/>
    </xf>
    <xf numFmtId="4" fontId="15" fillId="2" borderId="3" xfId="0" applyFont="1" applyFill="1" applyBorder="1" applyAlignment="1">
      <alignment horizontal="left" vertical="center"/>
    </xf>
    <xf numFmtId="4" fontId="0" fillId="0" borderId="0" xfId="0" applyAlignment="1">
      <alignment horizontal="center" vertical="top"/>
    </xf>
    <xf numFmtId="4" fontId="14" fillId="0" borderId="0" xfId="0" applyFont="1" applyAlignment="1"/>
    <xf numFmtId="4" fontId="0" fillId="0" borderId="102" xfId="0" applyBorder="1" applyAlignment="1">
      <alignment horizontal="left" vertical="center" wrapText="1"/>
    </xf>
    <xf numFmtId="4" fontId="32" fillId="0" borderId="3" xfId="0" applyFont="1" applyBorder="1" applyAlignment="1">
      <alignment horizontal="left" vertical="center" wrapText="1"/>
    </xf>
    <xf numFmtId="4" fontId="0" fillId="0" borderId="0" xfId="0" applyFont="1" applyAlignment="1"/>
    <xf numFmtId="4" fontId="15" fillId="0" borderId="0" xfId="0" applyFont="1" applyAlignment="1"/>
    <xf numFmtId="4" fontId="17" fillId="0" borderId="0" xfId="0" applyFont="1" applyAlignment="1">
      <alignment horizontal="center"/>
    </xf>
    <xf numFmtId="4" fontId="59" fillId="0" borderId="0" xfId="0" applyFont="1" applyAlignment="1"/>
    <xf numFmtId="4" fontId="17" fillId="0" borderId="0" xfId="0" applyFont="1" applyFill="1" applyAlignment="1">
      <alignment horizontal="center"/>
    </xf>
    <xf numFmtId="1" fontId="22" fillId="8" borderId="15" xfId="0" applyNumberFormat="1" applyFont="1" applyFill="1" applyBorder="1" applyAlignment="1">
      <alignment horizontal="right" vertical="center"/>
    </xf>
    <xf numFmtId="43" fontId="22" fillId="8" borderId="24" xfId="0" applyNumberFormat="1" applyFont="1" applyFill="1" applyBorder="1" applyAlignment="1">
      <alignment horizontal="right" vertical="center"/>
    </xf>
    <xf numFmtId="43" fontId="22" fillId="8" borderId="24" xfId="0" applyNumberFormat="1" applyFont="1" applyFill="1" applyBorder="1" applyAlignment="1">
      <alignment horizontal="left" vertical="center"/>
    </xf>
    <xf numFmtId="14" fontId="22" fillId="8" borderId="59" xfId="0" applyNumberFormat="1" applyFont="1" applyFill="1" applyBorder="1" applyAlignment="1">
      <alignment horizontal="left" vertical="center"/>
    </xf>
    <xf numFmtId="0" fontId="22" fillId="8" borderId="22" xfId="0" applyNumberFormat="1" applyFont="1" applyFill="1" applyBorder="1" applyAlignment="1">
      <alignment horizontal="left" vertical="center"/>
    </xf>
    <xf numFmtId="1" fontId="22" fillId="8" borderId="2" xfId="0" applyNumberFormat="1" applyFont="1" applyFill="1" applyBorder="1" applyAlignment="1">
      <alignment horizontal="right" vertical="center"/>
    </xf>
    <xf numFmtId="43" fontId="22" fillId="8" borderId="29" xfId="0" applyNumberFormat="1" applyFont="1" applyFill="1" applyBorder="1" applyAlignment="1">
      <alignment horizontal="right" vertical="center"/>
    </xf>
    <xf numFmtId="4" fontId="22" fillId="8" borderId="13" xfId="0" applyNumberFormat="1" applyFont="1" applyFill="1" applyBorder="1" applyAlignment="1">
      <alignment horizontal="right" vertical="center"/>
    </xf>
    <xf numFmtId="170" fontId="22" fillId="8" borderId="14" xfId="0" applyNumberFormat="1" applyFont="1" applyFill="1" applyBorder="1" applyAlignment="1">
      <alignment horizontal="center" vertical="center"/>
    </xf>
    <xf numFmtId="43" fontId="22" fillId="8" borderId="14" xfId="0" applyNumberFormat="1" applyFont="1" applyFill="1" applyBorder="1" applyAlignment="1">
      <alignment horizontal="left" vertical="center"/>
    </xf>
    <xf numFmtId="14" fontId="22" fillId="8" borderId="8" xfId="0" applyNumberFormat="1" applyFont="1" applyFill="1" applyBorder="1" applyAlignment="1">
      <alignment horizontal="left" vertical="center"/>
    </xf>
    <xf numFmtId="1" fontId="22" fillId="8" borderId="14" xfId="0" applyNumberFormat="1" applyFont="1" applyFill="1" applyBorder="1" applyAlignment="1">
      <alignment horizontal="right" vertical="center"/>
    </xf>
    <xf numFmtId="14" fontId="22" fillId="8" borderId="53" xfId="0" applyNumberFormat="1" applyFont="1" applyFill="1" applyBorder="1" applyAlignment="1">
      <alignment horizontal="left" vertical="center"/>
    </xf>
    <xf numFmtId="4" fontId="22" fillId="8" borderId="2" xfId="0" applyNumberFormat="1" applyFont="1" applyFill="1" applyBorder="1" applyAlignment="1">
      <alignment horizontal="right" vertical="center"/>
    </xf>
    <xf numFmtId="14" fontId="22" fillId="8" borderId="110" xfId="0" applyNumberFormat="1" applyFont="1" applyFill="1" applyBorder="1" applyAlignment="1">
      <alignment horizontal="left" vertical="center"/>
    </xf>
    <xf numFmtId="4" fontId="22" fillId="8" borderId="63" xfId="0" applyFont="1" applyFill="1" applyBorder="1" applyAlignment="1">
      <alignment horizontal="left" vertical="center"/>
    </xf>
    <xf numFmtId="4" fontId="0" fillId="0" borderId="14" xfId="0" applyBorder="1" applyAlignment="1">
      <alignment horizontal="left" vertical="center"/>
    </xf>
    <xf numFmtId="3" fontId="22" fillId="8" borderId="2" xfId="0" applyNumberFormat="1" applyFont="1" applyFill="1" applyBorder="1" applyAlignment="1">
      <alignment horizontal="right" vertical="center"/>
    </xf>
    <xf numFmtId="14" fontId="22" fillId="8" borderId="60" xfId="0" applyNumberFormat="1" applyFont="1" applyFill="1" applyBorder="1" applyAlignment="1">
      <alignment horizontal="left" vertical="center"/>
    </xf>
    <xf numFmtId="171" fontId="22" fillId="8" borderId="14" xfId="0" applyNumberFormat="1" applyFont="1" applyFill="1" applyBorder="1" applyAlignment="1">
      <alignment horizontal="center" vertical="center"/>
    </xf>
    <xf numFmtId="14" fontId="22" fillId="8" borderId="14" xfId="0" applyNumberFormat="1" applyFont="1" applyFill="1" applyBorder="1" applyAlignment="1">
      <alignment horizontal="left" vertical="center"/>
    </xf>
    <xf numFmtId="14" fontId="22" fillId="8" borderId="114" xfId="0" applyNumberFormat="1" applyFont="1" applyFill="1" applyBorder="1" applyAlignment="1">
      <alignment horizontal="left" vertical="center"/>
    </xf>
    <xf numFmtId="4" fontId="22" fillId="8" borderId="106" xfId="0" applyFont="1" applyFill="1" applyBorder="1" applyAlignment="1">
      <alignment horizontal="left" vertical="center"/>
    </xf>
    <xf numFmtId="4" fontId="0" fillId="0" borderId="107" xfId="0" applyBorder="1" applyAlignment="1">
      <alignment horizontal="left" vertical="center"/>
    </xf>
    <xf numFmtId="14" fontId="22" fillId="8" borderId="104" xfId="0" applyNumberFormat="1" applyFont="1" applyFill="1" applyBorder="1" applyAlignment="1">
      <alignment horizontal="left" vertical="center"/>
    </xf>
    <xf numFmtId="170" fontId="22" fillId="8" borderId="107" xfId="0" applyNumberFormat="1" applyFont="1" applyFill="1" applyBorder="1" applyAlignment="1">
      <alignment horizontal="center" vertical="center"/>
    </xf>
    <xf numFmtId="14" fontId="22" fillId="8" borderId="0" xfId="0" applyNumberFormat="1" applyFont="1" applyFill="1" applyBorder="1" applyAlignment="1">
      <alignment horizontal="left" vertical="center"/>
    </xf>
    <xf numFmtId="43" fontId="22" fillId="8" borderId="60" xfId="0" applyNumberFormat="1" applyFont="1" applyFill="1" applyBorder="1" applyAlignment="1">
      <alignment horizontal="left" vertical="center"/>
    </xf>
    <xf numFmtId="4" fontId="22" fillId="8" borderId="57" xfId="0" applyFont="1" applyFill="1" applyBorder="1" applyAlignment="1">
      <alignment horizontal="left" vertical="center"/>
    </xf>
    <xf numFmtId="4" fontId="0" fillId="0" borderId="19" xfId="0" applyBorder="1" applyAlignment="1">
      <alignment horizontal="left" vertical="center"/>
    </xf>
    <xf numFmtId="3" fontId="8" fillId="0" borderId="0" xfId="1" applyFont="1" applyFill="1" applyBorder="1"/>
    <xf numFmtId="3" fontId="8" fillId="0" borderId="0" xfId="1" applyFont="1" applyFill="1" applyBorder="1" applyAlignment="1">
      <alignment horizontal="center"/>
    </xf>
    <xf numFmtId="49" fontId="8" fillId="0" borderId="0" xfId="1" applyNumberFormat="1" applyFont="1" applyFill="1" applyBorder="1" applyAlignment="1">
      <alignment horizontal="center"/>
    </xf>
    <xf numFmtId="3" fontId="8" fillId="0" borderId="0" xfId="1" applyFont="1" applyFill="1" applyBorder="1" applyAlignment="1"/>
    <xf numFmtId="3" fontId="11" fillId="0" borderId="0" xfId="1" applyFont="1" applyFill="1" applyBorder="1"/>
    <xf numFmtId="4" fontId="11" fillId="0" borderId="0" xfId="1" applyNumberFormat="1" applyFont="1" applyFill="1" applyBorder="1"/>
    <xf numFmtId="4" fontId="8" fillId="0" borderId="0" xfId="0" applyFont="1">
      <alignment vertical="top"/>
    </xf>
    <xf numFmtId="4" fontId="7" fillId="0" borderId="0" xfId="0" applyFont="1">
      <alignment vertical="top"/>
    </xf>
    <xf numFmtId="3" fontId="0" fillId="0" borderId="0" xfId="0" applyNumberFormat="1">
      <alignment vertical="top"/>
    </xf>
    <xf numFmtId="49" fontId="8" fillId="2" borderId="40" xfId="1" applyNumberFormat="1" applyFont="1" applyFill="1" applyBorder="1" applyAlignment="1">
      <alignment horizontal="center" vertical="center"/>
    </xf>
    <xf numFmtId="3" fontId="8" fillId="2" borderId="40" xfId="1" applyNumberFormat="1" applyFont="1" applyFill="1" applyBorder="1" applyAlignment="1">
      <alignment horizontal="center" vertical="center"/>
    </xf>
    <xf numFmtId="49" fontId="9" fillId="3" borderId="36" xfId="1" applyNumberFormat="1" applyFont="1" applyFill="1" applyBorder="1" applyAlignment="1">
      <alignment horizontal="center"/>
    </xf>
    <xf numFmtId="3" fontId="9" fillId="3" borderId="4" xfId="1" applyNumberFormat="1" applyFont="1" applyFill="1" applyBorder="1"/>
    <xf numFmtId="49" fontId="9" fillId="0" borderId="36" xfId="1" applyNumberFormat="1" applyFont="1" applyFill="1" applyBorder="1" applyAlignment="1">
      <alignment horizontal="center"/>
    </xf>
    <xf numFmtId="3" fontId="9" fillId="0" borderId="11" xfId="1" applyNumberFormat="1" applyFont="1" applyBorder="1"/>
    <xf numFmtId="3" fontId="8" fillId="0" borderId="4" xfId="1" applyNumberFormat="1" applyFont="1" applyBorder="1"/>
    <xf numFmtId="3" fontId="9" fillId="0" borderId="11" xfId="1" applyNumberFormat="1" applyFont="1" applyBorder="1" applyAlignment="1">
      <alignment horizontal="right"/>
    </xf>
    <xf numFmtId="3" fontId="9" fillId="3" borderId="11" xfId="1" applyNumberFormat="1" applyFont="1" applyFill="1" applyBorder="1" applyAlignment="1">
      <alignment horizontal="right"/>
    </xf>
    <xf numFmtId="3" fontId="8" fillId="3" borderId="4" xfId="1" applyNumberFormat="1" applyFont="1" applyFill="1" applyBorder="1" applyAlignment="1">
      <alignment horizontal="right"/>
    </xf>
    <xf numFmtId="3" fontId="8" fillId="0" borderId="4" xfId="1" applyNumberFormat="1" applyFont="1" applyFill="1" applyBorder="1"/>
    <xf numFmtId="3" fontId="9" fillId="0" borderId="11" xfId="1" applyNumberFormat="1" applyFont="1" applyBorder="1" applyAlignment="1"/>
    <xf numFmtId="3" fontId="8" fillId="0" borderId="4" xfId="1" applyNumberFormat="1" applyFont="1" applyFill="1" applyBorder="1" applyAlignment="1">
      <alignment horizontal="right"/>
    </xf>
    <xf numFmtId="3" fontId="8" fillId="0" borderId="4" xfId="0" applyNumberFormat="1" applyFont="1" applyBorder="1" applyAlignment="1">
      <alignment horizontal="right" vertical="top"/>
    </xf>
    <xf numFmtId="3" fontId="9" fillId="0" borderId="11" xfId="1" applyNumberFormat="1" applyFont="1" applyFill="1" applyBorder="1"/>
    <xf numFmtId="3" fontId="8" fillId="0" borderId="4" xfId="0" applyNumberFormat="1" applyFont="1" applyBorder="1">
      <alignment vertical="top"/>
    </xf>
    <xf numFmtId="49" fontId="10" fillId="3" borderId="36" xfId="1" applyNumberFormat="1" applyFont="1" applyFill="1" applyBorder="1" applyAlignment="1">
      <alignment horizontal="center"/>
    </xf>
    <xf numFmtId="3" fontId="10" fillId="4" borderId="11" xfId="1" applyNumberFormat="1" applyFont="1" applyFill="1" applyBorder="1" applyAlignment="1">
      <alignment horizontal="right"/>
    </xf>
    <xf numFmtId="3" fontId="10" fillId="4" borderId="4" xfId="1" applyNumberFormat="1" applyFont="1" applyFill="1" applyBorder="1" applyAlignment="1"/>
    <xf numFmtId="4" fontId="10" fillId="3" borderId="36" xfId="1" applyNumberFormat="1" applyFont="1" applyFill="1" applyBorder="1" applyAlignment="1">
      <alignment horizontal="center"/>
    </xf>
    <xf numFmtId="172" fontId="10" fillId="18" borderId="3" xfId="1" applyNumberFormat="1" applyFont="1" applyFill="1" applyBorder="1" applyAlignment="1"/>
    <xf numFmtId="172" fontId="11" fillId="18" borderId="3" xfId="0" applyNumberFormat="1" applyFont="1" applyFill="1" applyBorder="1">
      <alignment vertical="top"/>
    </xf>
    <xf numFmtId="4" fontId="10" fillId="4" borderId="11" xfId="1" applyNumberFormat="1" applyFont="1" applyFill="1" applyBorder="1" applyAlignment="1">
      <alignment horizontal="right"/>
    </xf>
    <xf numFmtId="4" fontId="10" fillId="4" borderId="3" xfId="1" applyNumberFormat="1" applyFont="1" applyFill="1" applyBorder="1" applyAlignment="1">
      <alignment horizontal="right"/>
    </xf>
    <xf numFmtId="1" fontId="10" fillId="18" borderId="115" xfId="1" applyNumberFormat="1" applyFont="1" applyFill="1" applyBorder="1" applyAlignment="1"/>
    <xf numFmtId="1" fontId="10" fillId="18" borderId="3" xfId="1" applyNumberFormat="1" applyFont="1" applyFill="1" applyBorder="1" applyAlignment="1"/>
    <xf numFmtId="3" fontId="11" fillId="18" borderId="10" xfId="0" applyNumberFormat="1" applyFont="1" applyFill="1" applyBorder="1">
      <alignment vertical="top"/>
    </xf>
    <xf numFmtId="1" fontId="10" fillId="4" borderId="51" xfId="1" applyNumberFormat="1" applyFont="1" applyFill="1" applyBorder="1" applyAlignment="1">
      <alignment horizontal="right"/>
    </xf>
    <xf numFmtId="1" fontId="10" fillId="4" borderId="10" xfId="1" applyNumberFormat="1" applyFont="1" applyFill="1" applyBorder="1" applyAlignment="1">
      <alignment horizontal="right"/>
    </xf>
    <xf numFmtId="3" fontId="10" fillId="4" borderId="10" xfId="1" applyNumberFormat="1" applyFont="1" applyFill="1" applyBorder="1" applyAlignment="1">
      <alignment horizontal="right"/>
    </xf>
    <xf numFmtId="2" fontId="8" fillId="3" borderId="10" xfId="1" applyNumberFormat="1" applyFont="1" applyFill="1" applyBorder="1"/>
    <xf numFmtId="3" fontId="10" fillId="4" borderId="50" xfId="1" applyNumberFormat="1" applyFont="1" applyFill="1" applyBorder="1" applyAlignment="1"/>
    <xf numFmtId="3" fontId="10" fillId="4" borderId="115" xfId="1" applyNumberFormat="1" applyFont="1" applyFill="1" applyBorder="1" applyAlignment="1"/>
    <xf numFmtId="3" fontId="10" fillId="4" borderId="10" xfId="1" applyNumberFormat="1" applyFont="1" applyFill="1" applyBorder="1" applyAlignment="1"/>
    <xf numFmtId="4" fontId="8" fillId="3" borderId="10" xfId="1" applyNumberFormat="1" applyFont="1" applyFill="1" applyBorder="1"/>
    <xf numFmtId="3" fontId="10" fillId="4" borderId="37" xfId="1" applyNumberFormat="1" applyFont="1" applyFill="1" applyBorder="1" applyAlignment="1"/>
    <xf numFmtId="49" fontId="10" fillId="3" borderId="41" xfId="1" applyNumberFormat="1" applyFont="1" applyFill="1" applyBorder="1" applyAlignment="1">
      <alignment horizontal="center"/>
    </xf>
    <xf numFmtId="3" fontId="10" fillId="18" borderId="72" xfId="1" applyNumberFormat="1" applyFont="1" applyFill="1" applyBorder="1" applyAlignment="1"/>
    <xf numFmtId="3" fontId="10" fillId="4" borderId="155" xfId="1" applyNumberFormat="1" applyFont="1" applyFill="1" applyBorder="1" applyAlignment="1">
      <alignment horizontal="right"/>
    </xf>
    <xf numFmtId="3" fontId="10" fillId="4" borderId="40" xfId="1" applyNumberFormat="1" applyFont="1" applyFill="1" applyBorder="1" applyAlignment="1">
      <alignment horizontal="right"/>
    </xf>
    <xf numFmtId="3" fontId="10" fillId="4" borderId="74" xfId="1" applyNumberFormat="1" applyFont="1" applyFill="1" applyBorder="1" applyAlignment="1"/>
    <xf numFmtId="4" fontId="15" fillId="2" borderId="3" xfId="0" applyNumberFormat="1" applyFont="1" applyFill="1" applyBorder="1" applyAlignment="1">
      <alignment horizontal="right" vertical="center"/>
    </xf>
    <xf numFmtId="4" fontId="15" fillId="2" borderId="6" xfId="0" applyNumberFormat="1" applyFont="1" applyFill="1" applyBorder="1" applyAlignment="1">
      <alignment horizontal="right" vertical="center"/>
    </xf>
    <xf numFmtId="4" fontId="15" fillId="2" borderId="2" xfId="0" applyNumberFormat="1" applyFont="1" applyFill="1" applyBorder="1" applyAlignment="1">
      <alignment horizontal="right" vertical="center"/>
    </xf>
    <xf numFmtId="4" fontId="13" fillId="0" borderId="6" xfId="0" applyNumberFormat="1" applyFont="1" applyBorder="1" applyAlignment="1">
      <alignment horizontal="right" vertical="center" wrapText="1"/>
    </xf>
    <xf numFmtId="4" fontId="13" fillId="0" borderId="2" xfId="0" applyNumberFormat="1" applyFont="1" applyBorder="1" applyAlignment="1">
      <alignment vertical="center"/>
    </xf>
    <xf numFmtId="4" fontId="13" fillId="0" borderId="2" xfId="0" applyNumberFormat="1" applyFont="1" applyBorder="1" applyAlignment="1">
      <alignment horizontal="right" vertical="center" wrapText="1"/>
    </xf>
    <xf numFmtId="4" fontId="13" fillId="0" borderId="15" xfId="0" applyFont="1" applyBorder="1" applyAlignment="1">
      <alignment horizontal="left" vertical="center" wrapText="1"/>
    </xf>
    <xf numFmtId="0" fontId="16" fillId="0" borderId="15" xfId="0" applyNumberFormat="1" applyFont="1" applyBorder="1" applyAlignment="1">
      <alignment vertical="center"/>
    </xf>
    <xf numFmtId="4" fontId="13" fillId="0" borderId="2" xfId="0" applyFont="1" applyBorder="1" applyAlignment="1">
      <alignment horizontal="center" vertical="center" wrapText="1"/>
    </xf>
    <xf numFmtId="4" fontId="60" fillId="0" borderId="2" xfId="0" applyNumberFormat="1" applyFont="1" applyBorder="1" applyAlignment="1">
      <alignment horizontal="right" vertical="center" wrapText="1"/>
    </xf>
    <xf numFmtId="49" fontId="13" fillId="0" borderId="2" xfId="0" applyNumberFormat="1" applyFont="1" applyBorder="1" applyAlignment="1">
      <alignment horizontal="center" vertical="center" wrapText="1"/>
    </xf>
    <xf numFmtId="49" fontId="13" fillId="0" borderId="64" xfId="0" applyNumberFormat="1" applyFont="1" applyBorder="1" applyAlignment="1">
      <alignment horizontal="center" vertical="center" wrapText="1"/>
    </xf>
    <xf numFmtId="4" fontId="13" fillId="0" borderId="13" xfId="0" applyFont="1" applyBorder="1" applyAlignment="1">
      <alignment horizontal="center" vertical="center" wrapText="1"/>
    </xf>
    <xf numFmtId="4" fontId="13" fillId="0" borderId="6" xfId="0" applyFont="1" applyBorder="1" applyAlignment="1">
      <alignment horizontal="center" vertical="center" wrapText="1"/>
    </xf>
    <xf numFmtId="4" fontId="61" fillId="0" borderId="13" xfId="0" applyNumberFormat="1" applyFont="1" applyBorder="1" applyAlignment="1">
      <alignment horizontal="right" vertical="center" wrapText="1"/>
    </xf>
    <xf numFmtId="4" fontId="61" fillId="0" borderId="2" xfId="0" applyNumberFormat="1" applyFont="1" applyBorder="1" applyAlignment="1">
      <alignment horizontal="right" vertical="center" wrapText="1"/>
    </xf>
    <xf numFmtId="4" fontId="61" fillId="0" borderId="6" xfId="0" applyNumberFormat="1" applyFont="1" applyBorder="1" applyAlignment="1">
      <alignment horizontal="right" vertical="center" wrapText="1"/>
    </xf>
    <xf numFmtId="49" fontId="13" fillId="0" borderId="6" xfId="0" applyNumberFormat="1" applyFont="1" applyBorder="1" applyAlignment="1">
      <alignment horizontal="center" vertical="center" wrapText="1"/>
    </xf>
    <xf numFmtId="3" fontId="10" fillId="4" borderId="35" xfId="1" applyNumberFormat="1" applyFont="1" applyFill="1" applyBorder="1" applyAlignment="1">
      <alignment horizontal="right"/>
    </xf>
    <xf numFmtId="4" fontId="10" fillId="4" borderId="35" xfId="1" applyNumberFormat="1" applyFont="1" applyFill="1" applyBorder="1" applyAlignment="1">
      <alignment horizontal="right"/>
    </xf>
    <xf numFmtId="1" fontId="10" fillId="18" borderId="51" xfId="1" applyNumberFormat="1" applyFont="1" applyFill="1" applyBorder="1" applyAlignment="1"/>
    <xf numFmtId="1" fontId="11" fillId="18" borderId="10" xfId="0" applyNumberFormat="1" applyFont="1" applyFill="1" applyBorder="1">
      <alignment vertical="top"/>
    </xf>
    <xf numFmtId="1" fontId="10" fillId="4" borderId="115" xfId="1" applyNumberFormat="1" applyFont="1" applyFill="1" applyBorder="1" applyAlignment="1">
      <alignment horizontal="right"/>
    </xf>
    <xf numFmtId="4" fontId="10" fillId="4" borderId="37" xfId="1" applyNumberFormat="1" applyFont="1" applyFill="1" applyBorder="1" applyAlignment="1"/>
    <xf numFmtId="3" fontId="10" fillId="18" borderId="155" xfId="1" applyNumberFormat="1" applyFont="1" applyFill="1" applyBorder="1" applyAlignment="1"/>
    <xf numFmtId="3" fontId="10" fillId="4" borderId="39" xfId="1" applyNumberFormat="1" applyFont="1" applyFill="1" applyBorder="1" applyAlignment="1">
      <alignment horizontal="right"/>
    </xf>
    <xf numFmtId="3" fontId="10" fillId="18" borderId="119" xfId="1" applyNumberFormat="1" applyFont="1" applyFill="1" applyBorder="1" applyAlignment="1"/>
    <xf numFmtId="4" fontId="13" fillId="0" borderId="13" xfId="0" applyNumberFormat="1" applyFont="1" applyBorder="1" applyAlignment="1">
      <alignment horizontal="right" vertical="center" wrapText="1"/>
    </xf>
    <xf numFmtId="49" fontId="13" fillId="0" borderId="70" xfId="0" applyNumberFormat="1" applyFont="1" applyBorder="1" applyAlignment="1">
      <alignment horizontal="center" vertical="center" wrapText="1"/>
    </xf>
    <xf numFmtId="4" fontId="16" fillId="0" borderId="53" xfId="0" applyFont="1" applyBorder="1" applyAlignment="1"/>
    <xf numFmtId="49" fontId="13" fillId="0" borderId="42" xfId="0" applyNumberFormat="1" applyFont="1" applyBorder="1" applyAlignment="1">
      <alignment horizontal="center" vertical="center" wrapText="1"/>
    </xf>
    <xf numFmtId="4" fontId="61" fillId="0" borderId="42" xfId="0" applyNumberFormat="1" applyFont="1" applyBorder="1" applyAlignment="1">
      <alignment horizontal="right" vertical="center" wrapText="1"/>
    </xf>
    <xf numFmtId="49" fontId="13" fillId="0" borderId="68" xfId="0" applyNumberFormat="1" applyFont="1" applyBorder="1" applyAlignment="1">
      <alignment horizontal="center" vertical="center" wrapText="1"/>
    </xf>
    <xf numFmtId="4" fontId="13" fillId="0" borderId="0" xfId="0" applyFont="1" applyBorder="1" applyAlignment="1">
      <alignment horizontal="left" vertical="center" wrapText="1"/>
    </xf>
    <xf numFmtId="49" fontId="13" fillId="0" borderId="0" xfId="0" applyNumberFormat="1" applyFont="1" applyBorder="1" applyAlignment="1">
      <alignment horizontal="center" vertical="center" wrapText="1"/>
    </xf>
    <xf numFmtId="4" fontId="61" fillId="0" borderId="0" xfId="0" applyNumberFormat="1" applyFont="1" applyBorder="1" applyAlignment="1">
      <alignment horizontal="right" vertical="center" wrapText="1"/>
    </xf>
    <xf numFmtId="4" fontId="62" fillId="0" borderId="0" xfId="0" applyFont="1" applyAlignment="1"/>
    <xf numFmtId="4" fontId="42" fillId="0" borderId="45" xfId="0" applyFont="1" applyBorder="1" applyAlignment="1">
      <alignment vertical="center"/>
    </xf>
    <xf numFmtId="4" fontId="18" fillId="0" borderId="6" xfId="0" applyNumberFormat="1" applyFont="1" applyBorder="1" applyAlignment="1">
      <alignment vertical="center"/>
    </xf>
    <xf numFmtId="0" fontId="18" fillId="0" borderId="1" xfId="0" applyNumberFormat="1" applyFont="1" applyBorder="1" applyAlignment="1">
      <alignment vertical="center"/>
    </xf>
    <xf numFmtId="4" fontId="38" fillId="9" borderId="3" xfId="0" applyFont="1" applyFill="1" applyBorder="1" applyAlignment="1">
      <alignment horizontal="center" vertical="center" wrapText="1"/>
    </xf>
    <xf numFmtId="4" fontId="43" fillId="0" borderId="0" xfId="0" applyFont="1" applyAlignment="1"/>
    <xf numFmtId="4" fontId="39" fillId="0" borderId="1" xfId="0" applyFont="1" applyBorder="1" applyAlignment="1">
      <alignment horizontal="center" vertical="center" wrapText="1"/>
    </xf>
    <xf numFmtId="4" fontId="39" fillId="0" borderId="6" xfId="0" applyNumberFormat="1" applyFont="1" applyBorder="1" applyAlignment="1">
      <alignment horizontal="center" vertical="center" wrapText="1"/>
    </xf>
    <xf numFmtId="14" fontId="39" fillId="0" borderId="6" xfId="0" applyNumberFormat="1" applyFont="1" applyBorder="1" applyAlignment="1">
      <alignment horizontal="center" vertical="center" wrapText="1"/>
    </xf>
    <xf numFmtId="4" fontId="44" fillId="0" borderId="0" xfId="0" applyFont="1" applyAlignment="1"/>
    <xf numFmtId="4" fontId="39" fillId="0" borderId="13" xfId="0" applyFont="1" applyBorder="1" applyAlignment="1">
      <alignment horizontal="center" vertical="center" wrapText="1"/>
    </xf>
    <xf numFmtId="4" fontId="39" fillId="0" borderId="13" xfId="0" applyNumberFormat="1" applyFont="1" applyBorder="1" applyAlignment="1">
      <alignment horizontal="center" vertical="center" wrapText="1"/>
    </xf>
    <xf numFmtId="14" fontId="39" fillId="0" borderId="13" xfId="0" applyNumberFormat="1" applyFont="1" applyBorder="1" applyAlignment="1">
      <alignment horizontal="center" vertical="center" wrapText="1"/>
    </xf>
    <xf numFmtId="4"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14" fontId="45" fillId="0" borderId="2" xfId="0" applyNumberFormat="1" applyFont="1" applyBorder="1" applyAlignment="1">
      <alignment horizontal="center" vertical="center" wrapText="1"/>
    </xf>
    <xf numFmtId="4" fontId="39" fillId="0" borderId="2" xfId="0" applyFont="1" applyBorder="1" applyAlignment="1">
      <alignment horizontal="center" vertical="center" wrapText="1"/>
    </xf>
    <xf numFmtId="4" fontId="39" fillId="0" borderId="2" xfId="0" applyNumberFormat="1" applyFont="1" applyBorder="1" applyAlignment="1">
      <alignment horizontal="center" vertical="center" wrapText="1"/>
    </xf>
    <xf numFmtId="14" fontId="39" fillId="0" borderId="2" xfId="0" applyNumberFormat="1" applyFont="1" applyBorder="1" applyAlignment="1">
      <alignment horizontal="center" vertical="center" wrapText="1"/>
    </xf>
    <xf numFmtId="4" fontId="44" fillId="0" borderId="0" xfId="0" applyFont="1" applyAlignment="1">
      <alignment vertical="center"/>
    </xf>
    <xf numFmtId="4" fontId="45" fillId="0" borderId="31" xfId="0" applyFont="1" applyBorder="1" applyAlignment="1">
      <alignment horizontal="center" vertical="center" wrapText="1"/>
    </xf>
    <xf numFmtId="4" fontId="45" fillId="0" borderId="31" xfId="0" applyNumberFormat="1" applyFont="1" applyBorder="1" applyAlignment="1">
      <alignment horizontal="center" vertical="center" wrapText="1"/>
    </xf>
    <xf numFmtId="14" fontId="45" fillId="0" borderId="31" xfId="0" applyNumberFormat="1" applyFont="1" applyBorder="1" applyAlignment="1">
      <alignment horizontal="center" vertical="center" wrapText="1"/>
    </xf>
    <xf numFmtId="4" fontId="45" fillId="15" borderId="3" xfId="0" applyFont="1" applyFill="1" applyBorder="1" applyAlignment="1">
      <alignment vertical="center" wrapText="1"/>
    </xf>
    <xf numFmtId="4" fontId="45" fillId="9" borderId="3" xfId="0" applyNumberFormat="1" applyFont="1" applyFill="1" applyBorder="1" applyAlignment="1">
      <alignment horizontal="right" vertical="center" wrapText="1"/>
    </xf>
    <xf numFmtId="4" fontId="16" fillId="0" borderId="28" xfId="0" applyFont="1" applyBorder="1" applyAlignment="1"/>
    <xf numFmtId="4" fontId="16" fillId="0" borderId="28" xfId="0" applyNumberFormat="1" applyFont="1" applyBorder="1" applyAlignment="1"/>
    <xf numFmtId="3" fontId="13" fillId="0" borderId="3" xfId="0" applyNumberFormat="1" applyFont="1" applyBorder="1" applyAlignment="1">
      <alignment vertical="center" wrapText="1"/>
    </xf>
    <xf numFmtId="43" fontId="13" fillId="0" borderId="3" xfId="4" applyFont="1" applyBorder="1" applyAlignment="1">
      <alignment horizontal="left" vertical="center" wrapText="1"/>
    </xf>
    <xf numFmtId="4" fontId="13" fillId="0" borderId="3" xfId="0" applyFont="1" applyBorder="1" applyAlignment="1">
      <alignment horizontal="center" vertical="center" wrapText="1"/>
    </xf>
    <xf numFmtId="4" fontId="5" fillId="0" borderId="3" xfId="0" applyFont="1" applyBorder="1" applyAlignment="1">
      <alignment vertical="center" wrapText="1"/>
    </xf>
    <xf numFmtId="4" fontId="5" fillId="0" borderId="3" xfId="0" applyFont="1" applyBorder="1" applyAlignment="1">
      <alignment horizontal="center" vertical="center" wrapText="1"/>
    </xf>
    <xf numFmtId="4" fontId="13" fillId="0" borderId="3" xfId="0" applyFont="1" applyBorder="1" applyAlignment="1">
      <alignment horizontal="left" vertical="center" wrapText="1"/>
    </xf>
    <xf numFmtId="43" fontId="13" fillId="0" borderId="3" xfId="4" applyFont="1" applyBorder="1" applyAlignment="1">
      <alignment horizontal="center" vertical="center" wrapText="1"/>
    </xf>
    <xf numFmtId="14" fontId="5" fillId="0" borderId="3" xfId="0" applyNumberFormat="1" applyFont="1" applyBorder="1" applyAlignment="1">
      <alignment horizontal="center" vertical="center" wrapText="1"/>
    </xf>
    <xf numFmtId="4" fontId="13" fillId="0" borderId="3" xfId="0" applyFont="1" applyBorder="1" applyAlignment="1">
      <alignment vertical="center" wrapText="1"/>
    </xf>
    <xf numFmtId="43" fontId="76" fillId="8" borderId="3" xfId="0" applyNumberFormat="1" applyFont="1" applyFill="1" applyBorder="1" applyAlignment="1">
      <alignment horizontal="left" vertical="center"/>
    </xf>
    <xf numFmtId="4" fontId="31" fillId="0" borderId="2" xfId="0" applyFont="1" applyBorder="1" applyAlignment="1">
      <alignment horizontal="center" vertical="center" wrapText="1"/>
    </xf>
    <xf numFmtId="4" fontId="31" fillId="0" borderId="2" xfId="0" applyFont="1" applyBorder="1" applyAlignment="1">
      <alignment horizontal="left" vertical="center" wrapText="1"/>
    </xf>
    <xf numFmtId="4" fontId="31" fillId="0" borderId="2" xfId="0" applyNumberFormat="1" applyFont="1" applyBorder="1" applyAlignment="1">
      <alignment horizontal="right" vertical="center" wrapText="1"/>
    </xf>
    <xf numFmtId="14" fontId="33" fillId="0" borderId="2" xfId="0" applyNumberFormat="1" applyFont="1" applyBorder="1" applyAlignment="1">
      <alignment horizontal="center" vertical="center" wrapText="1"/>
    </xf>
    <xf numFmtId="14" fontId="33" fillId="0" borderId="64" xfId="0" applyNumberFormat="1" applyFont="1" applyBorder="1" applyAlignment="1">
      <alignment horizontal="center" vertical="center" wrapText="1"/>
    </xf>
    <xf numFmtId="4" fontId="33" fillId="0" borderId="2" xfId="0" applyFont="1" applyBorder="1" applyAlignment="1">
      <alignment horizontal="center" vertical="center" wrapText="1"/>
    </xf>
    <xf numFmtId="4" fontId="45" fillId="7" borderId="5" xfId="0" applyFont="1" applyFill="1" applyBorder="1" applyAlignment="1">
      <alignment vertical="center" wrapText="1"/>
    </xf>
    <xf numFmtId="4" fontId="38" fillId="9" borderId="5" xfId="0" applyNumberFormat="1" applyFont="1" applyFill="1" applyBorder="1" applyAlignment="1">
      <alignment horizontal="right" vertical="center" wrapText="1"/>
    </xf>
    <xf numFmtId="4" fontId="27" fillId="0" borderId="1" xfId="0" applyFont="1" applyFill="1" applyBorder="1" applyAlignment="1">
      <alignment horizontal="center" vertical="center" wrapText="1"/>
    </xf>
    <xf numFmtId="4" fontId="28" fillId="0" borderId="1" xfId="0" applyNumberFormat="1" applyFont="1" applyFill="1" applyBorder="1" applyAlignment="1">
      <alignment horizontal="right" vertical="center" wrapText="1"/>
    </xf>
    <xf numFmtId="4" fontId="28" fillId="0" borderId="2" xfId="0" applyNumberFormat="1" applyFont="1" applyFill="1" applyBorder="1" applyAlignment="1">
      <alignment horizontal="right" vertical="center" wrapText="1"/>
    </xf>
    <xf numFmtId="14" fontId="27" fillId="0" borderId="15" xfId="0" applyNumberFormat="1" applyFont="1" applyFill="1" applyBorder="1" applyAlignment="1">
      <alignment horizontal="right" vertical="center" wrapText="1"/>
    </xf>
    <xf numFmtId="14" fontId="27" fillId="0" borderId="66" xfId="0" applyNumberFormat="1" applyFont="1" applyFill="1" applyBorder="1" applyAlignment="1">
      <alignment horizontal="right" vertical="center" wrapText="1"/>
    </xf>
    <xf numFmtId="4" fontId="27" fillId="0" borderId="2" xfId="0" applyFont="1" applyFill="1" applyBorder="1" applyAlignment="1">
      <alignment horizontal="center" vertical="center" wrapText="1"/>
    </xf>
    <xf numFmtId="4" fontId="28" fillId="0" borderId="18" xfId="0" applyNumberFormat="1" applyFont="1" applyFill="1" applyBorder="1" applyAlignment="1">
      <alignment horizontal="right" vertical="center" wrapText="1"/>
    </xf>
    <xf numFmtId="14" fontId="27" fillId="0" borderId="2" xfId="0" applyNumberFormat="1" applyFont="1" applyFill="1" applyBorder="1" applyAlignment="1">
      <alignment horizontal="right" vertical="center" wrapText="1"/>
    </xf>
    <xf numFmtId="14" fontId="27" fillId="0" borderId="70" xfId="0" applyNumberFormat="1" applyFont="1" applyFill="1" applyBorder="1" applyAlignment="1">
      <alignment horizontal="right" vertical="center" wrapText="1"/>
    </xf>
    <xf numFmtId="14" fontId="27" fillId="0" borderId="64" xfId="0" applyNumberFormat="1" applyFont="1" applyFill="1" applyBorder="1" applyAlignment="1">
      <alignment horizontal="right" vertical="center" wrapText="1"/>
    </xf>
    <xf numFmtId="14" fontId="27" fillId="0" borderId="14" xfId="0" applyNumberFormat="1" applyFont="1" applyBorder="1" applyAlignment="1">
      <alignment horizontal="right" vertical="center" wrapText="1"/>
    </xf>
    <xf numFmtId="14" fontId="27" fillId="0" borderId="64" xfId="0" applyNumberFormat="1" applyFont="1" applyBorder="1" applyAlignment="1">
      <alignment horizontal="right" vertical="center" wrapText="1"/>
    </xf>
    <xf numFmtId="4" fontId="28" fillId="0" borderId="8" xfId="0" applyNumberFormat="1" applyFont="1" applyFill="1" applyBorder="1" applyAlignment="1">
      <alignment horizontal="right" vertical="center" wrapText="1"/>
    </xf>
    <xf numFmtId="4" fontId="28" fillId="0" borderId="0" xfId="0" applyNumberFormat="1" applyFont="1" applyFill="1" applyBorder="1" applyAlignment="1">
      <alignment horizontal="right" vertical="center" wrapText="1"/>
    </xf>
    <xf numFmtId="4" fontId="28" fillId="0" borderId="2" xfId="0" applyNumberFormat="1" applyFont="1" applyBorder="1" applyAlignment="1">
      <alignment horizontal="right" vertical="center" wrapText="1"/>
    </xf>
    <xf numFmtId="49" fontId="27" fillId="0" borderId="2" xfId="0" applyNumberFormat="1" applyFont="1" applyBorder="1" applyAlignment="1">
      <alignment horizontal="center" vertical="center" wrapText="1"/>
    </xf>
    <xf numFmtId="14" fontId="27" fillId="0" borderId="2" xfId="0" applyNumberFormat="1" applyFont="1" applyBorder="1" applyAlignment="1">
      <alignment horizontal="right" vertical="center" wrapText="1"/>
    </xf>
    <xf numFmtId="4" fontId="44" fillId="0" borderId="6" xfId="0" applyNumberFormat="1" applyFont="1" applyFill="1" applyBorder="1" applyAlignment="1">
      <alignment horizontal="right" vertical="center" wrapText="1"/>
    </xf>
    <xf numFmtId="4" fontId="44" fillId="0" borderId="2" xfId="0" applyNumberFormat="1" applyFont="1" applyFill="1" applyBorder="1" applyAlignment="1">
      <alignment horizontal="right" vertical="center" wrapText="1"/>
    </xf>
    <xf numFmtId="4" fontId="44" fillId="4" borderId="2" xfId="0" applyNumberFormat="1" applyFont="1" applyFill="1" applyBorder="1" applyAlignment="1">
      <alignment horizontal="right" vertical="center" wrapText="1"/>
    </xf>
    <xf numFmtId="4" fontId="36" fillId="4" borderId="6" xfId="0" applyFont="1" applyFill="1" applyBorder="1" applyAlignment="1">
      <alignment horizontal="center" vertical="center" wrapText="1"/>
    </xf>
    <xf numFmtId="4" fontId="38" fillId="4" borderId="6" xfId="0" applyNumberFormat="1" applyFont="1" applyFill="1" applyBorder="1" applyAlignment="1">
      <alignment horizontal="right" vertical="center" wrapText="1"/>
    </xf>
    <xf numFmtId="4" fontId="38" fillId="4" borderId="6" xfId="0" applyFont="1" applyFill="1" applyBorder="1" applyAlignment="1">
      <alignment horizontal="right" vertical="center" wrapText="1"/>
    </xf>
    <xf numFmtId="4" fontId="38" fillId="0" borderId="0" xfId="0" applyFont="1" applyFill="1" applyBorder="1" applyAlignment="1">
      <alignment horizontal="center" vertical="center" wrapText="1"/>
    </xf>
    <xf numFmtId="4" fontId="36" fillId="4" borderId="42" xfId="0" applyFont="1" applyFill="1" applyBorder="1" applyAlignment="1">
      <alignment horizontal="center" vertical="center" wrapText="1"/>
    </xf>
    <xf numFmtId="4" fontId="38" fillId="4" borderId="42" xfId="0" applyNumberFormat="1" applyFont="1" applyFill="1" applyBorder="1" applyAlignment="1">
      <alignment horizontal="right" vertical="center" wrapText="1"/>
    </xf>
    <xf numFmtId="4" fontId="36" fillId="0" borderId="0" xfId="0" applyNumberFormat="1" applyFont="1" applyAlignment="1"/>
    <xf numFmtId="4" fontId="36" fillId="0" borderId="6" xfId="0" applyFont="1" applyFill="1" applyBorder="1" applyAlignment="1">
      <alignment horizontal="center" vertical="center" wrapText="1"/>
    </xf>
    <xf numFmtId="4" fontId="36" fillId="4" borderId="6" xfId="0" applyNumberFormat="1" applyFont="1" applyFill="1" applyBorder="1" applyAlignment="1">
      <alignment horizontal="center" vertical="center" wrapText="1"/>
    </xf>
    <xf numFmtId="4" fontId="36" fillId="4" borderId="22" xfId="0" applyFont="1" applyFill="1" applyBorder="1" applyAlignment="1">
      <alignment horizontal="center" vertical="center" wrapText="1"/>
    </xf>
    <xf numFmtId="4" fontId="38" fillId="4" borderId="22" xfId="0" applyNumberFormat="1" applyFont="1" applyFill="1" applyBorder="1" applyAlignment="1">
      <alignment horizontal="right" vertical="center" wrapText="1"/>
    </xf>
    <xf numFmtId="4" fontId="38" fillId="0" borderId="6" xfId="0" applyNumberFormat="1" applyFont="1" applyFill="1" applyBorder="1" applyAlignment="1">
      <alignment horizontal="right" vertical="center" wrapText="1"/>
    </xf>
    <xf numFmtId="4" fontId="38" fillId="0" borderId="6" xfId="0" applyFont="1" applyFill="1" applyBorder="1" applyAlignment="1">
      <alignment horizontal="right" vertical="center" wrapText="1"/>
    </xf>
    <xf numFmtId="4" fontId="44" fillId="0" borderId="0" xfId="0" applyNumberFormat="1" applyFont="1" applyAlignment="1"/>
    <xf numFmtId="4" fontId="36" fillId="0" borderId="42" xfId="0" applyFont="1" applyFill="1" applyBorder="1" applyAlignment="1">
      <alignment horizontal="center" vertical="center" wrapText="1"/>
    </xf>
    <xf numFmtId="4" fontId="38" fillId="0" borderId="42" xfId="0" applyNumberFormat="1" applyFont="1" applyFill="1" applyBorder="1" applyAlignment="1">
      <alignment horizontal="right" vertical="center" wrapText="1"/>
    </xf>
    <xf numFmtId="4" fontId="36" fillId="0" borderId="1" xfId="0" applyFont="1" applyFill="1" applyBorder="1" applyAlignment="1">
      <alignment horizontal="center" vertical="center" wrapText="1"/>
    </xf>
    <xf numFmtId="4" fontId="38" fillId="0" borderId="1" xfId="0" applyNumberFormat="1" applyFont="1" applyFill="1" applyBorder="1" applyAlignment="1">
      <alignment horizontal="right" vertical="center" wrapText="1"/>
    </xf>
    <xf numFmtId="4" fontId="38" fillId="0" borderId="1" xfId="0" applyFont="1" applyFill="1" applyBorder="1" applyAlignment="1">
      <alignment horizontal="right" vertical="center" wrapText="1"/>
    </xf>
    <xf numFmtId="1" fontId="44" fillId="0" borderId="0" xfId="0" applyNumberFormat="1" applyFont="1" applyAlignment="1"/>
    <xf numFmtId="4" fontId="36" fillId="0" borderId="0" xfId="0" applyFont="1" applyAlignment="1"/>
    <xf numFmtId="4" fontId="36" fillId="0" borderId="18" xfId="0" applyFont="1" applyFill="1" applyBorder="1" applyAlignment="1">
      <alignment horizontal="center" vertical="center" wrapText="1"/>
    </xf>
    <xf numFmtId="4" fontId="38" fillId="0" borderId="19" xfId="0" applyNumberFormat="1" applyFont="1" applyFill="1" applyBorder="1" applyAlignment="1">
      <alignment horizontal="right" vertical="center" wrapText="1"/>
    </xf>
    <xf numFmtId="4" fontId="36" fillId="0" borderId="31" xfId="0" applyFont="1" applyFill="1" applyBorder="1" applyAlignment="1">
      <alignment horizontal="center" vertical="center" wrapText="1"/>
    </xf>
    <xf numFmtId="4" fontId="38" fillId="0" borderId="31" xfId="0" applyNumberFormat="1" applyFont="1" applyFill="1" applyBorder="1" applyAlignment="1">
      <alignment horizontal="right" vertical="center" wrapText="1"/>
    </xf>
    <xf numFmtId="4" fontId="38" fillId="0" borderId="22" xfId="0" applyNumberFormat="1" applyFont="1" applyFill="1" applyBorder="1" applyAlignment="1">
      <alignment horizontal="right" vertical="center" wrapText="1"/>
    </xf>
    <xf numFmtId="4" fontId="44" fillId="0" borderId="0" xfId="0" applyFont="1" applyFill="1" applyAlignment="1"/>
    <xf numFmtId="4" fontId="38" fillId="15" borderId="3" xfId="0" applyFont="1" applyFill="1" applyBorder="1" applyAlignment="1">
      <alignment vertical="center" wrapText="1"/>
    </xf>
    <xf numFmtId="4" fontId="38" fillId="0" borderId="69" xfId="0" applyNumberFormat="1" applyFont="1" applyFill="1" applyBorder="1" applyAlignment="1">
      <alignment horizontal="right" vertical="center" wrapText="1"/>
    </xf>
    <xf numFmtId="14" fontId="38" fillId="0" borderId="15" xfId="0" applyNumberFormat="1" applyFont="1" applyFill="1" applyBorder="1" applyAlignment="1">
      <alignment horizontal="center" vertical="center" wrapText="1"/>
    </xf>
    <xf numFmtId="14" fontId="38" fillId="0" borderId="108" xfId="0" applyNumberFormat="1" applyFont="1" applyFill="1" applyBorder="1" applyAlignment="1">
      <alignment horizontal="center" vertical="center" wrapText="1"/>
    </xf>
    <xf numFmtId="3" fontId="11" fillId="0" borderId="35" xfId="1" applyNumberFormat="1" applyFont="1" applyFill="1" applyBorder="1" applyAlignment="1">
      <alignment horizontal="right"/>
    </xf>
    <xf numFmtId="3" fontId="11" fillId="0" borderId="3" xfId="1" applyNumberFormat="1" applyFont="1" applyFill="1" applyBorder="1" applyAlignment="1">
      <alignment horizontal="right"/>
    </xf>
    <xf numFmtId="3" fontId="11" fillId="0" borderId="36" xfId="1" applyNumberFormat="1" applyFont="1" applyFill="1" applyBorder="1" applyAlignment="1">
      <alignment horizontal="right"/>
    </xf>
    <xf numFmtId="4" fontId="21" fillId="0" borderId="42" xfId="0" applyFont="1" applyBorder="1" applyAlignment="1">
      <alignment horizontal="left" vertical="center" wrapText="1"/>
    </xf>
    <xf numFmtId="3" fontId="21" fillId="0" borderId="42" xfId="0" applyNumberFormat="1" applyFont="1" applyBorder="1" applyAlignment="1">
      <alignment horizontal="center" vertical="center" wrapText="1"/>
    </xf>
    <xf numFmtId="3" fontId="8" fillId="4" borderId="3" xfId="1" applyNumberFormat="1" applyFont="1" applyFill="1" applyBorder="1" applyAlignment="1"/>
    <xf numFmtId="4" fontId="15" fillId="2" borderId="0" xfId="0" applyFont="1" applyFill="1" applyBorder="1" applyAlignment="1">
      <alignment vertical="center"/>
    </xf>
    <xf numFmtId="4" fontId="15" fillId="2" borderId="0" xfId="0" applyNumberFormat="1" applyFont="1" applyFill="1" applyBorder="1" applyAlignment="1">
      <alignment vertical="center"/>
    </xf>
    <xf numFmtId="4" fontId="21" fillId="6" borderId="0" xfId="0" applyNumberFormat="1" applyFont="1" applyFill="1" applyBorder="1" applyAlignment="1">
      <alignment horizontal="left"/>
    </xf>
    <xf numFmtId="4" fontId="15" fillId="4" borderId="0" xfId="0" applyFont="1" applyFill="1" applyBorder="1" applyAlignment="1">
      <alignment vertical="center"/>
    </xf>
    <xf numFmtId="4" fontId="15" fillId="4" borderId="0" xfId="0" applyNumberFormat="1" applyFont="1" applyFill="1" applyBorder="1" applyAlignment="1">
      <alignment vertical="center"/>
    </xf>
    <xf numFmtId="4" fontId="15" fillId="4" borderId="0" xfId="0" applyNumberFormat="1" applyFont="1" applyFill="1" applyBorder="1" applyAlignment="1">
      <alignment horizontal="left"/>
    </xf>
    <xf numFmtId="4" fontId="33" fillId="0" borderId="52" xfId="0" applyFont="1" applyFill="1" applyBorder="1" applyAlignment="1">
      <alignment horizontal="center" vertical="center" wrapText="1"/>
    </xf>
    <xf numFmtId="4" fontId="33" fillId="0" borderId="52" xfId="0" applyNumberFormat="1" applyFont="1" applyFill="1" applyBorder="1" applyAlignment="1">
      <alignment horizontal="right" vertical="center" wrapText="1"/>
    </xf>
    <xf numFmtId="4" fontId="33" fillId="0" borderId="59" xfId="0" applyNumberFormat="1" applyFont="1" applyFill="1" applyBorder="1" applyAlignment="1">
      <alignment horizontal="right" vertical="center" wrapText="1"/>
    </xf>
    <xf numFmtId="14" fontId="33" fillId="0" borderId="52" xfId="0" applyNumberFormat="1" applyFont="1" applyFill="1" applyBorder="1" applyAlignment="1">
      <alignment horizontal="center" vertical="center" wrapText="1"/>
    </xf>
    <xf numFmtId="14" fontId="33" fillId="0" borderId="59" xfId="0" applyNumberFormat="1" applyFont="1" applyFill="1" applyBorder="1" applyAlignment="1">
      <alignment horizontal="center" vertical="center" wrapText="1"/>
    </xf>
    <xf numFmtId="4" fontId="33" fillId="0" borderId="157" xfId="0" applyFont="1" applyFill="1" applyBorder="1" applyAlignment="1">
      <alignment horizontal="center" vertical="center" wrapText="1"/>
    </xf>
    <xf numFmtId="4" fontId="33" fillId="0" borderId="157" xfId="0" applyNumberFormat="1" applyFont="1" applyFill="1" applyBorder="1" applyAlignment="1">
      <alignment horizontal="right" vertical="center" wrapText="1"/>
    </xf>
    <xf numFmtId="4" fontId="33" fillId="0" borderId="58" xfId="0" applyNumberFormat="1" applyFont="1" applyFill="1" applyBorder="1" applyAlignment="1">
      <alignment horizontal="right" vertical="center" wrapText="1"/>
    </xf>
    <xf numFmtId="14" fontId="33" fillId="0" borderId="157" xfId="0" applyNumberFormat="1" applyFont="1" applyFill="1" applyBorder="1" applyAlignment="1">
      <alignment horizontal="center" vertical="center" wrapText="1"/>
    </xf>
    <xf numFmtId="14" fontId="33" fillId="0" borderId="58" xfId="0" applyNumberFormat="1" applyFont="1" applyFill="1" applyBorder="1" applyAlignment="1">
      <alignment horizontal="center" vertical="center" wrapText="1"/>
    </xf>
    <xf numFmtId="4" fontId="33" fillId="0" borderId="158" xfId="0" applyFont="1" applyFill="1" applyBorder="1" applyAlignment="1">
      <alignment horizontal="center" vertical="center" wrapText="1"/>
    </xf>
    <xf numFmtId="4" fontId="33" fillId="0" borderId="158" xfId="0" applyNumberFormat="1" applyFont="1" applyFill="1" applyBorder="1" applyAlignment="1">
      <alignment horizontal="right" vertical="center" wrapText="1"/>
    </xf>
    <xf numFmtId="4" fontId="33" fillId="0" borderId="60" xfId="0" applyNumberFormat="1" applyFont="1" applyFill="1" applyBorder="1" applyAlignment="1">
      <alignment horizontal="right" vertical="center" wrapText="1"/>
    </xf>
    <xf numFmtId="4" fontId="21" fillId="0" borderId="158" xfId="0" applyFont="1" applyFill="1" applyBorder="1" applyAlignment="1">
      <alignment horizontal="center" vertical="center" wrapText="1"/>
    </xf>
    <xf numFmtId="4" fontId="33" fillId="0" borderId="60" xfId="0" applyFont="1" applyFill="1" applyBorder="1" applyAlignment="1">
      <alignment horizontal="center" vertical="center" wrapText="1"/>
    </xf>
    <xf numFmtId="4" fontId="33" fillId="0" borderId="159" xfId="0" applyFont="1" applyFill="1" applyBorder="1" applyAlignment="1">
      <alignment horizontal="center" vertical="center" wrapText="1"/>
    </xf>
    <xf numFmtId="4" fontId="33" fillId="0" borderId="159" xfId="0" applyNumberFormat="1" applyFont="1" applyFill="1" applyBorder="1" applyAlignment="1">
      <alignment horizontal="right" vertical="center" wrapText="1"/>
    </xf>
    <xf numFmtId="1" fontId="21" fillId="0" borderId="5" xfId="0" applyNumberFormat="1" applyFont="1" applyFill="1" applyBorder="1" applyAlignment="1">
      <alignment horizontal="center" vertical="center" wrapText="1"/>
    </xf>
    <xf numFmtId="14" fontId="33" fillId="0" borderId="159" xfId="0" applyNumberFormat="1" applyFont="1" applyFill="1" applyBorder="1" applyAlignment="1">
      <alignment horizontal="center" vertical="center" wrapText="1"/>
    </xf>
    <xf numFmtId="4" fontId="33" fillId="0" borderId="53" xfId="0" applyNumberFormat="1" applyFont="1" applyFill="1" applyBorder="1" applyAlignment="1">
      <alignment horizontal="right" vertical="center" wrapText="1"/>
    </xf>
    <xf numFmtId="1" fontId="21" fillId="0" borderId="56" xfId="0" applyNumberFormat="1" applyFont="1" applyFill="1" applyBorder="1" applyAlignment="1">
      <alignment horizontal="center" vertical="center" wrapText="1"/>
    </xf>
    <xf numFmtId="4" fontId="33" fillId="0" borderId="56" xfId="0" applyFont="1" applyFill="1" applyBorder="1" applyAlignment="1">
      <alignment horizontal="center" vertical="center" wrapText="1"/>
    </xf>
    <xf numFmtId="4" fontId="33" fillId="0" borderId="56" xfId="0" applyNumberFormat="1" applyFont="1" applyFill="1" applyBorder="1" applyAlignment="1">
      <alignment horizontal="right" vertical="center" wrapText="1"/>
    </xf>
    <xf numFmtId="49" fontId="33" fillId="0" borderId="159" xfId="0" applyNumberFormat="1" applyFont="1" applyFill="1" applyBorder="1" applyAlignment="1">
      <alignment horizontal="center" vertical="center" wrapText="1"/>
    </xf>
    <xf numFmtId="14" fontId="33" fillId="0" borderId="53" xfId="0" applyNumberFormat="1" applyFont="1" applyFill="1" applyBorder="1" applyAlignment="1">
      <alignment horizontal="center" vertical="center" wrapText="1"/>
    </xf>
    <xf numFmtId="4" fontId="34" fillId="0" borderId="52" xfId="0" applyFont="1" applyBorder="1" applyAlignment="1">
      <alignment horizontal="center" vertical="center" wrapText="1"/>
    </xf>
    <xf numFmtId="164" fontId="34" fillId="0" borderId="52" xfId="0" applyNumberFormat="1" applyFont="1" applyBorder="1" applyAlignment="1">
      <alignment horizontal="right" vertical="center" wrapText="1"/>
    </xf>
    <xf numFmtId="164" fontId="34" fillId="0" borderId="59" xfId="0" applyNumberFormat="1" applyFont="1" applyBorder="1" applyAlignment="1">
      <alignment horizontal="right" vertical="center" wrapText="1"/>
    </xf>
    <xf numFmtId="165" fontId="34" fillId="0" borderId="56" xfId="0" applyNumberFormat="1" applyFont="1" applyBorder="1" applyAlignment="1">
      <alignment horizontal="center" vertical="center" wrapText="1"/>
    </xf>
    <xf numFmtId="165" fontId="34" fillId="0" borderId="59" xfId="0" applyNumberFormat="1" applyFont="1" applyBorder="1" applyAlignment="1">
      <alignment horizontal="center" vertical="center" wrapText="1"/>
    </xf>
    <xf numFmtId="4" fontId="34" fillId="0" borderId="157" xfId="0" applyFont="1" applyBorder="1" applyAlignment="1">
      <alignment horizontal="center" vertical="center" wrapText="1"/>
    </xf>
    <xf numFmtId="164" fontId="34" fillId="0" borderId="157" xfId="0" applyNumberFormat="1" applyFont="1" applyBorder="1" applyAlignment="1">
      <alignment horizontal="right" vertical="center" wrapText="1"/>
    </xf>
    <xf numFmtId="164" fontId="34" fillId="0" borderId="58" xfId="0" applyNumberFormat="1" applyFont="1" applyBorder="1" applyAlignment="1">
      <alignment horizontal="right" vertical="center" wrapText="1"/>
    </xf>
    <xf numFmtId="49" fontId="34" fillId="0" borderId="157" xfId="0" applyNumberFormat="1" applyFont="1" applyBorder="1" applyAlignment="1">
      <alignment horizontal="center" vertical="center" wrapText="1"/>
    </xf>
    <xf numFmtId="165" fontId="34" fillId="0" borderId="58" xfId="0" applyNumberFormat="1" applyFont="1" applyBorder="1" applyAlignment="1">
      <alignment horizontal="center" vertical="center" wrapText="1"/>
    </xf>
    <xf numFmtId="4" fontId="34" fillId="0" borderId="158" xfId="0" applyFont="1" applyBorder="1" applyAlignment="1">
      <alignment horizontal="center" vertical="center" wrapText="1"/>
    </xf>
    <xf numFmtId="164" fontId="34" fillId="0" borderId="158" xfId="0" applyNumberFormat="1" applyFont="1" applyBorder="1" applyAlignment="1">
      <alignment horizontal="right" vertical="center" wrapText="1"/>
    </xf>
    <xf numFmtId="164" fontId="34" fillId="0" borderId="60" xfId="0" applyNumberFormat="1" applyFont="1" applyBorder="1" applyAlignment="1">
      <alignment horizontal="right" vertical="center" wrapText="1"/>
    </xf>
    <xf numFmtId="165" fontId="35" fillId="0" borderId="160" xfId="0" applyNumberFormat="1" applyFont="1" applyBorder="1" applyAlignment="1">
      <alignment horizontal="center" vertical="center" wrapText="1"/>
    </xf>
    <xf numFmtId="165" fontId="34" fillId="0" borderId="60" xfId="0" applyNumberFormat="1" applyFont="1" applyBorder="1" applyAlignment="1">
      <alignment horizontal="center" vertical="center" wrapText="1"/>
    </xf>
    <xf numFmtId="4" fontId="34" fillId="0" borderId="12" xfId="0" applyFont="1" applyBorder="1" applyAlignment="1">
      <alignment horizontal="center" vertical="center" wrapText="1"/>
    </xf>
    <xf numFmtId="4" fontId="34" fillId="0" borderId="53" xfId="0" applyFont="1" applyBorder="1" applyAlignment="1">
      <alignment horizontal="center" vertical="center" wrapText="1"/>
    </xf>
    <xf numFmtId="4" fontId="34" fillId="0" borderId="56" xfId="0" applyFont="1" applyBorder="1" applyAlignment="1">
      <alignment horizontal="center" vertical="center" wrapText="1"/>
    </xf>
    <xf numFmtId="164" fontId="34" fillId="0" borderId="56" xfId="0" applyNumberFormat="1" applyFont="1" applyBorder="1" applyAlignment="1">
      <alignment horizontal="right" vertical="center" wrapText="1"/>
    </xf>
    <xf numFmtId="164" fontId="34" fillId="0" borderId="53" xfId="0" applyNumberFormat="1" applyFont="1" applyBorder="1" applyAlignment="1">
      <alignment horizontal="right" vertical="center" wrapText="1"/>
    </xf>
    <xf numFmtId="165" fontId="34" fillId="0" borderId="158" xfId="0" applyNumberFormat="1" applyFont="1" applyBorder="1" applyAlignment="1">
      <alignment horizontal="center" vertical="center" wrapText="1"/>
    </xf>
    <xf numFmtId="4" fontId="34" fillId="0" borderId="159" xfId="0" applyFont="1" applyBorder="1" applyAlignment="1">
      <alignment horizontal="center" vertical="center" wrapText="1"/>
    </xf>
    <xf numFmtId="164" fontId="34" fillId="0" borderId="159" xfId="0" applyNumberFormat="1" applyFont="1" applyBorder="1" applyAlignment="1">
      <alignment horizontal="right" vertical="center" wrapText="1"/>
    </xf>
    <xf numFmtId="165" fontId="34" fillId="0" borderId="159" xfId="0" applyNumberFormat="1" applyFont="1" applyBorder="1" applyAlignment="1">
      <alignment horizontal="center" vertical="center" wrapText="1"/>
    </xf>
    <xf numFmtId="165" fontId="34" fillId="0" borderId="53" xfId="0" applyNumberFormat="1" applyFont="1" applyBorder="1" applyAlignment="1">
      <alignment horizontal="center" vertical="center" wrapText="1"/>
    </xf>
    <xf numFmtId="4" fontId="34" fillId="4" borderId="52" xfId="0" applyFont="1" applyFill="1" applyBorder="1" applyAlignment="1">
      <alignment horizontal="center" vertical="center" wrapText="1"/>
    </xf>
    <xf numFmtId="165" fontId="34" fillId="0" borderId="52" xfId="0" applyNumberFormat="1" applyFont="1" applyBorder="1" applyAlignment="1">
      <alignment horizontal="center" vertical="center" wrapText="1"/>
    </xf>
    <xf numFmtId="4" fontId="34" fillId="0" borderId="5" xfId="0" applyFont="1" applyBorder="1" applyAlignment="1">
      <alignment horizontal="center" vertical="center" wrapText="1"/>
    </xf>
    <xf numFmtId="164" fontId="34" fillId="0" borderId="5" xfId="0" applyNumberFormat="1" applyFont="1" applyBorder="1" applyAlignment="1">
      <alignment horizontal="right" vertical="center" wrapText="1"/>
    </xf>
    <xf numFmtId="164" fontId="34" fillId="0" borderId="55" xfId="0" applyNumberFormat="1" applyFont="1" applyBorder="1" applyAlignment="1">
      <alignment horizontal="right" vertical="center" wrapText="1"/>
    </xf>
    <xf numFmtId="165" fontId="34" fillId="0" borderId="5" xfId="0" applyNumberFormat="1" applyFont="1" applyBorder="1" applyAlignment="1">
      <alignment horizontal="center" vertical="center" wrapText="1"/>
    </xf>
    <xf numFmtId="165" fontId="34" fillId="0" borderId="55" xfId="0" applyNumberFormat="1" applyFont="1" applyBorder="1" applyAlignment="1">
      <alignment horizontal="center" vertical="center" wrapText="1"/>
    </xf>
    <xf numFmtId="4" fontId="34" fillId="0" borderId="160" xfId="0" applyFont="1" applyBorder="1" applyAlignment="1">
      <alignment horizontal="center" vertical="center" wrapText="1"/>
    </xf>
    <xf numFmtId="164" fontId="34" fillId="0" borderId="160" xfId="0" applyNumberFormat="1" applyFont="1" applyBorder="1" applyAlignment="1">
      <alignment horizontal="right" vertical="center" wrapText="1"/>
    </xf>
    <xf numFmtId="164" fontId="34" fillId="0" borderId="114" xfId="0" applyNumberFormat="1" applyFont="1" applyBorder="1" applyAlignment="1">
      <alignment horizontal="right" vertical="center" wrapText="1"/>
    </xf>
    <xf numFmtId="165" fontId="34" fillId="0" borderId="114" xfId="0" applyNumberFormat="1" applyFont="1" applyBorder="1" applyAlignment="1">
      <alignment horizontal="center" vertical="center" wrapText="1"/>
    </xf>
    <xf numFmtId="4" fontId="34" fillId="0" borderId="10" xfId="0" applyNumberFormat="1" applyFont="1" applyBorder="1" applyAlignment="1">
      <alignment horizontal="right" vertical="center" wrapText="1"/>
    </xf>
    <xf numFmtId="4" fontId="34" fillId="4" borderId="59" xfId="0" applyNumberFormat="1" applyFont="1" applyFill="1" applyBorder="1" applyAlignment="1">
      <alignment vertical="center" wrapText="1"/>
    </xf>
    <xf numFmtId="165" fontId="34" fillId="0" borderId="157" xfId="0" applyNumberFormat="1" applyFont="1" applyBorder="1" applyAlignment="1">
      <alignment horizontal="center" vertical="center" wrapText="1"/>
    </xf>
    <xf numFmtId="4" fontId="34" fillId="0" borderId="106" xfId="0" applyFont="1" applyBorder="1" applyAlignment="1">
      <alignment horizontal="left" vertical="center" wrapText="1"/>
    </xf>
    <xf numFmtId="4" fontId="34" fillId="0" borderId="0" xfId="0" applyFont="1" applyBorder="1" applyAlignment="1">
      <alignment horizontal="left" vertical="center" wrapText="1"/>
    </xf>
    <xf numFmtId="4" fontId="34" fillId="0" borderId="158" xfId="0" applyNumberFormat="1" applyFont="1" applyBorder="1" applyAlignment="1">
      <alignment horizontal="right" vertical="center" wrapText="1"/>
    </xf>
    <xf numFmtId="4" fontId="34" fillId="4" borderId="53" xfId="0" applyNumberFormat="1" applyFont="1" applyFill="1" applyBorder="1" applyAlignment="1">
      <alignment vertical="center" wrapText="1"/>
    </xf>
    <xf numFmtId="4" fontId="34" fillId="0" borderId="159" xfId="0" applyNumberFormat="1" applyFont="1" applyBorder="1" applyAlignment="1">
      <alignment horizontal="right" vertical="center" wrapText="1"/>
    </xf>
    <xf numFmtId="4" fontId="34" fillId="0" borderId="62" xfId="0" applyNumberFormat="1" applyFont="1" applyBorder="1" applyAlignment="1">
      <alignment vertical="center" wrapText="1"/>
    </xf>
    <xf numFmtId="165" fontId="34" fillId="0" borderId="62" xfId="0" applyNumberFormat="1" applyFont="1" applyBorder="1" applyAlignment="1">
      <alignment horizontal="center" vertical="center" wrapText="1"/>
    </xf>
    <xf numFmtId="164" fontId="34" fillId="0" borderId="58" xfId="0" applyNumberFormat="1" applyFont="1" applyBorder="1" applyAlignment="1">
      <alignment vertical="center" wrapText="1"/>
    </xf>
    <xf numFmtId="164" fontId="34" fillId="0" borderId="62" xfId="0" applyNumberFormat="1" applyFont="1" applyBorder="1" applyAlignment="1">
      <alignment vertical="center" wrapText="1"/>
    </xf>
    <xf numFmtId="164" fontId="34" fillId="4" borderId="59" xfId="0" applyNumberFormat="1" applyFont="1" applyFill="1" applyBorder="1" applyAlignment="1">
      <alignment vertical="center" wrapText="1"/>
    </xf>
    <xf numFmtId="4" fontId="34" fillId="0" borderId="63" xfId="0" applyFont="1" applyBorder="1" applyAlignment="1">
      <alignment horizontal="left" vertical="center" wrapText="1"/>
    </xf>
    <xf numFmtId="4" fontId="35" fillId="0" borderId="60" xfId="0" applyFont="1" applyBorder="1" applyAlignment="1">
      <alignment horizontal="left" vertical="center" wrapText="1"/>
    </xf>
    <xf numFmtId="164" fontId="34" fillId="4" borderId="53" xfId="0" applyNumberFormat="1" applyFont="1" applyFill="1" applyBorder="1" applyAlignment="1">
      <alignment vertical="center" wrapText="1"/>
    </xf>
    <xf numFmtId="49" fontId="35" fillId="0" borderId="56" xfId="0" applyNumberFormat="1" applyFont="1" applyBorder="1" applyAlignment="1">
      <alignment horizontal="center" vertical="center" wrapText="1"/>
    </xf>
    <xf numFmtId="4" fontId="34" fillId="0" borderId="0" xfId="0" applyFont="1" applyBorder="1" applyAlignment="1">
      <alignment horizontal="center" vertical="center" wrapText="1"/>
    </xf>
    <xf numFmtId="164" fontId="34" fillId="0" borderId="0" xfId="0" applyNumberFormat="1" applyFont="1" applyBorder="1" applyAlignment="1">
      <alignment horizontal="right" vertical="center" wrapText="1"/>
    </xf>
    <xf numFmtId="165" fontId="34" fillId="0" borderId="0" xfId="0" applyNumberFormat="1" applyFont="1" applyBorder="1" applyAlignment="1">
      <alignment horizontal="center" vertical="center" wrapText="1"/>
    </xf>
    <xf numFmtId="4" fontId="34" fillId="0" borderId="48" xfId="0" applyFont="1" applyBorder="1" applyAlignment="1">
      <alignment horizontal="left" vertical="center" wrapText="1"/>
    </xf>
    <xf numFmtId="4" fontId="34" fillId="0" borderId="59" xfId="0" applyFont="1" applyBorder="1" applyAlignment="1">
      <alignment horizontal="left" vertical="center" wrapText="1"/>
    </xf>
    <xf numFmtId="4" fontId="34" fillId="0" borderId="10" xfId="0" applyFont="1" applyBorder="1" applyAlignment="1">
      <alignment horizontal="center" vertical="center" wrapText="1"/>
    </xf>
    <xf numFmtId="4" fontId="34" fillId="0" borderId="54" xfId="0" applyFont="1" applyBorder="1" applyAlignment="1">
      <alignment horizontal="left" vertical="center" wrapText="1"/>
    </xf>
    <xf numFmtId="4" fontId="34" fillId="0" borderId="55" xfId="0" applyFont="1" applyBorder="1" applyAlignment="1">
      <alignment horizontal="left" vertical="center" wrapText="1"/>
    </xf>
    <xf numFmtId="164" fontId="34" fillId="0" borderId="59" xfId="0" applyNumberFormat="1" applyFont="1" applyBorder="1" applyAlignment="1">
      <alignment vertical="center" wrapText="1"/>
    </xf>
    <xf numFmtId="164" fontId="34" fillId="0" borderId="55" xfId="0" applyNumberFormat="1" applyFont="1" applyBorder="1" applyAlignment="1">
      <alignment vertical="center" wrapText="1"/>
    </xf>
    <xf numFmtId="164" fontId="34" fillId="0" borderId="53" xfId="0" applyNumberFormat="1" applyFont="1" applyBorder="1" applyAlignment="1">
      <alignment vertical="center" wrapText="1"/>
    </xf>
    <xf numFmtId="49" fontId="35" fillId="0" borderId="5" xfId="0" applyNumberFormat="1" applyFont="1" applyBorder="1" applyAlignment="1">
      <alignment horizontal="center" vertical="center" wrapText="1"/>
    </xf>
    <xf numFmtId="4" fontId="34" fillId="0" borderId="52" xfId="0" applyNumberFormat="1" applyFont="1" applyBorder="1" applyAlignment="1">
      <alignment horizontal="right" vertical="center" wrapText="1"/>
    </xf>
    <xf numFmtId="4" fontId="34" fillId="0" borderId="59" xfId="0" applyNumberFormat="1" applyFont="1" applyBorder="1" applyAlignment="1">
      <alignment vertical="center" wrapText="1"/>
    </xf>
    <xf numFmtId="4" fontId="34" fillId="0" borderId="56" xfId="0" applyNumberFormat="1" applyFont="1" applyBorder="1" applyAlignment="1">
      <alignment horizontal="right" vertical="center" wrapText="1"/>
    </xf>
    <xf numFmtId="4" fontId="34" fillId="0" borderId="53" xfId="0" applyNumberFormat="1" applyFont="1" applyBorder="1" applyAlignment="1">
      <alignment vertical="center" wrapText="1"/>
    </xf>
    <xf numFmtId="4" fontId="34" fillId="0" borderId="52" xfId="0" applyNumberFormat="1" applyFont="1" applyBorder="1" applyAlignment="1">
      <alignment vertical="center" wrapText="1"/>
    </xf>
    <xf numFmtId="165" fontId="34" fillId="0" borderId="51" xfId="0" applyNumberFormat="1" applyFont="1" applyBorder="1" applyAlignment="1">
      <alignment horizontal="center" vertical="center" wrapText="1"/>
    </xf>
    <xf numFmtId="4" fontId="34" fillId="0" borderId="12" xfId="0" applyFont="1" applyBorder="1" applyAlignment="1">
      <alignment horizontal="left" vertical="center" wrapText="1"/>
    </xf>
    <xf numFmtId="4" fontId="34" fillId="0" borderId="53" xfId="0" applyFont="1" applyBorder="1" applyAlignment="1">
      <alignment horizontal="left" vertical="center" wrapText="1"/>
    </xf>
    <xf numFmtId="4" fontId="34" fillId="4" borderId="159" xfId="0" applyNumberFormat="1" applyFont="1" applyFill="1" applyBorder="1" applyAlignment="1">
      <alignment vertical="center" wrapText="1"/>
    </xf>
    <xf numFmtId="165" fontId="34" fillId="0" borderId="160" xfId="0" applyNumberFormat="1" applyFont="1" applyBorder="1" applyAlignment="1">
      <alignment horizontal="center" vertical="center" wrapText="1"/>
    </xf>
    <xf numFmtId="49" fontId="34" fillId="0" borderId="159" xfId="0" applyNumberFormat="1" applyFont="1" applyBorder="1" applyAlignment="1">
      <alignment horizontal="center" vertical="center" wrapText="1"/>
    </xf>
    <xf numFmtId="4" fontId="34" fillId="0" borderId="157" xfId="0" applyNumberFormat="1" applyFont="1" applyBorder="1" applyAlignment="1">
      <alignment horizontal="right" vertical="center" wrapText="1"/>
    </xf>
    <xf numFmtId="4" fontId="34" fillId="0" borderId="160" xfId="0" applyNumberFormat="1" applyFont="1" applyBorder="1" applyAlignment="1">
      <alignment vertical="center" wrapText="1"/>
    </xf>
    <xf numFmtId="165" fontId="35" fillId="0" borderId="56" xfId="0" applyNumberFormat="1" applyFont="1" applyBorder="1" applyAlignment="1">
      <alignment horizontal="center" vertical="center" wrapText="1"/>
    </xf>
    <xf numFmtId="4" fontId="34" fillId="0" borderId="114" xfId="0" applyNumberFormat="1" applyFont="1" applyBorder="1" applyAlignment="1">
      <alignment vertical="center" wrapText="1"/>
    </xf>
    <xf numFmtId="4" fontId="34" fillId="0" borderId="160" xfId="0" applyNumberFormat="1" applyFont="1" applyBorder="1" applyAlignment="1">
      <alignment horizontal="right" vertical="center" wrapText="1"/>
    </xf>
    <xf numFmtId="4" fontId="34" fillId="0" borderId="60" xfId="0" applyNumberFormat="1" applyFont="1" applyBorder="1" applyAlignment="1">
      <alignment vertical="center" wrapText="1"/>
    </xf>
    <xf numFmtId="4" fontId="34" fillId="0" borderId="5" xfId="0" applyNumberFormat="1" applyFont="1" applyBorder="1" applyAlignment="1">
      <alignment horizontal="right" vertical="center" wrapText="1"/>
    </xf>
    <xf numFmtId="4" fontId="34" fillId="0" borderId="159" xfId="0" applyNumberFormat="1" applyFont="1" applyBorder="1" applyAlignment="1">
      <alignment vertical="center" wrapText="1"/>
    </xf>
    <xf numFmtId="4" fontId="34" fillId="0" borderId="51" xfId="0" applyNumberFormat="1" applyFont="1" applyBorder="1" applyAlignment="1">
      <alignment vertical="center" wrapText="1"/>
    </xf>
    <xf numFmtId="165" fontId="34" fillId="0" borderId="10" xfId="0" applyNumberFormat="1" applyFont="1" applyBorder="1" applyAlignment="1">
      <alignment horizontal="center" vertical="center" wrapText="1"/>
    </xf>
    <xf numFmtId="4" fontId="34" fillId="0" borderId="158" xfId="0" applyNumberFormat="1" applyFont="1" applyBorder="1" applyAlignment="1">
      <alignment vertical="center" wrapText="1"/>
    </xf>
    <xf numFmtId="4" fontId="34" fillId="0" borderId="23" xfId="0" applyNumberFormat="1" applyFont="1" applyBorder="1" applyAlignment="1">
      <alignment vertical="center" wrapText="1"/>
    </xf>
    <xf numFmtId="4" fontId="34" fillId="0" borderId="61" xfId="0" applyNumberFormat="1" applyFont="1" applyBorder="1" applyAlignment="1">
      <alignment vertical="center" wrapText="1"/>
    </xf>
    <xf numFmtId="4" fontId="34" fillId="0" borderId="0" xfId="0" applyNumberFormat="1" applyFont="1" applyBorder="1" applyAlignment="1">
      <alignment vertical="center" wrapText="1"/>
    </xf>
    <xf numFmtId="4" fontId="34" fillId="0" borderId="25" xfId="0" applyNumberFormat="1" applyFont="1" applyBorder="1" applyAlignment="1">
      <alignment vertical="center" wrapText="1"/>
    </xf>
    <xf numFmtId="4" fontId="34" fillId="0" borderId="112" xfId="0" applyNumberFormat="1" applyFont="1" applyBorder="1" applyAlignment="1">
      <alignment vertical="center" wrapText="1"/>
    </xf>
    <xf numFmtId="4" fontId="34" fillId="0" borderId="20" xfId="0" applyNumberFormat="1" applyFont="1" applyBorder="1" applyAlignment="1">
      <alignment vertical="center" wrapText="1"/>
    </xf>
    <xf numFmtId="4" fontId="34" fillId="0" borderId="57" xfId="0" applyFont="1" applyBorder="1" applyAlignment="1">
      <alignment horizontal="left" vertical="center" wrapText="1"/>
    </xf>
    <xf numFmtId="4" fontId="34" fillId="0" borderId="58" xfId="0" applyFont="1" applyBorder="1" applyAlignment="1">
      <alignment horizontal="center" vertical="center" wrapText="1"/>
    </xf>
    <xf numFmtId="4" fontId="34" fillId="0" borderId="55" xfId="0" applyFont="1" applyBorder="1" applyAlignment="1">
      <alignment horizontal="center" vertical="center" wrapText="1"/>
    </xf>
    <xf numFmtId="4" fontId="34" fillId="0" borderId="54" xfId="0" applyFont="1" applyBorder="1" applyAlignment="1">
      <alignment horizontal="center" vertical="center" wrapText="1"/>
    </xf>
    <xf numFmtId="165" fontId="35" fillId="0" borderId="5" xfId="0" applyNumberFormat="1" applyFont="1" applyBorder="1" applyAlignment="1">
      <alignment horizontal="center" vertical="center" wrapText="1"/>
    </xf>
    <xf numFmtId="4" fontId="34" fillId="0" borderId="49" xfId="0" applyFont="1" applyBorder="1" applyAlignment="1">
      <alignment horizontal="center" vertical="center" wrapText="1"/>
    </xf>
    <xf numFmtId="4" fontId="34" fillId="0" borderId="62" xfId="0" applyFont="1" applyBorder="1" applyAlignment="1">
      <alignment horizontal="center" vertical="center" wrapText="1"/>
    </xf>
    <xf numFmtId="4" fontId="34" fillId="0" borderId="56" xfId="0" applyNumberFormat="1" applyFont="1" applyBorder="1" applyAlignment="1">
      <alignment vertical="center" wrapText="1"/>
    </xf>
    <xf numFmtId="4" fontId="34" fillId="0" borderId="0" xfId="0" applyNumberFormat="1" applyFont="1" applyBorder="1" applyAlignment="1">
      <alignment horizontal="right" vertical="center" wrapText="1"/>
    </xf>
    <xf numFmtId="4" fontId="34" fillId="0" borderId="10" xfId="0" applyNumberFormat="1" applyFont="1" applyBorder="1" applyAlignment="1">
      <alignment vertical="center" wrapText="1"/>
    </xf>
    <xf numFmtId="4" fontId="34" fillId="0" borderId="157" xfId="0" applyNumberFormat="1" applyFont="1" applyBorder="1" applyAlignment="1">
      <alignment vertical="center" wrapText="1"/>
    </xf>
    <xf numFmtId="4" fontId="34" fillId="0" borderId="60" xfId="0" applyFont="1" applyBorder="1" applyAlignment="1">
      <alignment horizontal="center" vertical="center" wrapText="1"/>
    </xf>
    <xf numFmtId="4" fontId="34" fillId="0" borderId="43" xfId="0" applyNumberFormat="1" applyFont="1" applyBorder="1" applyAlignment="1">
      <alignment horizontal="right" vertical="center" wrapText="1"/>
    </xf>
    <xf numFmtId="4" fontId="34" fillId="0" borderId="49" xfId="0" applyFont="1" applyBorder="1" applyAlignment="1">
      <alignment horizontal="left" vertical="center" wrapText="1"/>
    </xf>
    <xf numFmtId="4" fontId="34" fillId="0" borderId="61" xfId="0" applyNumberFormat="1" applyFont="1" applyBorder="1" applyAlignment="1">
      <alignment horizontal="right" vertical="center" wrapText="1"/>
    </xf>
    <xf numFmtId="4" fontId="34" fillId="0" borderId="5" xfId="0" applyNumberFormat="1" applyFont="1" applyBorder="1" applyAlignment="1">
      <alignment vertical="center" wrapText="1"/>
    </xf>
    <xf numFmtId="4" fontId="16" fillId="0" borderId="112" xfId="0" applyFont="1" applyBorder="1" applyAlignment="1">
      <alignment horizontal="left" vertical="center" wrapText="1"/>
    </xf>
    <xf numFmtId="4" fontId="16" fillId="4" borderId="0" xfId="0" applyFont="1" applyFill="1" applyBorder="1" applyAlignment="1"/>
    <xf numFmtId="4" fontId="15" fillId="4" borderId="0" xfId="0" applyFont="1" applyFill="1" applyBorder="1" applyAlignment="1">
      <alignment horizontal="left"/>
    </xf>
    <xf numFmtId="4" fontId="16" fillId="4" borderId="0" xfId="0" applyFont="1" applyFill="1" applyBorder="1" applyAlignment="1">
      <alignment horizontal="left" vertical="center" wrapText="1"/>
    </xf>
    <xf numFmtId="4" fontId="16" fillId="0" borderId="29" xfId="0" applyFont="1" applyBorder="1" applyAlignment="1">
      <alignment horizontal="left" vertical="center" wrapText="1"/>
    </xf>
    <xf numFmtId="4" fontId="0" fillId="0" borderId="0" xfId="0">
      <alignment vertical="top"/>
    </xf>
    <xf numFmtId="4" fontId="0" fillId="0" borderId="0" xfId="0" applyAlignment="1">
      <alignment horizontal="center" vertical="top"/>
    </xf>
    <xf numFmtId="4" fontId="6" fillId="0" borderId="0" xfId="0" applyFont="1" applyAlignment="1">
      <alignment horizontal="center" vertical="top"/>
    </xf>
    <xf numFmtId="3" fontId="8" fillId="0" borderId="0" xfId="1" applyFont="1" applyFill="1" applyBorder="1"/>
    <xf numFmtId="3" fontId="8" fillId="0" borderId="0" xfId="1" applyFont="1" applyFill="1" applyBorder="1" applyAlignment="1">
      <alignment horizontal="center"/>
    </xf>
    <xf numFmtId="49" fontId="8" fillId="0" borderId="0" xfId="1" applyNumberFormat="1" applyFont="1" applyFill="1" applyBorder="1" applyAlignment="1">
      <alignment horizontal="center"/>
    </xf>
    <xf numFmtId="3" fontId="8" fillId="0" borderId="0" xfId="1" applyFont="1" applyFill="1" applyBorder="1" applyAlignment="1"/>
    <xf numFmtId="3" fontId="11" fillId="0" borderId="0" xfId="1" applyFont="1" applyFill="1" applyBorder="1"/>
    <xf numFmtId="4" fontId="11" fillId="0" borderId="0" xfId="1" applyNumberFormat="1" applyFont="1" applyFill="1" applyBorder="1"/>
    <xf numFmtId="49" fontId="8" fillId="2" borderId="3" xfId="1" applyNumberFormat="1" applyFont="1" applyFill="1" applyBorder="1" applyAlignment="1">
      <alignment horizontal="center"/>
    </xf>
    <xf numFmtId="4" fontId="8" fillId="3" borderId="3" xfId="1" applyNumberFormat="1" applyFont="1" applyFill="1" applyBorder="1"/>
    <xf numFmtId="4" fontId="8" fillId="0" borderId="0" xfId="0" applyFont="1">
      <alignment vertical="top"/>
    </xf>
    <xf numFmtId="4" fontId="7" fillId="0" borderId="0" xfId="0" applyFont="1">
      <alignment vertical="top"/>
    </xf>
    <xf numFmtId="3" fontId="9" fillId="3" borderId="3" xfId="1" applyNumberFormat="1" applyFont="1" applyFill="1" applyBorder="1"/>
    <xf numFmtId="3" fontId="8" fillId="3" borderId="3" xfId="1" applyNumberFormat="1" applyFont="1" applyFill="1" applyBorder="1" applyAlignment="1">
      <alignment horizontal="right"/>
    </xf>
    <xf numFmtId="3" fontId="8" fillId="0" borderId="3" xfId="1" applyNumberFormat="1" applyFont="1" applyBorder="1" applyAlignment="1">
      <alignment horizontal="right"/>
    </xf>
    <xf numFmtId="4" fontId="8" fillId="0" borderId="3" xfId="1" applyNumberFormat="1" applyFont="1" applyFill="1" applyBorder="1"/>
    <xf numFmtId="3" fontId="8" fillId="0" borderId="3" xfId="1" applyNumberFormat="1" applyFont="1" applyBorder="1"/>
    <xf numFmtId="3" fontId="8" fillId="0" borderId="3" xfId="1" applyNumberFormat="1" applyFont="1" applyFill="1" applyBorder="1"/>
    <xf numFmtId="3" fontId="8" fillId="0" borderId="3" xfId="1" applyNumberFormat="1" applyFont="1" applyFill="1" applyBorder="1" applyAlignment="1">
      <alignment horizontal="right"/>
    </xf>
    <xf numFmtId="3" fontId="8" fillId="0" borderId="3" xfId="1" applyNumberFormat="1" applyFont="1" applyBorder="1" applyAlignment="1"/>
    <xf numFmtId="4" fontId="11" fillId="0" borderId="3" xfId="1" applyNumberFormat="1" applyFont="1" applyFill="1" applyBorder="1"/>
    <xf numFmtId="3" fontId="8" fillId="0" borderId="3" xfId="0" applyNumberFormat="1" applyFont="1" applyBorder="1" applyAlignment="1">
      <alignment horizontal="right" vertical="top"/>
    </xf>
    <xf numFmtId="3" fontId="8" fillId="0" borderId="3" xfId="0" applyNumberFormat="1" applyFont="1" applyBorder="1">
      <alignment vertical="top"/>
    </xf>
    <xf numFmtId="3" fontId="9" fillId="0" borderId="3" xfId="1" applyFont="1" applyBorder="1" applyAlignment="1">
      <alignment horizontal="left"/>
    </xf>
    <xf numFmtId="3" fontId="24" fillId="0" borderId="3" xfId="1" applyFont="1" applyBorder="1" applyAlignment="1">
      <alignment horizontal="left"/>
    </xf>
    <xf numFmtId="3" fontId="9" fillId="3" borderId="4" xfId="1" applyNumberFormat="1" applyFont="1" applyFill="1" applyBorder="1"/>
    <xf numFmtId="3" fontId="8" fillId="0" borderId="4" xfId="1" applyNumberFormat="1" applyFont="1" applyBorder="1" applyAlignment="1">
      <alignment horizontal="right"/>
    </xf>
    <xf numFmtId="3" fontId="8" fillId="3" borderId="4" xfId="1" applyNumberFormat="1" applyFont="1" applyFill="1" applyBorder="1" applyAlignment="1">
      <alignment horizontal="right"/>
    </xf>
    <xf numFmtId="3" fontId="9" fillId="3" borderId="35" xfId="1" applyNumberFormat="1" applyFont="1" applyFill="1" applyBorder="1"/>
    <xf numFmtId="3" fontId="9" fillId="3" borderId="36" xfId="1" applyNumberFormat="1" applyFont="1" applyFill="1" applyBorder="1"/>
    <xf numFmtId="3" fontId="8" fillId="0" borderId="35" xfId="1" applyNumberFormat="1" applyFont="1" applyBorder="1"/>
    <xf numFmtId="3" fontId="8" fillId="0" borderId="36" xfId="1" applyNumberFormat="1" applyFont="1" applyBorder="1"/>
    <xf numFmtId="3" fontId="8" fillId="0" borderId="35" xfId="1" applyNumberFormat="1" applyFont="1" applyBorder="1" applyAlignment="1">
      <alignment horizontal="right"/>
    </xf>
    <xf numFmtId="3" fontId="8" fillId="0" borderId="36" xfId="1" applyNumberFormat="1" applyFont="1" applyBorder="1" applyAlignment="1">
      <alignment horizontal="right"/>
    </xf>
    <xf numFmtId="3" fontId="8" fillId="3" borderId="35" xfId="1" applyNumberFormat="1" applyFont="1" applyFill="1" applyBorder="1" applyAlignment="1">
      <alignment horizontal="right"/>
    </xf>
    <xf numFmtId="3" fontId="8" fillId="3" borderId="36" xfId="1" applyNumberFormat="1" applyFont="1" applyFill="1" applyBorder="1" applyAlignment="1">
      <alignment horizontal="right"/>
    </xf>
    <xf numFmtId="3" fontId="8" fillId="0" borderId="35" xfId="1" applyNumberFormat="1" applyFont="1" applyFill="1" applyBorder="1"/>
    <xf numFmtId="3" fontId="8" fillId="0" borderId="36" xfId="1" applyNumberFormat="1" applyFont="1" applyFill="1" applyBorder="1" applyAlignment="1">
      <alignment horizontal="right"/>
    </xf>
    <xf numFmtId="3" fontId="8" fillId="0" borderId="35" xfId="1" applyNumberFormat="1" applyFont="1" applyBorder="1" applyAlignment="1"/>
    <xf numFmtId="3" fontId="8" fillId="0" borderId="36" xfId="1" applyNumberFormat="1" applyFont="1" applyBorder="1" applyAlignment="1"/>
    <xf numFmtId="3" fontId="8" fillId="0" borderId="36" xfId="1" applyNumberFormat="1" applyFont="1" applyFill="1" applyBorder="1"/>
    <xf numFmtId="3" fontId="8" fillId="0" borderId="35" xfId="0" applyNumberFormat="1" applyFont="1" applyBorder="1">
      <alignment vertical="top"/>
    </xf>
    <xf numFmtId="3" fontId="8" fillId="0" borderId="36" xfId="0" applyNumberFormat="1" applyFont="1" applyBorder="1">
      <alignment vertical="top"/>
    </xf>
    <xf numFmtId="3" fontId="8" fillId="0" borderId="36" xfId="0" applyNumberFormat="1" applyFont="1" applyBorder="1" applyAlignment="1">
      <alignment horizontal="right" vertical="top"/>
    </xf>
    <xf numFmtId="4" fontId="11" fillId="0" borderId="40" xfId="1" applyNumberFormat="1" applyFont="1" applyFill="1" applyBorder="1"/>
    <xf numFmtId="3" fontId="9" fillId="3" borderId="11" xfId="1" applyNumberFormat="1" applyFont="1" applyFill="1" applyBorder="1"/>
    <xf numFmtId="3" fontId="8" fillId="0" borderId="11" xfId="1" applyNumberFormat="1" applyFont="1" applyBorder="1"/>
    <xf numFmtId="3" fontId="8" fillId="0" borderId="11" xfId="1" applyNumberFormat="1" applyFont="1" applyBorder="1" applyAlignment="1">
      <alignment horizontal="right"/>
    </xf>
    <xf numFmtId="3" fontId="8" fillId="3" borderId="11" xfId="1" applyNumberFormat="1" applyFont="1" applyFill="1" applyBorder="1" applyAlignment="1">
      <alignment horizontal="right"/>
    </xf>
    <xf numFmtId="3" fontId="8" fillId="0" borderId="11" xfId="1" applyNumberFormat="1" applyFont="1" applyFill="1" applyBorder="1"/>
    <xf numFmtId="3" fontId="8" fillId="0" borderId="11" xfId="1" applyNumberFormat="1" applyFont="1" applyFill="1" applyBorder="1" applyAlignment="1">
      <alignment horizontal="right"/>
    </xf>
    <xf numFmtId="3" fontId="8" fillId="0" borderId="11" xfId="0" applyNumberFormat="1" applyFont="1" applyBorder="1" applyAlignment="1">
      <alignment horizontal="right" vertical="top"/>
    </xf>
    <xf numFmtId="3" fontId="8" fillId="0" borderId="11" xfId="0" applyNumberFormat="1" applyFont="1" applyBorder="1">
      <alignment vertical="top"/>
    </xf>
    <xf numFmtId="3" fontId="9" fillId="0" borderId="35" xfId="1" applyNumberFormat="1" applyFont="1" applyBorder="1"/>
    <xf numFmtId="3" fontId="24" fillId="0" borderId="35" xfId="1" applyNumberFormat="1" applyFont="1" applyBorder="1" applyAlignment="1">
      <alignment horizontal="right"/>
    </xf>
    <xf numFmtId="3" fontId="9" fillId="3" borderId="35" xfId="1" applyNumberFormat="1" applyFont="1" applyFill="1" applyBorder="1" applyAlignment="1">
      <alignment horizontal="right"/>
    </xf>
    <xf numFmtId="3" fontId="9" fillId="0" borderId="35" xfId="1" applyNumberFormat="1" applyFont="1" applyBorder="1" applyAlignment="1">
      <alignment horizontal="right"/>
    </xf>
    <xf numFmtId="3" fontId="9" fillId="0" borderId="35" xfId="1" applyNumberFormat="1" applyFont="1" applyBorder="1" applyAlignment="1"/>
    <xf numFmtId="3" fontId="9" fillId="0" borderId="35" xfId="1" applyNumberFormat="1" applyFont="1" applyFill="1" applyBorder="1"/>
    <xf numFmtId="3" fontId="9" fillId="3" borderId="35" xfId="1" applyFont="1" applyFill="1" applyBorder="1" applyAlignment="1">
      <alignment horizontal="center"/>
    </xf>
    <xf numFmtId="49" fontId="9" fillId="3" borderId="36" xfId="1" applyNumberFormat="1" applyFont="1" applyFill="1" applyBorder="1" applyAlignment="1">
      <alignment horizontal="center"/>
    </xf>
    <xf numFmtId="3" fontId="9" fillId="0" borderId="35" xfId="1" applyFont="1" applyBorder="1" applyAlignment="1">
      <alignment horizontal="center"/>
    </xf>
    <xf numFmtId="49" fontId="9" fillId="0" borderId="36" xfId="1" applyNumberFormat="1" applyFont="1" applyFill="1" applyBorder="1" applyAlignment="1">
      <alignment horizontal="center"/>
    </xf>
    <xf numFmtId="3" fontId="24" fillId="0" borderId="35" xfId="1" applyFont="1" applyBorder="1" applyAlignment="1">
      <alignment horizontal="center"/>
    </xf>
    <xf numFmtId="3" fontId="10" fillId="0" borderId="35" xfId="1" applyFont="1" applyBorder="1" applyAlignment="1">
      <alignment horizontal="center"/>
    </xf>
    <xf numFmtId="4" fontId="10" fillId="0" borderId="35" xfId="1" applyNumberFormat="1" applyFont="1" applyBorder="1" applyAlignment="1">
      <alignment horizontal="center"/>
    </xf>
    <xf numFmtId="49" fontId="10" fillId="3" borderId="4" xfId="1" applyNumberFormat="1" applyFont="1" applyFill="1" applyBorder="1" applyAlignment="1">
      <alignment horizontal="center"/>
    </xf>
    <xf numFmtId="3" fontId="10" fillId="0" borderId="35" xfId="1" applyNumberFormat="1" applyFont="1" applyFill="1" applyBorder="1" applyAlignment="1"/>
    <xf numFmtId="3" fontId="10" fillId="0" borderId="3" xfId="1" applyNumberFormat="1" applyFont="1" applyFill="1" applyBorder="1" applyAlignment="1"/>
    <xf numFmtId="3" fontId="10" fillId="0" borderId="36" xfId="1" applyNumberFormat="1" applyFont="1" applyFill="1" applyBorder="1" applyAlignment="1"/>
    <xf numFmtId="4" fontId="10" fillId="3" borderId="4" xfId="1" applyNumberFormat="1" applyFont="1" applyFill="1" applyBorder="1" applyAlignment="1">
      <alignment horizontal="center"/>
    </xf>
    <xf numFmtId="4" fontId="10" fillId="0" borderId="39" xfId="1" applyNumberFormat="1" applyFont="1" applyBorder="1" applyAlignment="1">
      <alignment horizontal="center"/>
    </xf>
    <xf numFmtId="49" fontId="10" fillId="3" borderId="74" xfId="1" applyNumberFormat="1" applyFont="1" applyFill="1" applyBorder="1" applyAlignment="1">
      <alignment horizontal="center"/>
    </xf>
    <xf numFmtId="3" fontId="10" fillId="0" borderId="39" xfId="1" applyNumberFormat="1" applyFont="1" applyFill="1" applyBorder="1" applyAlignment="1"/>
    <xf numFmtId="3" fontId="10" fillId="0" borderId="40" xfId="1" applyNumberFormat="1" applyFont="1" applyFill="1" applyBorder="1" applyAlignment="1"/>
    <xf numFmtId="4" fontId="8" fillId="0" borderId="40" xfId="1" applyNumberFormat="1" applyFont="1" applyFill="1" applyBorder="1"/>
    <xf numFmtId="3" fontId="10" fillId="0" borderId="41" xfId="1" applyNumberFormat="1" applyFont="1" applyFill="1" applyBorder="1" applyAlignment="1"/>
    <xf numFmtId="3" fontId="53" fillId="7" borderId="35" xfId="0" applyNumberFormat="1" applyFont="1" applyFill="1" applyBorder="1">
      <alignment vertical="top"/>
    </xf>
    <xf numFmtId="3" fontId="53" fillId="7" borderId="3" xfId="0" applyNumberFormat="1" applyFont="1" applyFill="1" applyBorder="1">
      <alignment vertical="top"/>
    </xf>
    <xf numFmtId="3" fontId="53" fillId="7" borderId="39" xfId="0" applyNumberFormat="1" applyFont="1" applyFill="1" applyBorder="1">
      <alignment vertical="top"/>
    </xf>
    <xf numFmtId="3" fontId="53" fillId="7" borderId="40" xfId="0" applyNumberFormat="1" applyFont="1" applyFill="1" applyBorder="1">
      <alignment vertical="top"/>
    </xf>
    <xf numFmtId="3" fontId="7" fillId="7" borderId="36" xfId="0" applyNumberFormat="1" applyFont="1" applyFill="1" applyBorder="1">
      <alignment vertical="top"/>
    </xf>
    <xf numFmtId="3" fontId="7" fillId="7" borderId="41" xfId="0" applyNumberFormat="1" applyFont="1" applyFill="1" applyBorder="1">
      <alignment vertical="top"/>
    </xf>
    <xf numFmtId="3" fontId="10" fillId="7" borderId="35" xfId="1" applyNumberFormat="1" applyFont="1" applyFill="1" applyBorder="1" applyAlignment="1"/>
    <xf numFmtId="3" fontId="10" fillId="7" borderId="3" xfId="1" applyNumberFormat="1" applyFont="1" applyFill="1" applyBorder="1" applyAlignment="1"/>
    <xf numFmtId="3" fontId="10" fillId="7" borderId="39" xfId="1" applyNumberFormat="1" applyFont="1" applyFill="1" applyBorder="1" applyAlignment="1"/>
    <xf numFmtId="3" fontId="10" fillId="7" borderId="40" xfId="1" applyNumberFormat="1" applyFont="1" applyFill="1" applyBorder="1" applyAlignment="1"/>
    <xf numFmtId="3" fontId="10" fillId="7" borderId="36" xfId="1" applyNumberFormat="1" applyFont="1" applyFill="1" applyBorder="1" applyAlignment="1"/>
    <xf numFmtId="3" fontId="10" fillId="7" borderId="41" xfId="1" applyNumberFormat="1" applyFont="1" applyFill="1" applyBorder="1" applyAlignment="1"/>
    <xf numFmtId="3" fontId="8" fillId="0" borderId="35" xfId="1" applyNumberFormat="1" applyFont="1" applyFill="1" applyBorder="1" applyAlignment="1"/>
    <xf numFmtId="4" fontId="10" fillId="7" borderId="36" xfId="1" applyNumberFormat="1" applyFont="1" applyFill="1" applyBorder="1" applyAlignment="1"/>
    <xf numFmtId="4" fontId="7" fillId="7" borderId="36" xfId="0" applyNumberFormat="1" applyFont="1" applyFill="1" applyBorder="1">
      <alignment vertical="top"/>
    </xf>
    <xf numFmtId="3" fontId="8" fillId="0" borderId="3" xfId="1" applyNumberFormat="1" applyFont="1" applyFill="1" applyBorder="1" applyAlignment="1"/>
    <xf numFmtId="4" fontId="10" fillId="7" borderId="35" xfId="1" applyNumberFormat="1" applyFont="1" applyFill="1" applyBorder="1" applyAlignment="1"/>
    <xf numFmtId="4" fontId="10" fillId="7" borderId="3" xfId="1" applyNumberFormat="1" applyFont="1" applyFill="1" applyBorder="1" applyAlignment="1"/>
    <xf numFmtId="3" fontId="8" fillId="0" borderId="36" xfId="1" applyNumberFormat="1" applyFont="1" applyFill="1" applyBorder="1" applyAlignment="1"/>
    <xf numFmtId="4" fontId="8" fillId="0" borderId="3" xfId="1" applyNumberFormat="1" applyFont="1" applyFill="1" applyBorder="1" applyAlignment="1"/>
    <xf numFmtId="3" fontId="9" fillId="3" borderId="3" xfId="1" applyFont="1" applyFill="1" applyBorder="1" applyAlignment="1">
      <alignment horizontal="left"/>
    </xf>
    <xf numFmtId="4" fontId="31" fillId="0" borderId="3" xfId="0" applyFont="1" applyBorder="1" applyAlignment="1">
      <alignment horizontal="center" vertical="center" wrapText="1"/>
    </xf>
    <xf numFmtId="4" fontId="31" fillId="0" borderId="3" xfId="0" applyNumberFormat="1" applyFont="1" applyBorder="1" applyAlignment="1">
      <alignment vertical="center" wrapText="1"/>
    </xf>
    <xf numFmtId="14" fontId="31" fillId="0" borderId="3" xfId="0" applyNumberFormat="1" applyFont="1" applyBorder="1" applyAlignment="1">
      <alignment vertical="center" wrapText="1"/>
    </xf>
    <xf numFmtId="14" fontId="31" fillId="0" borderId="3" xfId="0" applyNumberFormat="1" applyFont="1" applyBorder="1" applyAlignment="1">
      <alignment horizontal="center" vertical="center" wrapText="1"/>
    </xf>
    <xf numFmtId="4" fontId="16" fillId="0" borderId="3" xfId="0" applyFont="1" applyBorder="1" applyAlignment="1">
      <alignment horizontal="left" vertical="center" wrapText="1"/>
    </xf>
    <xf numFmtId="4" fontId="31" fillId="0" borderId="3" xfId="0" applyFont="1" applyBorder="1" applyAlignment="1">
      <alignment horizontal="left" vertical="center" wrapText="1"/>
    </xf>
    <xf numFmtId="4" fontId="31" fillId="0" borderId="4" xfId="0" applyFont="1" applyBorder="1" applyAlignment="1">
      <alignment horizontal="left" vertical="center" wrapText="1"/>
    </xf>
    <xf numFmtId="4" fontId="31" fillId="0" borderId="3" xfId="0" applyNumberFormat="1" applyFont="1" applyBorder="1" applyAlignment="1">
      <alignment horizontal="left" vertical="center" wrapText="1"/>
    </xf>
    <xf numFmtId="4" fontId="16" fillId="0" borderId="3" xfId="0" applyFont="1" applyBorder="1" applyAlignment="1">
      <alignment horizontal="center" vertical="center" wrapText="1"/>
    </xf>
    <xf numFmtId="14" fontId="31" fillId="0" borderId="3" xfId="0" applyNumberFormat="1" applyFont="1" applyBorder="1" applyAlignment="1">
      <alignment horizontal="left" vertical="center" wrapText="1"/>
    </xf>
    <xf numFmtId="4" fontId="31" fillId="0" borderId="3" xfId="0" applyNumberFormat="1" applyFont="1" applyBorder="1" applyAlignment="1">
      <alignment horizontal="right" vertical="center" wrapText="1"/>
    </xf>
    <xf numFmtId="14" fontId="16" fillId="0" borderId="3" xfId="0" applyNumberFormat="1" applyFont="1" applyBorder="1" applyAlignment="1">
      <alignment vertical="center" wrapText="1"/>
    </xf>
    <xf numFmtId="14" fontId="16" fillId="0" borderId="3" xfId="0" applyNumberFormat="1" applyFont="1" applyBorder="1" applyAlignment="1">
      <alignment horizontal="center" vertical="center" wrapText="1"/>
    </xf>
    <xf numFmtId="4" fontId="22" fillId="8" borderId="24" xfId="0" applyNumberFormat="1" applyFont="1" applyFill="1" applyBorder="1" applyAlignment="1">
      <alignment horizontal="left" vertical="center"/>
    </xf>
    <xf numFmtId="14" fontId="22" fillId="8" borderId="24" xfId="0" applyNumberFormat="1" applyFont="1" applyFill="1" applyBorder="1" applyAlignment="1">
      <alignment horizontal="left" vertical="center"/>
    </xf>
    <xf numFmtId="14" fontId="22" fillId="8" borderId="22" xfId="0" applyNumberFormat="1" applyFont="1" applyFill="1" applyBorder="1" applyAlignment="1">
      <alignment horizontal="left" vertical="center" wrapText="1"/>
    </xf>
    <xf numFmtId="4" fontId="22" fillId="8" borderId="22" xfId="0" applyNumberFormat="1" applyFont="1" applyFill="1" applyBorder="1" applyAlignment="1">
      <alignment horizontal="left" vertical="center"/>
    </xf>
    <xf numFmtId="4" fontId="22" fillId="8" borderId="29" xfId="0" applyNumberFormat="1" applyFont="1" applyFill="1" applyBorder="1" applyAlignment="1">
      <alignment horizontal="left" vertical="center" wrapText="1"/>
    </xf>
    <xf numFmtId="14" fontId="22" fillId="8" borderId="29" xfId="0" applyNumberFormat="1" applyFont="1" applyFill="1" applyBorder="1" applyAlignment="1">
      <alignment horizontal="left" vertical="center"/>
    </xf>
    <xf numFmtId="4" fontId="22" fillId="8" borderId="14" xfId="0" applyNumberFormat="1" applyFont="1" applyFill="1" applyBorder="1" applyAlignment="1">
      <alignment horizontal="left" vertical="center"/>
    </xf>
    <xf numFmtId="4" fontId="22" fillId="8" borderId="29" xfId="0" applyNumberFormat="1" applyFont="1" applyFill="1" applyBorder="1" applyAlignment="1">
      <alignment horizontal="left" vertical="center"/>
    </xf>
    <xf numFmtId="14" fontId="22" fillId="8" borderId="2" xfId="0" applyNumberFormat="1" applyFont="1" applyFill="1" applyBorder="1" applyAlignment="1">
      <alignment horizontal="left" vertical="center" wrapText="1"/>
    </xf>
    <xf numFmtId="4" fontId="22" fillId="8" borderId="14" xfId="0" applyNumberFormat="1" applyFont="1" applyFill="1" applyBorder="1" applyAlignment="1">
      <alignment horizontal="left" vertical="center" wrapText="1"/>
    </xf>
    <xf numFmtId="49" fontId="22" fillId="8" borderId="14" xfId="0" applyNumberFormat="1" applyFont="1" applyFill="1" applyBorder="1" applyAlignment="1">
      <alignment horizontal="left" vertical="center"/>
    </xf>
    <xf numFmtId="49" fontId="22" fillId="8" borderId="29" xfId="0" applyNumberFormat="1" applyFont="1" applyFill="1" applyBorder="1" applyAlignment="1">
      <alignment horizontal="left" vertical="center" wrapText="1"/>
    </xf>
    <xf numFmtId="49" fontId="22" fillId="8" borderId="29" xfId="0" applyNumberFormat="1" applyFont="1" applyFill="1" applyBorder="1" applyAlignment="1">
      <alignment horizontal="left" vertical="center"/>
    </xf>
    <xf numFmtId="4" fontId="0" fillId="0" borderId="0" xfId="0" applyAlignment="1">
      <alignment vertical="top"/>
    </xf>
    <xf numFmtId="4" fontId="9" fillId="3" borderId="150" xfId="1" applyNumberFormat="1" applyFont="1" applyFill="1" applyBorder="1"/>
    <xf numFmtId="4" fontId="9" fillId="3" borderId="161" xfId="1" applyNumberFormat="1" applyFont="1" applyFill="1" applyBorder="1"/>
    <xf numFmtId="4" fontId="8" fillId="3" borderId="161" xfId="1" applyNumberFormat="1" applyFont="1" applyFill="1" applyBorder="1"/>
    <xf numFmtId="4" fontId="9" fillId="3" borderId="146" xfId="1" applyNumberFormat="1" applyFont="1" applyFill="1" applyBorder="1"/>
    <xf numFmtId="3" fontId="9" fillId="3" borderId="146" xfId="1" applyNumberFormat="1" applyFont="1" applyFill="1" applyBorder="1"/>
    <xf numFmtId="4" fontId="8" fillId="0" borderId="32" xfId="1" applyNumberFormat="1" applyFont="1" applyBorder="1" applyAlignment="1">
      <alignment horizontal="right"/>
    </xf>
    <xf numFmtId="4" fontId="8" fillId="0" borderId="33" xfId="1" applyNumberFormat="1" applyFont="1" applyBorder="1" applyAlignment="1">
      <alignment horizontal="right"/>
    </xf>
    <xf numFmtId="4" fontId="8" fillId="0" borderId="33" xfId="1" applyNumberFormat="1" applyFont="1" applyFill="1" applyBorder="1"/>
    <xf numFmtId="4" fontId="8" fillId="0" borderId="34" xfId="1" applyNumberFormat="1" applyFont="1" applyBorder="1" applyAlignment="1">
      <alignment horizontal="right"/>
    </xf>
    <xf numFmtId="4" fontId="9" fillId="0" borderId="32" xfId="1" applyNumberFormat="1" applyFont="1" applyFill="1" applyBorder="1"/>
    <xf numFmtId="4" fontId="9" fillId="0" borderId="33" xfId="1" applyNumberFormat="1" applyFont="1" applyFill="1" applyBorder="1"/>
    <xf numFmtId="4" fontId="8" fillId="0" borderId="34" xfId="1" applyNumberFormat="1" applyFont="1" applyFill="1" applyBorder="1"/>
    <xf numFmtId="4" fontId="8" fillId="0" borderId="32" xfId="1" applyNumberFormat="1" applyFont="1" applyFill="1" applyBorder="1"/>
    <xf numFmtId="4" fontId="24" fillId="0" borderId="35" xfId="1" applyNumberFormat="1" applyFont="1" applyFill="1" applyBorder="1" applyAlignment="1">
      <alignment horizontal="right"/>
    </xf>
    <xf numFmtId="4" fontId="24" fillId="0" borderId="3" xfId="1" applyNumberFormat="1" applyFont="1" applyFill="1" applyBorder="1" applyAlignment="1">
      <alignment horizontal="right"/>
    </xf>
    <xf numFmtId="4" fontId="8" fillId="0" borderId="35" xfId="1" applyNumberFormat="1" applyFont="1" applyFill="1" applyBorder="1" applyAlignment="1">
      <alignment horizontal="right"/>
    </xf>
    <xf numFmtId="4" fontId="8" fillId="0" borderId="39" xfId="1" applyNumberFormat="1" applyFont="1" applyBorder="1" applyAlignment="1">
      <alignment horizontal="right"/>
    </xf>
    <xf numFmtId="4" fontId="8" fillId="0" borderId="40" xfId="1" applyNumberFormat="1" applyFont="1" applyBorder="1" applyAlignment="1">
      <alignment horizontal="right"/>
    </xf>
    <xf numFmtId="4" fontId="8" fillId="0" borderId="41" xfId="1" applyNumberFormat="1" applyFont="1" applyBorder="1" applyAlignment="1">
      <alignment horizontal="right"/>
    </xf>
    <xf numFmtId="4" fontId="24" fillId="0" borderId="39" xfId="1" applyNumberFormat="1" applyFont="1" applyFill="1" applyBorder="1" applyAlignment="1">
      <alignment horizontal="right"/>
    </xf>
    <xf numFmtId="4" fontId="24" fillId="0" borderId="40" xfId="1" applyNumberFormat="1" applyFont="1" applyFill="1" applyBorder="1" applyAlignment="1">
      <alignment horizontal="right"/>
    </xf>
    <xf numFmtId="4" fontId="8" fillId="0" borderId="40" xfId="1" applyNumberFormat="1" applyFont="1" applyFill="1" applyBorder="1" applyAlignment="1">
      <alignment horizontal="right"/>
    </xf>
    <xf numFmtId="4" fontId="8" fillId="0" borderId="41" xfId="1" applyNumberFormat="1" applyFont="1" applyFill="1" applyBorder="1" applyAlignment="1">
      <alignment horizontal="right"/>
    </xf>
    <xf numFmtId="4" fontId="8" fillId="0" borderId="39" xfId="1" applyNumberFormat="1" applyFont="1" applyFill="1" applyBorder="1" applyAlignment="1">
      <alignment horizontal="right"/>
    </xf>
    <xf numFmtId="3" fontId="8" fillId="0" borderId="41" xfId="1" applyNumberFormat="1" applyFont="1" applyFill="1" applyBorder="1" applyAlignment="1">
      <alignment horizontal="right"/>
    </xf>
    <xf numFmtId="4" fontId="8" fillId="3" borderId="113" xfId="1" applyNumberFormat="1" applyFont="1" applyFill="1" applyBorder="1" applyAlignment="1">
      <alignment horizontal="right"/>
    </xf>
    <xf numFmtId="4" fontId="8" fillId="3" borderId="5" xfId="1" applyNumberFormat="1" applyFont="1" applyFill="1" applyBorder="1" applyAlignment="1">
      <alignment horizontal="right"/>
    </xf>
    <xf numFmtId="4" fontId="8" fillId="3" borderId="5" xfId="1" applyNumberFormat="1" applyFont="1" applyFill="1" applyBorder="1"/>
    <xf numFmtId="4" fontId="8" fillId="3" borderId="38" xfId="1" applyNumberFormat="1" applyFont="1" applyFill="1" applyBorder="1" applyAlignment="1">
      <alignment horizontal="right"/>
    </xf>
    <xf numFmtId="4" fontId="9" fillId="3" borderId="113" xfId="1" applyNumberFormat="1" applyFont="1" applyFill="1" applyBorder="1" applyAlignment="1">
      <alignment horizontal="right"/>
    </xf>
    <xf numFmtId="3" fontId="8" fillId="3" borderId="38" xfId="1" applyNumberFormat="1" applyFont="1" applyFill="1" applyBorder="1" applyAlignment="1">
      <alignment horizontal="right"/>
    </xf>
    <xf numFmtId="4" fontId="9" fillId="3" borderId="115" xfId="1" applyNumberFormat="1" applyFont="1" applyFill="1" applyBorder="1"/>
    <xf numFmtId="4" fontId="9" fillId="3" borderId="10" xfId="1" applyNumberFormat="1" applyFont="1" applyFill="1" applyBorder="1"/>
    <xf numFmtId="4" fontId="9" fillId="3" borderId="37" xfId="1" applyNumberFormat="1" applyFont="1" applyFill="1" applyBorder="1"/>
    <xf numFmtId="4" fontId="9" fillId="0" borderId="32" xfId="1" applyNumberFormat="1" applyFont="1" applyFill="1" applyBorder="1" applyAlignment="1">
      <alignment horizontal="right"/>
    </xf>
    <xf numFmtId="4" fontId="9" fillId="0" borderId="33" xfId="1" applyNumberFormat="1" applyFont="1" applyFill="1" applyBorder="1" applyAlignment="1">
      <alignment horizontal="right"/>
    </xf>
    <xf numFmtId="4" fontId="9" fillId="0" borderId="35" xfId="1" applyNumberFormat="1" applyFont="1" applyFill="1" applyBorder="1" applyAlignment="1">
      <alignment horizontal="right"/>
    </xf>
    <xf numFmtId="4" fontId="9" fillId="0" borderId="3" xfId="1" applyNumberFormat="1" applyFont="1" applyFill="1" applyBorder="1" applyAlignment="1">
      <alignment horizontal="right"/>
    </xf>
    <xf numFmtId="4" fontId="9" fillId="0" borderId="35" xfId="1" applyNumberFormat="1" applyFont="1" applyFill="1" applyBorder="1" applyAlignment="1"/>
    <xf numFmtId="4" fontId="9" fillId="0" borderId="3" xfId="1" applyNumberFormat="1" applyFont="1" applyFill="1" applyBorder="1" applyAlignment="1"/>
    <xf numFmtId="4" fontId="8" fillId="0" borderId="35" xfId="1" applyNumberFormat="1" applyFont="1" applyFill="1" applyBorder="1" applyAlignment="1"/>
    <xf numFmtId="4" fontId="8" fillId="0" borderId="36" xfId="1" applyNumberFormat="1" applyFont="1" applyFill="1" applyBorder="1" applyAlignment="1"/>
    <xf numFmtId="4" fontId="55" fillId="0" borderId="3" xfId="1" applyNumberFormat="1" applyFont="1" applyFill="1" applyBorder="1" applyAlignment="1">
      <alignment horizontal="right"/>
    </xf>
    <xf numFmtId="4" fontId="8" fillId="0" borderId="36" xfId="1" applyNumberFormat="1" applyFont="1" applyFill="1" applyBorder="1"/>
    <xf numFmtId="4" fontId="8" fillId="0" borderId="35" xfId="1" applyNumberFormat="1" applyFont="1" applyFill="1" applyBorder="1"/>
    <xf numFmtId="4" fontId="8" fillId="0" borderId="35" xfId="1" applyNumberFormat="1" applyFont="1" applyFill="1" applyBorder="1" applyAlignment="1">
      <alignment horizontal="center"/>
    </xf>
    <xf numFmtId="4" fontId="8" fillId="0" borderId="3" xfId="1" applyNumberFormat="1" applyFont="1" applyFill="1" applyBorder="1" applyAlignment="1">
      <alignment horizontal="center"/>
    </xf>
    <xf numFmtId="4" fontId="8" fillId="0" borderId="36" xfId="1" applyNumberFormat="1" applyFont="1" applyFill="1" applyBorder="1" applyAlignment="1">
      <alignment horizontal="center"/>
    </xf>
    <xf numFmtId="4" fontId="11" fillId="0" borderId="35" xfId="1" applyNumberFormat="1" applyFont="1" applyFill="1" applyBorder="1" applyAlignment="1">
      <alignment horizontal="center"/>
    </xf>
    <xf numFmtId="4" fontId="11" fillId="0" borderId="3" xfId="1" applyNumberFormat="1" applyFont="1" applyFill="1" applyBorder="1" applyAlignment="1">
      <alignment horizontal="center"/>
    </xf>
    <xf numFmtId="4" fontId="11" fillId="0" borderId="36" xfId="1" applyNumberFormat="1" applyFont="1" applyFill="1" applyBorder="1" applyAlignment="1">
      <alignment horizontal="center"/>
    </xf>
    <xf numFmtId="4" fontId="8" fillId="0" borderId="3" xfId="0" applyNumberFormat="1" applyFont="1" applyFill="1" applyBorder="1" applyAlignment="1">
      <alignment horizontal="right" vertical="top"/>
    </xf>
    <xf numFmtId="4" fontId="8" fillId="0" borderId="36" xfId="0" applyNumberFormat="1" applyFont="1" applyFill="1" applyBorder="1" applyAlignment="1">
      <alignment horizontal="right" vertical="top"/>
    </xf>
    <xf numFmtId="4" fontId="8" fillId="0" borderId="35" xfId="0" applyNumberFormat="1" applyFont="1" applyFill="1" applyBorder="1" applyAlignment="1">
      <alignment horizontal="right" vertical="top"/>
    </xf>
    <xf numFmtId="3" fontId="8" fillId="0" borderId="36" xfId="0" applyNumberFormat="1" applyFont="1" applyFill="1" applyBorder="1" applyAlignment="1">
      <alignment horizontal="right" vertical="top"/>
    </xf>
    <xf numFmtId="3" fontId="8" fillId="0" borderId="35" xfId="0" applyNumberFormat="1" applyFont="1" applyFill="1" applyBorder="1" applyAlignment="1">
      <alignment vertical="top"/>
    </xf>
    <xf numFmtId="3" fontId="8" fillId="0" borderId="3" xfId="0" applyNumberFormat="1" applyFont="1" applyFill="1" applyBorder="1" applyAlignment="1">
      <alignment vertical="top"/>
    </xf>
    <xf numFmtId="4" fontId="8" fillId="0" borderId="3" xfId="0" applyNumberFormat="1" applyFont="1" applyFill="1" applyBorder="1" applyAlignment="1">
      <alignment vertical="top"/>
    </xf>
    <xf numFmtId="4" fontId="8" fillId="0" borderId="36" xfId="0" applyNumberFormat="1" applyFont="1" applyFill="1" applyBorder="1" applyAlignment="1">
      <alignment vertical="top"/>
    </xf>
    <xf numFmtId="4" fontId="8" fillId="0" borderId="0" xfId="0" applyFont="1" applyAlignment="1">
      <alignment vertical="top"/>
    </xf>
    <xf numFmtId="3" fontId="8" fillId="0" borderId="39" xfId="1" applyNumberFormat="1" applyFont="1" applyBorder="1" applyAlignment="1">
      <alignment horizontal="right"/>
    </xf>
    <xf numFmtId="3" fontId="8" fillId="0" borderId="40" xfId="1" applyNumberFormat="1" applyFont="1" applyBorder="1" applyAlignment="1">
      <alignment horizontal="right"/>
    </xf>
    <xf numFmtId="3" fontId="8" fillId="0" borderId="41" xfId="1" applyNumberFormat="1" applyFont="1" applyBorder="1" applyAlignment="1">
      <alignment horizontal="right"/>
    </xf>
    <xf numFmtId="3" fontId="9" fillId="0" borderId="39" xfId="1" applyNumberFormat="1" applyFont="1" applyFill="1" applyBorder="1"/>
    <xf numFmtId="4" fontId="8" fillId="0" borderId="40" xfId="0" applyNumberFormat="1" applyFont="1" applyFill="1" applyBorder="1" applyAlignment="1">
      <alignment vertical="top"/>
    </xf>
    <xf numFmtId="3" fontId="8" fillId="0" borderId="40" xfId="0" applyNumberFormat="1" applyFont="1" applyFill="1" applyBorder="1" applyAlignment="1">
      <alignment vertical="top"/>
    </xf>
    <xf numFmtId="4" fontId="8" fillId="0" borderId="41" xfId="0" applyNumberFormat="1" applyFont="1" applyFill="1" applyBorder="1" applyAlignment="1">
      <alignment vertical="top"/>
    </xf>
    <xf numFmtId="4" fontId="80" fillId="0" borderId="39" xfId="0" applyNumberFormat="1" applyFont="1" applyFill="1" applyBorder="1" applyAlignment="1">
      <alignment vertical="top" wrapText="1"/>
    </xf>
    <xf numFmtId="4" fontId="80" fillId="0" borderId="40" xfId="0" applyNumberFormat="1" applyFont="1" applyFill="1" applyBorder="1" applyAlignment="1">
      <alignment vertical="top" wrapText="1"/>
    </xf>
    <xf numFmtId="3" fontId="8" fillId="0" borderId="41" xfId="0" applyNumberFormat="1" applyFont="1" applyFill="1" applyBorder="1" applyAlignment="1">
      <alignment vertical="top"/>
    </xf>
    <xf numFmtId="3" fontId="8" fillId="0" borderId="39" xfId="0" applyNumberFormat="1" applyFont="1" applyFill="1" applyBorder="1" applyAlignment="1">
      <alignment vertical="top"/>
    </xf>
    <xf numFmtId="3" fontId="8" fillId="0" borderId="40" xfId="0" applyNumberFormat="1" applyFont="1" applyBorder="1" applyAlignment="1">
      <alignment vertical="top"/>
    </xf>
    <xf numFmtId="4" fontId="8" fillId="0" borderId="40" xfId="0" applyNumberFormat="1" applyFont="1" applyBorder="1" applyAlignment="1">
      <alignment vertical="top"/>
    </xf>
    <xf numFmtId="3" fontId="9" fillId="3" borderId="151" xfId="1" applyNumberFormat="1" applyFont="1" applyFill="1" applyBorder="1"/>
    <xf numFmtId="4" fontId="9" fillId="3" borderId="56" xfId="1" applyNumberFormat="1" applyFont="1" applyFill="1" applyBorder="1"/>
    <xf numFmtId="4" fontId="11" fillId="3" borderId="56" xfId="1" applyNumberFormat="1" applyFont="1" applyFill="1" applyBorder="1"/>
    <xf numFmtId="4" fontId="9" fillId="3" borderId="147" xfId="1" applyNumberFormat="1" applyFont="1" applyFill="1" applyBorder="1"/>
    <xf numFmtId="3" fontId="9" fillId="3" borderId="56" xfId="1" applyNumberFormat="1" applyFont="1" applyFill="1" applyBorder="1"/>
    <xf numFmtId="4" fontId="8" fillId="3" borderId="56" xfId="1" applyNumberFormat="1" applyFont="1" applyFill="1" applyBorder="1"/>
    <xf numFmtId="4" fontId="9" fillId="3" borderId="113" xfId="1" applyNumberFormat="1" applyFont="1" applyFill="1" applyBorder="1"/>
    <xf numFmtId="4" fontId="9" fillId="3" borderId="5" xfId="1" applyNumberFormat="1" applyFont="1" applyFill="1" applyBorder="1"/>
    <xf numFmtId="3" fontId="9" fillId="3" borderId="38" xfId="1" applyNumberFormat="1" applyFont="1" applyFill="1" applyBorder="1"/>
    <xf numFmtId="4" fontId="9" fillId="3" borderId="151" xfId="1" applyNumberFormat="1" applyFont="1" applyFill="1" applyBorder="1"/>
    <xf numFmtId="3" fontId="53" fillId="18" borderId="32" xfId="0" applyNumberFormat="1" applyFont="1" applyFill="1" applyBorder="1" applyAlignment="1">
      <alignment vertical="top"/>
    </xf>
    <xf numFmtId="3" fontId="53" fillId="18" borderId="33" xfId="0" applyNumberFormat="1" applyFont="1" applyFill="1" applyBorder="1" applyAlignment="1">
      <alignment vertical="top"/>
    </xf>
    <xf numFmtId="4" fontId="11" fillId="0" borderId="33" xfId="1" applyNumberFormat="1" applyFont="1" applyFill="1" applyBorder="1"/>
    <xf numFmtId="3" fontId="7" fillId="18" borderId="34" xfId="0" applyNumberFormat="1" applyFont="1" applyFill="1" applyBorder="1" applyAlignment="1">
      <alignment vertical="top"/>
    </xf>
    <xf numFmtId="3" fontId="7" fillId="0" borderId="32" xfId="0" applyNumberFormat="1" applyFont="1" applyFill="1" applyBorder="1" applyAlignment="1">
      <alignment vertical="top"/>
    </xf>
    <xf numFmtId="3" fontId="7" fillId="0" borderId="33" xfId="0" applyNumberFormat="1" applyFont="1" applyFill="1" applyBorder="1" applyAlignment="1">
      <alignment vertical="top"/>
    </xf>
    <xf numFmtId="3" fontId="8" fillId="0" borderId="33" xfId="0" applyNumberFormat="1" applyFont="1" applyFill="1" applyBorder="1" applyAlignment="1">
      <alignment vertical="top"/>
    </xf>
    <xf numFmtId="3" fontId="7" fillId="0" borderId="34" xfId="0" applyNumberFormat="1" applyFont="1" applyFill="1" applyBorder="1" applyAlignment="1">
      <alignment vertical="top"/>
    </xf>
    <xf numFmtId="4" fontId="7" fillId="0" borderId="0" xfId="0" applyFont="1" applyAlignment="1">
      <alignment vertical="top"/>
    </xf>
    <xf numFmtId="4" fontId="7" fillId="0" borderId="35" xfId="0" applyNumberFormat="1" applyFont="1" applyFill="1" applyBorder="1" applyAlignment="1">
      <alignment vertical="top"/>
    </xf>
    <xf numFmtId="4" fontId="7" fillId="0" borderId="3" xfId="0" applyNumberFormat="1" applyFont="1" applyFill="1" applyBorder="1" applyAlignment="1">
      <alignment vertical="top"/>
    </xf>
    <xf numFmtId="4" fontId="7" fillId="0" borderId="36" xfId="0" applyNumberFormat="1" applyFont="1" applyFill="1" applyBorder="1" applyAlignment="1">
      <alignment vertical="top"/>
    </xf>
    <xf numFmtId="3" fontId="8" fillId="0" borderId="35" xfId="1" applyNumberFormat="1" applyFont="1" applyFill="1" applyBorder="1" applyAlignment="1">
      <alignment horizontal="center"/>
    </xf>
    <xf numFmtId="3" fontId="8" fillId="0" borderId="3" xfId="1" applyNumberFormat="1" applyFont="1" applyFill="1" applyBorder="1" applyAlignment="1">
      <alignment horizontal="center"/>
    </xf>
    <xf numFmtId="3" fontId="54" fillId="18" borderId="3" xfId="1" applyNumberFormat="1" applyFont="1" applyFill="1" applyBorder="1" applyAlignment="1"/>
    <xf numFmtId="4" fontId="60" fillId="0" borderId="6" xfId="0" applyNumberFormat="1" applyFont="1" applyBorder="1" applyAlignment="1">
      <alignment vertical="center"/>
    </xf>
    <xf numFmtId="4" fontId="60" fillId="0" borderId="13" xfId="0" applyNumberFormat="1" applyFont="1" applyBorder="1" applyAlignment="1">
      <alignment horizontal="right" vertical="center" wrapText="1"/>
    </xf>
    <xf numFmtId="4" fontId="60" fillId="0" borderId="6" xfId="0" applyNumberFormat="1" applyFont="1" applyBorder="1" applyAlignment="1">
      <alignment horizontal="right" vertical="center" wrapText="1"/>
    </xf>
    <xf numFmtId="4" fontId="16" fillId="0" borderId="16" xfId="0" applyNumberFormat="1" applyFont="1" applyBorder="1" applyAlignment="1">
      <alignment vertical="center"/>
    </xf>
    <xf numFmtId="4" fontId="16" fillId="0" borderId="69" xfId="0" applyNumberFormat="1" applyFont="1" applyBorder="1" applyAlignment="1">
      <alignment vertical="center"/>
    </xf>
    <xf numFmtId="4" fontId="16" fillId="0" borderId="45" xfId="0" applyNumberFormat="1" applyFont="1" applyBorder="1" applyAlignment="1">
      <alignment vertical="center"/>
    </xf>
    <xf numFmtId="4" fontId="12" fillId="19" borderId="69" xfId="0" applyFont="1" applyFill="1" applyBorder="1" applyAlignment="1">
      <alignment vertical="center" wrapText="1"/>
    </xf>
    <xf numFmtId="168" fontId="12" fillId="19" borderId="69" xfId="4" applyNumberFormat="1" applyFont="1" applyFill="1" applyBorder="1" applyAlignment="1">
      <alignment horizontal="left" vertical="center" wrapText="1"/>
    </xf>
    <xf numFmtId="168" fontId="13" fillId="19" borderId="69" xfId="4" applyNumberFormat="1" applyFont="1" applyFill="1" applyBorder="1" applyAlignment="1">
      <alignment horizontal="center" vertical="center" wrapText="1"/>
    </xf>
    <xf numFmtId="14" fontId="13" fillId="19" borderId="69" xfId="0" applyNumberFormat="1" applyFont="1" applyFill="1" applyBorder="1" applyAlignment="1">
      <alignment horizontal="center" vertical="center" wrapText="1"/>
    </xf>
    <xf numFmtId="4" fontId="13" fillId="19" borderId="164" xfId="0" applyFont="1" applyFill="1" applyBorder="1" applyAlignment="1">
      <alignment vertical="center" wrapText="1"/>
    </xf>
    <xf numFmtId="168" fontId="13" fillId="19" borderId="164" xfId="4" applyNumberFormat="1" applyFont="1" applyFill="1" applyBorder="1" applyAlignment="1">
      <alignment horizontal="left" vertical="center" wrapText="1"/>
    </xf>
    <xf numFmtId="168" fontId="13" fillId="19" borderId="164" xfId="4" applyNumberFormat="1" applyFont="1" applyFill="1" applyBorder="1" applyAlignment="1">
      <alignment horizontal="center" vertical="center" wrapText="1"/>
    </xf>
    <xf numFmtId="14" fontId="18" fillId="19" borderId="164" xfId="0" applyNumberFormat="1" applyFont="1" applyFill="1" applyBorder="1" applyAlignment="1">
      <alignment horizontal="center" vertical="center" wrapText="1"/>
    </xf>
    <xf numFmtId="4" fontId="12" fillId="0" borderId="31" xfId="0" applyFont="1" applyFill="1" applyBorder="1" applyAlignment="1">
      <alignment vertical="center" wrapText="1"/>
    </xf>
    <xf numFmtId="168" fontId="12" fillId="0" borderId="31" xfId="4" applyNumberFormat="1" applyFont="1" applyFill="1" applyBorder="1" applyAlignment="1">
      <alignment horizontal="left" vertical="center" wrapText="1"/>
    </xf>
    <xf numFmtId="168" fontId="13" fillId="0" borderId="31" xfId="4" applyNumberFormat="1" applyFont="1" applyFill="1" applyBorder="1" applyAlignment="1">
      <alignment horizontal="center" vertical="center" wrapText="1"/>
    </xf>
    <xf numFmtId="14" fontId="13" fillId="0" borderId="31" xfId="0" applyNumberFormat="1" applyFont="1" applyFill="1" applyBorder="1" applyAlignment="1">
      <alignment horizontal="center" vertical="center" wrapText="1"/>
    </xf>
    <xf numFmtId="4" fontId="13" fillId="0" borderId="69" xfId="0" applyFont="1" applyFill="1" applyBorder="1" applyAlignment="1">
      <alignment vertical="center" wrapText="1"/>
    </xf>
    <xf numFmtId="168" fontId="13" fillId="0" borderId="69" xfId="4" applyNumberFormat="1" applyFont="1" applyFill="1" applyBorder="1" applyAlignment="1">
      <alignment horizontal="left" vertical="center" wrapText="1"/>
    </xf>
    <xf numFmtId="168" fontId="13" fillId="0" borderId="69" xfId="4" applyNumberFormat="1" applyFont="1" applyFill="1" applyBorder="1" applyAlignment="1">
      <alignment horizontal="center" vertical="center" wrapText="1"/>
    </xf>
    <xf numFmtId="14" fontId="18" fillId="0" borderId="69" xfId="0" applyNumberFormat="1" applyFont="1" applyFill="1" applyBorder="1" applyAlignment="1">
      <alignment horizontal="center" vertical="center" wrapText="1"/>
    </xf>
    <xf numFmtId="4" fontId="13" fillId="0" borderId="164" xfId="0" applyFont="1" applyFill="1" applyBorder="1" applyAlignment="1">
      <alignment vertical="center" wrapText="1"/>
    </xf>
    <xf numFmtId="168" fontId="13" fillId="0" borderId="164" xfId="4" applyNumberFormat="1" applyFont="1" applyFill="1" applyBorder="1" applyAlignment="1">
      <alignment horizontal="left" vertical="center" wrapText="1"/>
    </xf>
    <xf numFmtId="168" fontId="13" fillId="0" borderId="164" xfId="4" applyNumberFormat="1" applyFont="1" applyFill="1" applyBorder="1" applyAlignment="1">
      <alignment horizontal="center" vertical="center" wrapText="1"/>
    </xf>
    <xf numFmtId="14" fontId="18" fillId="0" borderId="164" xfId="0" applyNumberFormat="1" applyFont="1" applyFill="1" applyBorder="1" applyAlignment="1">
      <alignment horizontal="center" vertical="center" wrapText="1"/>
    </xf>
    <xf numFmtId="4" fontId="12" fillId="19" borderId="31" xfId="0" applyFont="1" applyFill="1" applyBorder="1" applyAlignment="1">
      <alignment vertical="center" wrapText="1"/>
    </xf>
    <xf numFmtId="168" fontId="12" fillId="19" borderId="31" xfId="4" applyNumberFormat="1" applyFont="1" applyFill="1" applyBorder="1" applyAlignment="1">
      <alignment horizontal="left" vertical="center" wrapText="1"/>
    </xf>
    <xf numFmtId="168" fontId="13" fillId="19" borderId="31" xfId="4" applyNumberFormat="1" applyFont="1" applyFill="1" applyBorder="1" applyAlignment="1">
      <alignment horizontal="center" vertical="center" wrapText="1"/>
    </xf>
    <xf numFmtId="14" fontId="13" fillId="19" borderId="31" xfId="0" applyNumberFormat="1" applyFont="1" applyFill="1" applyBorder="1" applyAlignment="1">
      <alignment horizontal="center" vertical="center" wrapText="1"/>
    </xf>
    <xf numFmtId="4" fontId="13" fillId="0" borderId="31" xfId="0" applyFont="1" applyFill="1" applyBorder="1" applyAlignment="1">
      <alignment vertical="center" wrapText="1"/>
    </xf>
    <xf numFmtId="168" fontId="13" fillId="0" borderId="31" xfId="4" applyNumberFormat="1" applyFont="1" applyFill="1" applyBorder="1" applyAlignment="1">
      <alignment horizontal="left" vertical="center" wrapText="1"/>
    </xf>
    <xf numFmtId="14" fontId="13" fillId="0" borderId="164" xfId="0" applyNumberFormat="1" applyFont="1" applyFill="1" applyBorder="1" applyAlignment="1">
      <alignment horizontal="center" vertical="center" wrapText="1"/>
    </xf>
    <xf numFmtId="4" fontId="13" fillId="19" borderId="31" xfId="0" applyFont="1" applyFill="1" applyBorder="1" applyAlignment="1">
      <alignment vertical="center" wrapText="1"/>
    </xf>
    <xf numFmtId="168" fontId="13" fillId="19" borderId="31" xfId="4" applyNumberFormat="1" applyFont="1" applyFill="1" applyBorder="1" applyAlignment="1">
      <alignment horizontal="left" vertical="center" wrapText="1"/>
    </xf>
    <xf numFmtId="4" fontId="13" fillId="0" borderId="69" xfId="0" applyFont="1" applyFill="1" applyBorder="1" applyAlignment="1">
      <alignment horizontal="left" vertical="center" wrapText="1"/>
    </xf>
    <xf numFmtId="14" fontId="13" fillId="0" borderId="69" xfId="0" applyNumberFormat="1" applyFont="1" applyFill="1" applyBorder="1" applyAlignment="1">
      <alignment horizontal="center" vertical="center" wrapText="1"/>
    </xf>
    <xf numFmtId="168" fontId="13" fillId="19" borderId="69" xfId="4" applyNumberFormat="1" applyFont="1" applyFill="1" applyBorder="1" applyAlignment="1">
      <alignment horizontal="left" vertical="center" wrapText="1"/>
    </xf>
    <xf numFmtId="4" fontId="13" fillId="0" borderId="31" xfId="0" applyFont="1" applyFill="1" applyBorder="1" applyAlignment="1">
      <alignment horizontal="left" vertical="center" wrapText="1"/>
    </xf>
    <xf numFmtId="4" fontId="13" fillId="19" borderId="69" xfId="0" applyFont="1" applyFill="1" applyBorder="1" applyAlignment="1">
      <alignment horizontal="left" vertical="center" wrapText="1"/>
    </xf>
    <xf numFmtId="4" fontId="13" fillId="19" borderId="31" xfId="0" applyFont="1" applyFill="1" applyBorder="1" applyAlignment="1">
      <alignment horizontal="left" vertical="center" wrapText="1"/>
    </xf>
    <xf numFmtId="4" fontId="13" fillId="0" borderId="164" xfId="0" applyFont="1" applyFill="1" applyBorder="1" applyAlignment="1">
      <alignment horizontal="left" vertical="center" wrapText="1"/>
    </xf>
    <xf numFmtId="4" fontId="13" fillId="0" borderId="0" xfId="0" applyFont="1" applyAlignment="1"/>
    <xf numFmtId="14" fontId="16" fillId="0" borderId="0" xfId="0" applyNumberFormat="1" applyFont="1" applyAlignment="1">
      <alignment horizontal="left"/>
    </xf>
    <xf numFmtId="4" fontId="12" fillId="0" borderId="44" xfId="0" applyFont="1" applyBorder="1" applyAlignment="1">
      <alignment vertical="center"/>
    </xf>
    <xf numFmtId="4" fontId="15" fillId="0" borderId="44" xfId="0" applyNumberFormat="1" applyFont="1" applyBorder="1" applyAlignment="1">
      <alignment vertical="center"/>
    </xf>
    <xf numFmtId="4" fontId="15" fillId="4" borderId="0" xfId="0" applyFont="1" applyFill="1" applyAlignment="1"/>
    <xf numFmtId="4" fontId="15" fillId="4" borderId="0" xfId="0" applyNumberFormat="1" applyFont="1" applyFill="1" applyBorder="1" applyAlignment="1">
      <alignment horizontal="center"/>
    </xf>
    <xf numFmtId="4" fontId="15" fillId="4" borderId="7" xfId="0" applyFont="1" applyFill="1" applyBorder="1" applyAlignment="1">
      <alignment horizontal="center" vertical="center" wrapText="1"/>
    </xf>
    <xf numFmtId="4" fontId="15" fillId="4" borderId="1" xfId="0" applyFont="1" applyFill="1" applyBorder="1" applyAlignment="1">
      <alignment horizontal="center" vertical="center" wrapText="1"/>
    </xf>
    <xf numFmtId="3" fontId="15" fillId="4" borderId="7" xfId="0" applyNumberFormat="1" applyFont="1" applyFill="1" applyBorder="1" applyAlignment="1">
      <alignment horizontal="right" vertical="center" wrapText="1"/>
    </xf>
    <xf numFmtId="14" fontId="15" fillId="4" borderId="1" xfId="0" applyNumberFormat="1" applyFont="1" applyFill="1" applyBorder="1" applyAlignment="1">
      <alignment horizontal="center" vertical="center" wrapText="1"/>
    </xf>
    <xf numFmtId="4" fontId="15" fillId="4" borderId="63" xfId="0" applyFont="1" applyFill="1" applyBorder="1" applyAlignment="1">
      <alignment horizontal="center" vertical="center" wrapText="1"/>
    </xf>
    <xf numFmtId="4" fontId="15" fillId="4" borderId="14" xfId="0" applyFont="1" applyFill="1" applyBorder="1" applyAlignment="1">
      <alignment horizontal="center" vertical="center" wrapText="1"/>
    </xf>
    <xf numFmtId="4" fontId="15" fillId="4" borderId="2" xfId="0" applyFont="1" applyFill="1" applyBorder="1" applyAlignment="1">
      <alignment horizontal="center" vertical="center" wrapText="1"/>
    </xf>
    <xf numFmtId="4" fontId="15" fillId="4" borderId="20" xfId="0" applyFont="1" applyFill="1" applyBorder="1" applyAlignment="1">
      <alignment horizontal="center" vertical="center" wrapText="1"/>
    </xf>
    <xf numFmtId="3" fontId="15" fillId="4" borderId="8" xfId="0" applyNumberFormat="1" applyFont="1" applyFill="1" applyBorder="1" applyAlignment="1">
      <alignment horizontal="right" vertical="center" wrapText="1"/>
    </xf>
    <xf numFmtId="14" fontId="15" fillId="4" borderId="2" xfId="0" applyNumberFormat="1" applyFont="1" applyFill="1" applyBorder="1" applyAlignment="1">
      <alignment horizontal="center" vertical="center" wrapText="1"/>
    </xf>
    <xf numFmtId="14" fontId="15" fillId="4" borderId="8" xfId="0" applyNumberFormat="1" applyFont="1" applyFill="1" applyBorder="1" applyAlignment="1">
      <alignment horizontal="center" vertical="center" wrapText="1"/>
    </xf>
    <xf numFmtId="4" fontId="15" fillId="4" borderId="8" xfId="0" applyFont="1" applyFill="1" applyBorder="1" applyAlignment="1">
      <alignment horizontal="center" vertical="center" wrapText="1"/>
    </xf>
    <xf numFmtId="4" fontId="15" fillId="4" borderId="0" xfId="0" applyFont="1" applyFill="1" applyBorder="1" applyAlignment="1">
      <alignment horizontal="center" vertical="center" wrapText="1"/>
    </xf>
    <xf numFmtId="4" fontId="15" fillId="0" borderId="6" xfId="0" applyFont="1" applyBorder="1" applyAlignment="1">
      <alignment horizontal="center" vertical="center" wrapText="1"/>
    </xf>
    <xf numFmtId="4" fontId="15" fillId="0" borderId="2" xfId="0" applyNumberFormat="1" applyFont="1" applyBorder="1" applyAlignment="1">
      <alignment horizontal="right" vertical="center" wrapText="1"/>
    </xf>
    <xf numFmtId="4" fontId="15" fillId="0" borderId="6" xfId="0" applyNumberFormat="1" applyFont="1" applyBorder="1" applyAlignment="1">
      <alignment horizontal="right" vertical="center" wrapText="1"/>
    </xf>
    <xf numFmtId="4" fontId="15" fillId="0" borderId="22" xfId="0" applyFont="1" applyBorder="1" applyAlignment="1">
      <alignment horizontal="center" vertical="center" wrapText="1"/>
    </xf>
    <xf numFmtId="4" fontId="15" fillId="0" borderId="22" xfId="0" applyNumberFormat="1" applyFont="1" applyBorder="1" applyAlignment="1">
      <alignment horizontal="right" vertical="center" wrapText="1"/>
    </xf>
    <xf numFmtId="4" fontId="15" fillId="0" borderId="2" xfId="0" applyFont="1" applyBorder="1" applyAlignment="1">
      <alignment horizontal="center" vertical="center" wrapText="1"/>
    </xf>
    <xf numFmtId="4" fontId="15" fillId="0" borderId="63" xfId="0" applyFont="1" applyBorder="1" applyAlignment="1">
      <alignment horizontal="left" vertical="center" wrapText="1"/>
    </xf>
    <xf numFmtId="4" fontId="15" fillId="0" borderId="14" xfId="0" applyFont="1" applyBorder="1" applyAlignment="1">
      <alignment horizontal="left" vertical="center" wrapText="1"/>
    </xf>
    <xf numFmtId="4" fontId="15" fillId="0" borderId="106" xfId="0" applyFont="1" applyBorder="1" applyAlignment="1">
      <alignment horizontal="left" vertical="center" wrapText="1"/>
    </xf>
    <xf numFmtId="4" fontId="15" fillId="0" borderId="107" xfId="0" applyFont="1" applyBorder="1" applyAlignment="1">
      <alignment horizontal="left" vertical="center" wrapText="1"/>
    </xf>
    <xf numFmtId="4" fontId="15" fillId="0" borderId="13" xfId="0" applyFont="1" applyBorder="1" applyAlignment="1">
      <alignment vertical="center" wrapText="1"/>
    </xf>
    <xf numFmtId="4" fontId="15" fillId="0" borderId="13" xfId="0" applyNumberFormat="1" applyFont="1" applyBorder="1" applyAlignment="1">
      <alignment horizontal="right" vertical="center" wrapText="1"/>
    </xf>
    <xf numFmtId="4" fontId="15" fillId="0" borderId="2" xfId="0" applyFont="1" applyBorder="1" applyAlignment="1">
      <alignment vertical="center" wrapText="1"/>
    </xf>
    <xf numFmtId="4" fontId="15" fillId="0" borderId="2" xfId="0" applyNumberFormat="1" applyFont="1" applyBorder="1" applyAlignment="1">
      <alignment horizontal="left" vertical="center" wrapText="1"/>
    </xf>
    <xf numFmtId="4" fontId="15" fillId="0" borderId="12" xfId="0" applyFont="1" applyBorder="1" applyAlignment="1">
      <alignment horizontal="left" vertical="center" wrapText="1"/>
    </xf>
    <xf numFmtId="4" fontId="15" fillId="0" borderId="29" xfId="0" applyFont="1" applyBorder="1" applyAlignment="1">
      <alignment horizontal="left" vertical="center" wrapText="1"/>
    </xf>
    <xf numFmtId="4" fontId="15" fillId="0" borderId="22" xfId="0" applyFont="1" applyBorder="1" applyAlignment="1">
      <alignment vertical="center" wrapText="1"/>
    </xf>
    <xf numFmtId="4" fontId="15" fillId="0" borderId="2" xfId="0" applyFont="1" applyBorder="1" applyAlignment="1">
      <alignment horizontal="right" vertical="center" wrapText="1"/>
    </xf>
    <xf numFmtId="4" fontId="15" fillId="0" borderId="13" xfId="0" applyFont="1" applyBorder="1" applyAlignment="1">
      <alignment horizontal="right" vertical="center" wrapText="1"/>
    </xf>
    <xf numFmtId="4" fontId="15" fillId="10" borderId="3" xfId="0" applyFont="1" applyFill="1" applyBorder="1" applyAlignment="1">
      <alignment vertical="center" wrapText="1"/>
    </xf>
    <xf numFmtId="4" fontId="15" fillId="2" borderId="3" xfId="0" applyNumberFormat="1" applyFont="1" applyFill="1" applyBorder="1" applyAlignment="1">
      <alignment horizontal="right" vertical="center" wrapText="1"/>
    </xf>
    <xf numFmtId="4" fontId="15" fillId="2" borderId="0" xfId="0" applyFont="1" applyFill="1" applyBorder="1" applyAlignment="1">
      <alignment horizontal="center" vertical="center" wrapText="1"/>
    </xf>
    <xf numFmtId="4" fontId="15" fillId="10" borderId="0" xfId="0" applyFont="1" applyFill="1" applyBorder="1" applyAlignment="1">
      <alignment vertical="center" wrapText="1"/>
    </xf>
    <xf numFmtId="4" fontId="15" fillId="2" borderId="0" xfId="0" applyNumberFormat="1" applyFont="1" applyFill="1" applyBorder="1" applyAlignment="1">
      <alignment horizontal="right" vertical="center" wrapText="1"/>
    </xf>
    <xf numFmtId="4" fontId="15" fillId="10" borderId="0" xfId="0" applyFont="1" applyFill="1" applyBorder="1" applyAlignment="1">
      <alignment horizontal="center" vertical="center" wrapText="1"/>
    </xf>
    <xf numFmtId="4" fontId="81" fillId="0" borderId="0" xfId="0" applyFont="1" applyAlignment="1"/>
    <xf numFmtId="4" fontId="52" fillId="0" borderId="0" xfId="0" applyFont="1" applyAlignment="1"/>
    <xf numFmtId="4" fontId="15" fillId="0" borderId="1" xfId="0" applyFont="1" applyBorder="1" applyAlignment="1">
      <alignment horizontal="right" vertical="center" wrapText="1"/>
    </xf>
    <xf numFmtId="4" fontId="15" fillId="0" borderId="22" xfId="0" applyFont="1" applyBorder="1" applyAlignment="1">
      <alignment horizontal="right" vertical="center" wrapText="1"/>
    </xf>
    <xf numFmtId="4" fontId="15" fillId="0" borderId="6" xfId="0" applyFont="1" applyBorder="1" applyAlignment="1">
      <alignment horizontal="right" vertical="center" wrapText="1"/>
    </xf>
    <xf numFmtId="4" fontId="15" fillId="0" borderId="57" xfId="0" applyFont="1" applyBorder="1" applyAlignment="1">
      <alignment horizontal="left" vertical="center" wrapText="1"/>
    </xf>
    <xf numFmtId="4" fontId="0" fillId="0" borderId="0" xfId="0" applyFill="1">
      <alignment vertical="top"/>
    </xf>
    <xf numFmtId="3" fontId="8" fillId="3" borderId="3" xfId="1" applyNumberFormat="1" applyFont="1" applyFill="1" applyBorder="1"/>
    <xf numFmtId="3" fontId="8" fillId="23" borderId="3" xfId="1" applyNumberFormat="1" applyFont="1" applyFill="1" applyBorder="1" applyAlignment="1">
      <alignment horizontal="right"/>
    </xf>
    <xf numFmtId="3" fontId="8" fillId="23" borderId="3" xfId="1" applyNumberFormat="1" applyFont="1" applyFill="1" applyBorder="1"/>
    <xf numFmtId="3" fontId="24" fillId="0" borderId="35" xfId="1" applyFont="1" applyFill="1" applyBorder="1" applyAlignment="1">
      <alignment horizontal="center"/>
    </xf>
    <xf numFmtId="3" fontId="24" fillId="0" borderId="35" xfId="1" applyNumberFormat="1" applyFont="1" applyFill="1" applyBorder="1" applyAlignment="1">
      <alignment horizontal="right"/>
    </xf>
    <xf numFmtId="3" fontId="24" fillId="0" borderId="3" xfId="1" applyFont="1" applyFill="1" applyBorder="1" applyAlignment="1">
      <alignment horizontal="left"/>
    </xf>
    <xf numFmtId="3" fontId="8" fillId="3" borderId="11" xfId="1" applyNumberFormat="1" applyFont="1" applyFill="1" applyBorder="1"/>
    <xf numFmtId="3" fontId="8" fillId="3" borderId="35" xfId="1" applyNumberFormat="1" applyFont="1" applyFill="1" applyBorder="1"/>
    <xf numFmtId="3" fontId="9" fillId="0" borderId="35" xfId="1" applyNumberFormat="1" applyFont="1" applyFill="1" applyBorder="1" applyAlignment="1"/>
    <xf numFmtId="3" fontId="8" fillId="23" borderId="3" xfId="1" applyNumberFormat="1" applyFont="1" applyFill="1" applyBorder="1" applyAlignment="1"/>
    <xf numFmtId="3" fontId="11" fillId="23" borderId="3" xfId="1" applyNumberFormat="1" applyFont="1" applyFill="1" applyBorder="1" applyAlignment="1">
      <alignment horizontal="center"/>
    </xf>
    <xf numFmtId="3" fontId="8" fillId="0" borderId="3" xfId="0" applyNumberFormat="1" applyFont="1" applyFill="1" applyBorder="1" applyAlignment="1">
      <alignment horizontal="right" vertical="top"/>
    </xf>
    <xf numFmtId="3" fontId="8" fillId="23" borderId="3" xfId="0" applyNumberFormat="1" applyFont="1" applyFill="1" applyBorder="1" applyAlignment="1">
      <alignment horizontal="right" vertical="top"/>
    </xf>
    <xf numFmtId="3" fontId="8" fillId="0" borderId="11" xfId="0" applyNumberFormat="1" applyFont="1" applyFill="1" applyBorder="1" applyAlignment="1">
      <alignment horizontal="right" vertical="top"/>
    </xf>
    <xf numFmtId="3" fontId="8" fillId="0" borderId="35" xfId="0" applyNumberFormat="1" applyFont="1" applyFill="1" applyBorder="1">
      <alignment vertical="top"/>
    </xf>
    <xf numFmtId="3" fontId="8" fillId="0" borderId="3" xfId="0" applyNumberFormat="1" applyFont="1" applyFill="1" applyBorder="1">
      <alignment vertical="top"/>
    </xf>
    <xf numFmtId="3" fontId="8" fillId="23" borderId="3" xfId="0" applyNumberFormat="1" applyFont="1" applyFill="1" applyBorder="1">
      <alignment vertical="top"/>
    </xf>
    <xf numFmtId="4" fontId="8" fillId="0" borderId="0" xfId="0" applyFont="1" applyFill="1">
      <alignment vertical="top"/>
    </xf>
    <xf numFmtId="3" fontId="8" fillId="0" borderId="36" xfId="0" applyNumberFormat="1" applyFont="1" applyFill="1" applyBorder="1">
      <alignment vertical="top"/>
    </xf>
    <xf numFmtId="3" fontId="8" fillId="0" borderId="11" xfId="0" applyNumberFormat="1" applyFont="1" applyFill="1" applyBorder="1">
      <alignment vertical="top"/>
    </xf>
    <xf numFmtId="4" fontId="0" fillId="21" borderId="0" xfId="0" applyFill="1">
      <alignment vertical="top"/>
    </xf>
    <xf numFmtId="4" fontId="0" fillId="0" borderId="0" xfId="0" applyNumberFormat="1" applyAlignment="1"/>
    <xf numFmtId="3" fontId="7" fillId="0" borderId="35" xfId="1" applyNumberFormat="1" applyFont="1" applyFill="1" applyBorder="1"/>
    <xf numFmtId="3" fontId="7" fillId="0" borderId="3" xfId="1" applyNumberFormat="1" applyFont="1" applyFill="1" applyBorder="1"/>
    <xf numFmtId="3" fontId="7" fillId="0" borderId="35" xfId="1" applyNumberFormat="1" applyFont="1" applyFill="1" applyBorder="1" applyAlignment="1"/>
    <xf numFmtId="3" fontId="7" fillId="0" borderId="3" xfId="1" applyNumberFormat="1" applyFont="1" applyFill="1" applyBorder="1" applyAlignment="1"/>
    <xf numFmtId="3" fontId="0" fillId="4" borderId="35" xfId="0" applyNumberFormat="1" applyFont="1" applyFill="1" applyBorder="1">
      <alignment vertical="top"/>
    </xf>
    <xf numFmtId="3" fontId="0" fillId="4" borderId="3" xfId="0" applyNumberFormat="1" applyFont="1" applyFill="1" applyBorder="1">
      <alignment vertical="top"/>
    </xf>
    <xf numFmtId="4" fontId="0" fillId="4" borderId="3" xfId="0" applyNumberFormat="1" applyFont="1" applyFill="1" applyBorder="1">
      <alignment vertical="top"/>
    </xf>
    <xf numFmtId="3" fontId="0" fillId="4" borderId="39" xfId="0" applyNumberFormat="1" applyFont="1" applyFill="1" applyBorder="1">
      <alignment vertical="top"/>
    </xf>
    <xf numFmtId="3" fontId="0" fillId="4" borderId="40" xfId="0" applyNumberFormat="1" applyFont="1" applyFill="1" applyBorder="1">
      <alignment vertical="top"/>
    </xf>
    <xf numFmtId="4" fontId="16" fillId="0" borderId="33" xfId="0" applyFont="1" applyBorder="1" applyAlignment="1"/>
    <xf numFmtId="2" fontId="16" fillId="0" borderId="33" xfId="0" applyNumberFormat="1" applyFont="1" applyBorder="1" applyAlignment="1"/>
    <xf numFmtId="4" fontId="16" fillId="0" borderId="10" xfId="0" applyFont="1" applyBorder="1" applyAlignment="1">
      <alignment vertical="center" wrapText="1"/>
    </xf>
    <xf numFmtId="2" fontId="16" fillId="0" borderId="10" xfId="0" applyNumberFormat="1" applyFont="1" applyBorder="1" applyAlignment="1">
      <alignment vertical="center" wrapText="1"/>
    </xf>
    <xf numFmtId="2" fontId="16" fillId="0" borderId="10" xfId="0" applyNumberFormat="1" applyFont="1" applyBorder="1" applyAlignment="1">
      <alignment horizontal="center" vertical="center" wrapText="1"/>
    </xf>
    <xf numFmtId="4" fontId="16" fillId="0" borderId="3" xfId="0" applyFont="1" applyBorder="1" applyAlignment="1">
      <alignment vertical="center" wrapText="1"/>
    </xf>
    <xf numFmtId="2" fontId="16" fillId="0" borderId="3" xfId="0" applyNumberFormat="1" applyFont="1" applyBorder="1" applyAlignment="1">
      <alignment vertical="center" wrapText="1"/>
    </xf>
    <xf numFmtId="2" fontId="16" fillId="0" borderId="3" xfId="0" applyNumberFormat="1" applyFont="1" applyBorder="1" applyAlignment="1">
      <alignment horizontal="right" vertical="center" wrapText="1"/>
    </xf>
    <xf numFmtId="4" fontId="16" fillId="0" borderId="40" xfId="0" applyFont="1" applyBorder="1" applyAlignment="1">
      <alignment vertical="center" wrapText="1"/>
    </xf>
    <xf numFmtId="2" fontId="16" fillId="0" borderId="40" xfId="0" applyNumberFormat="1" applyFont="1" applyBorder="1" applyAlignment="1">
      <alignment vertical="center" wrapText="1"/>
    </xf>
    <xf numFmtId="2" fontId="16" fillId="0" borderId="40" xfId="0" applyNumberFormat="1" applyFont="1" applyBorder="1" applyAlignment="1">
      <alignment horizontal="right" vertical="center" wrapText="1"/>
    </xf>
    <xf numFmtId="4" fontId="16" fillId="0" borderId="5" xfId="0" applyFont="1" applyBorder="1" applyAlignment="1">
      <alignment vertical="center" wrapText="1"/>
    </xf>
    <xf numFmtId="2" fontId="16" fillId="0" borderId="5" xfId="0" applyNumberFormat="1" applyFont="1" applyBorder="1" applyAlignment="1">
      <alignment vertical="center" wrapText="1"/>
    </xf>
    <xf numFmtId="2" fontId="16" fillId="0" borderId="5" xfId="0" applyNumberFormat="1" applyFont="1" applyBorder="1" applyAlignment="1">
      <alignment horizontal="right" vertical="center" wrapText="1"/>
    </xf>
    <xf numFmtId="4" fontId="16" fillId="0" borderId="33" xfId="0" applyFont="1" applyBorder="1" applyAlignment="1">
      <alignment vertical="center" wrapText="1"/>
    </xf>
    <xf numFmtId="2" fontId="16" fillId="0" borderId="33" xfId="0" applyNumberFormat="1" applyFont="1" applyBorder="1" applyAlignment="1">
      <alignment vertical="center" wrapText="1"/>
    </xf>
    <xf numFmtId="2" fontId="16" fillId="0" borderId="33" xfId="0" applyNumberFormat="1" applyFont="1" applyBorder="1" applyAlignment="1">
      <alignment horizontal="right" vertical="center" wrapText="1"/>
    </xf>
    <xf numFmtId="4" fontId="16" fillId="0" borderId="0" xfId="0" applyFont="1" applyAlignment="1">
      <alignment vertical="center"/>
    </xf>
    <xf numFmtId="2" fontId="16" fillId="0" borderId="4" xfId="0" applyNumberFormat="1" applyFont="1" applyBorder="1" applyAlignment="1">
      <alignment horizontal="right" vertical="center" wrapText="1"/>
    </xf>
    <xf numFmtId="2" fontId="16" fillId="0" borderId="74" xfId="0" applyNumberFormat="1" applyFont="1" applyBorder="1" applyAlignment="1">
      <alignment horizontal="right" vertical="center" wrapText="1"/>
    </xf>
    <xf numFmtId="2" fontId="16" fillId="0" borderId="65" xfId="0" applyNumberFormat="1" applyFont="1" applyBorder="1" applyAlignment="1">
      <alignment horizontal="right" vertical="center" wrapText="1"/>
    </xf>
    <xf numFmtId="4" fontId="31" fillId="0" borderId="33" xfId="0" applyFont="1" applyBorder="1" applyAlignment="1">
      <alignment vertical="center" wrapText="1"/>
    </xf>
    <xf numFmtId="2" fontId="31" fillId="0" borderId="33" xfId="0" applyNumberFormat="1" applyFont="1" applyBorder="1" applyAlignment="1">
      <alignment vertical="center" wrapText="1"/>
    </xf>
    <xf numFmtId="2" fontId="31" fillId="0" borderId="65" xfId="0" applyNumberFormat="1" applyFont="1" applyBorder="1" applyAlignment="1">
      <alignment horizontal="right" vertical="center" wrapText="1"/>
    </xf>
    <xf numFmtId="4" fontId="31" fillId="0" borderId="3" xfId="0" applyFont="1" applyBorder="1" applyAlignment="1">
      <alignment vertical="center" wrapText="1"/>
    </xf>
    <xf numFmtId="2" fontId="31" fillId="0" borderId="3" xfId="0" applyNumberFormat="1" applyFont="1" applyBorder="1" applyAlignment="1">
      <alignment vertical="center" wrapText="1"/>
    </xf>
    <xf numFmtId="2" fontId="31" fillId="0" borderId="4" xfId="0" applyNumberFormat="1" applyFont="1" applyBorder="1" applyAlignment="1">
      <alignment horizontal="right" vertical="center" wrapText="1"/>
    </xf>
    <xf numFmtId="4" fontId="31" fillId="0" borderId="40" xfId="0" applyFont="1" applyBorder="1" applyAlignment="1">
      <alignment vertical="center" wrapText="1"/>
    </xf>
    <xf numFmtId="2" fontId="31" fillId="0" borderId="40" xfId="0" applyNumberFormat="1" applyFont="1" applyBorder="1" applyAlignment="1">
      <alignment vertical="center" wrapText="1"/>
    </xf>
    <xf numFmtId="2" fontId="31" fillId="0" borderId="74" xfId="0" applyNumberFormat="1" applyFont="1" applyBorder="1" applyAlignment="1">
      <alignment horizontal="right" vertical="center" wrapText="1"/>
    </xf>
    <xf numFmtId="4" fontId="31" fillId="0" borderId="145" xfId="0" applyFont="1" applyBorder="1" applyAlignment="1">
      <alignment horizontal="right" vertical="center" wrapText="1"/>
    </xf>
    <xf numFmtId="2" fontId="31" fillId="0" borderId="33" xfId="0" applyNumberFormat="1" applyFont="1" applyBorder="1" applyAlignment="1">
      <alignment horizontal="center" vertical="center" wrapText="1"/>
    </xf>
    <xf numFmtId="4" fontId="31" fillId="0" borderId="33" xfId="0" applyFont="1" applyBorder="1" applyAlignment="1">
      <alignment horizontal="right" vertical="center" wrapText="1"/>
    </xf>
    <xf numFmtId="49" fontId="27" fillId="0" borderId="11" xfId="0" applyNumberFormat="1" applyFont="1" applyBorder="1" applyAlignment="1">
      <alignment horizontal="right" vertical="center" wrapText="1"/>
    </xf>
    <xf numFmtId="2" fontId="31" fillId="0" borderId="3" xfId="0" applyNumberFormat="1" applyFont="1" applyBorder="1" applyAlignment="1">
      <alignment horizontal="right" vertical="center" wrapText="1"/>
    </xf>
    <xf numFmtId="49" fontId="27" fillId="0" borderId="155" xfId="0" applyNumberFormat="1" applyFont="1" applyBorder="1" applyAlignment="1">
      <alignment horizontal="right" vertical="center" wrapText="1"/>
    </xf>
    <xf numFmtId="2" fontId="31" fillId="0" borderId="40" xfId="0" applyNumberFormat="1" applyFont="1" applyBorder="1" applyAlignment="1">
      <alignment horizontal="center" vertical="center" wrapText="1"/>
    </xf>
    <xf numFmtId="2" fontId="31" fillId="0" borderId="40" xfId="0" applyNumberFormat="1" applyFont="1" applyBorder="1" applyAlignment="1">
      <alignment horizontal="right" vertical="center" wrapText="1"/>
    </xf>
    <xf numFmtId="49" fontId="27" fillId="0" borderId="33" xfId="0" applyNumberFormat="1" applyFont="1" applyBorder="1" applyAlignment="1">
      <alignment horizontal="right" vertical="center" wrapText="1"/>
    </xf>
    <xf numFmtId="2" fontId="31" fillId="0" borderId="33" xfId="0" applyNumberFormat="1" applyFont="1" applyBorder="1" applyAlignment="1">
      <alignment horizontal="right" vertical="center" wrapText="1"/>
    </xf>
    <xf numFmtId="49" fontId="27" fillId="0" borderId="3" xfId="0" applyNumberFormat="1" applyFont="1" applyBorder="1" applyAlignment="1">
      <alignment horizontal="right" vertical="center" wrapText="1"/>
    </xf>
    <xf numFmtId="2" fontId="31" fillId="0" borderId="3" xfId="0" applyNumberFormat="1" applyFont="1" applyBorder="1" applyAlignment="1">
      <alignment horizontal="center" vertical="center" wrapText="1"/>
    </xf>
    <xf numFmtId="49" fontId="27" fillId="0" borderId="56" xfId="0" applyNumberFormat="1" applyFont="1" applyBorder="1" applyAlignment="1">
      <alignment horizontal="right" vertical="center" wrapText="1"/>
    </xf>
    <xf numFmtId="2" fontId="31" fillId="0" borderId="56" xfId="0" applyNumberFormat="1" applyFont="1" applyBorder="1" applyAlignment="1">
      <alignment horizontal="center" vertical="center" wrapText="1"/>
    </xf>
    <xf numFmtId="2" fontId="31" fillId="0" borderId="56" xfId="0" applyNumberFormat="1" applyFont="1" applyBorder="1" applyAlignment="1">
      <alignment horizontal="right" vertical="center" wrapText="1"/>
    </xf>
    <xf numFmtId="49" fontId="27" fillId="0" borderId="40" xfId="0" applyNumberFormat="1" applyFont="1" applyBorder="1" applyAlignment="1">
      <alignment horizontal="right" vertical="center" wrapText="1"/>
    </xf>
    <xf numFmtId="4" fontId="0" fillId="0" borderId="0" xfId="0" applyAlignment="1">
      <alignment vertical="center" wrapText="1"/>
    </xf>
    <xf numFmtId="3" fontId="9" fillId="3" borderId="102" xfId="1" applyNumberFormat="1" applyFont="1" applyFill="1" applyBorder="1"/>
    <xf numFmtId="3" fontId="9" fillId="3" borderId="169" xfId="1" applyNumberFormat="1" applyFont="1" applyFill="1" applyBorder="1"/>
    <xf numFmtId="3" fontId="8" fillId="3" borderId="4" xfId="1" applyNumberFormat="1" applyFont="1" applyFill="1" applyBorder="1"/>
    <xf numFmtId="3" fontId="82" fillId="0" borderId="36" xfId="1" applyNumberFormat="1" applyFont="1" applyBorder="1" applyAlignment="1">
      <alignment horizontal="right"/>
    </xf>
    <xf numFmtId="3" fontId="11" fillId="24" borderId="35" xfId="0" applyNumberFormat="1" applyFont="1" applyFill="1" applyBorder="1">
      <alignment vertical="top"/>
    </xf>
    <xf numFmtId="3" fontId="11" fillId="24" borderId="3" xfId="0" applyNumberFormat="1" applyFont="1" applyFill="1" applyBorder="1">
      <alignment vertical="top"/>
    </xf>
    <xf numFmtId="3" fontId="11" fillId="24" borderId="4" xfId="0" applyNumberFormat="1" applyFont="1" applyFill="1" applyBorder="1">
      <alignment vertical="top"/>
    </xf>
    <xf numFmtId="3" fontId="10" fillId="24" borderId="35" xfId="1" applyNumberFormat="1" applyFont="1" applyFill="1" applyBorder="1" applyAlignment="1"/>
    <xf numFmtId="3" fontId="10" fillId="24" borderId="3" xfId="1" applyNumberFormat="1" applyFont="1" applyFill="1" applyBorder="1" applyAlignment="1"/>
    <xf numFmtId="3" fontId="10" fillId="24" borderId="36" xfId="1" applyNumberFormat="1" applyFont="1" applyFill="1" applyBorder="1" applyAlignment="1"/>
    <xf numFmtId="3" fontId="10" fillId="24" borderId="11" xfId="1" applyNumberFormat="1" applyFont="1" applyFill="1" applyBorder="1" applyAlignment="1"/>
    <xf numFmtId="4" fontId="11" fillId="24" borderId="35" xfId="0" applyNumberFormat="1" applyFont="1" applyFill="1" applyBorder="1">
      <alignment vertical="top"/>
    </xf>
    <xf numFmtId="4" fontId="11" fillId="24" borderId="3" xfId="0" applyNumberFormat="1" applyFont="1" applyFill="1" applyBorder="1">
      <alignment vertical="top"/>
    </xf>
    <xf numFmtId="4" fontId="11" fillId="24" borderId="4" xfId="0" applyNumberFormat="1" applyFont="1" applyFill="1" applyBorder="1">
      <alignment vertical="top"/>
    </xf>
    <xf numFmtId="4" fontId="10" fillId="24" borderId="35" xfId="1" applyNumberFormat="1" applyFont="1" applyFill="1" applyBorder="1" applyAlignment="1"/>
    <xf numFmtId="4" fontId="10" fillId="24" borderId="3" xfId="1" applyNumberFormat="1" applyFont="1" applyFill="1" applyBorder="1" applyAlignment="1">
      <alignment horizontal="right"/>
    </xf>
    <xf numFmtId="4" fontId="10" fillId="24" borderId="3" xfId="1" applyNumberFormat="1" applyFont="1" applyFill="1" applyBorder="1" applyAlignment="1"/>
    <xf numFmtId="4" fontId="10" fillId="24" borderId="36" xfId="1" applyNumberFormat="1" applyFont="1" applyFill="1" applyBorder="1" applyAlignment="1"/>
    <xf numFmtId="4" fontId="10" fillId="24" borderId="11" xfId="1" applyNumberFormat="1" applyFont="1" applyFill="1" applyBorder="1" applyAlignment="1"/>
    <xf numFmtId="4" fontId="10" fillId="0" borderId="71" xfId="1" applyNumberFormat="1" applyFont="1" applyBorder="1" applyAlignment="1">
      <alignment horizontal="center"/>
    </xf>
    <xf numFmtId="49" fontId="10" fillId="3" borderId="149" xfId="1" applyNumberFormat="1" applyFont="1" applyFill="1" applyBorder="1" applyAlignment="1">
      <alignment horizontal="center"/>
    </xf>
    <xf numFmtId="3" fontId="29" fillId="24" borderId="71" xfId="1" applyNumberFormat="1" applyFont="1" applyFill="1" applyBorder="1" applyAlignment="1"/>
    <xf numFmtId="3" fontId="29" fillId="24" borderId="72" xfId="1" applyNumberFormat="1" applyFont="1" applyFill="1" applyBorder="1" applyAlignment="1"/>
    <xf numFmtId="4" fontId="8" fillId="0" borderId="72" xfId="1" applyNumberFormat="1" applyFont="1" applyFill="1" applyBorder="1"/>
    <xf numFmtId="3" fontId="8" fillId="24" borderId="73" xfId="0" applyNumberFormat="1" applyFont="1" applyFill="1" applyBorder="1">
      <alignment vertical="top"/>
    </xf>
    <xf numFmtId="3" fontId="10" fillId="24" borderId="71" xfId="1" applyNumberFormat="1" applyFont="1" applyFill="1" applyBorder="1" applyAlignment="1"/>
    <xf numFmtId="3" fontId="10" fillId="24" borderId="72" xfId="1" applyNumberFormat="1" applyFont="1" applyFill="1" applyBorder="1" applyAlignment="1"/>
    <xf numFmtId="3" fontId="10" fillId="24" borderId="73" xfId="1" applyNumberFormat="1" applyFont="1" applyFill="1" applyBorder="1" applyAlignment="1"/>
    <xf numFmtId="3" fontId="8" fillId="0" borderId="72" xfId="1" applyNumberFormat="1" applyFont="1" applyFill="1" applyBorder="1"/>
    <xf numFmtId="4" fontId="83" fillId="0" borderId="0" xfId="0" applyFont="1" applyAlignment="1"/>
    <xf numFmtId="4" fontId="85" fillId="0" borderId="0" xfId="0" applyFont="1" applyAlignment="1"/>
    <xf numFmtId="4" fontId="86" fillId="0" borderId="0" xfId="0" applyFont="1" applyAlignment="1"/>
    <xf numFmtId="4" fontId="88" fillId="0" borderId="0" xfId="0" applyFont="1" applyAlignment="1"/>
    <xf numFmtId="4" fontId="89" fillId="12" borderId="77" xfId="0" applyFont="1" applyFill="1" applyBorder="1" applyAlignment="1">
      <alignment horizontal="center"/>
    </xf>
    <xf numFmtId="4" fontId="89" fillId="0" borderId="0" xfId="0" applyFont="1" applyAlignment="1">
      <alignment horizontal="center"/>
    </xf>
    <xf numFmtId="4" fontId="86" fillId="13" borderId="77" xfId="0" applyNumberFormat="1" applyFont="1" applyFill="1" applyBorder="1" applyAlignment="1">
      <alignment vertical="center"/>
    </xf>
    <xf numFmtId="4" fontId="86" fillId="13" borderId="82" xfId="0" applyNumberFormat="1" applyFont="1" applyFill="1" applyBorder="1" applyAlignment="1">
      <alignment vertical="center"/>
    </xf>
    <xf numFmtId="4" fontId="86" fillId="13" borderId="86" xfId="0" applyNumberFormat="1" applyFont="1" applyFill="1" applyBorder="1" applyAlignment="1">
      <alignment vertical="center"/>
    </xf>
    <xf numFmtId="4" fontId="86" fillId="13" borderId="124" xfId="0" applyNumberFormat="1" applyFont="1" applyFill="1" applyBorder="1" applyAlignment="1">
      <alignment vertical="center"/>
    </xf>
    <xf numFmtId="4" fontId="88" fillId="0" borderId="0" xfId="0" applyNumberFormat="1" applyFont="1" applyAlignment="1"/>
    <xf numFmtId="4" fontId="89" fillId="0" borderId="0" xfId="0" applyFont="1" applyAlignment="1"/>
    <xf numFmtId="4" fontId="91" fillId="0" borderId="0" xfId="0" applyFont="1" applyAlignment="1"/>
    <xf numFmtId="4" fontId="86" fillId="13" borderId="128" xfId="0" applyFont="1" applyFill="1" applyBorder="1" applyAlignment="1">
      <alignment vertical="center"/>
    </xf>
    <xf numFmtId="4" fontId="86" fillId="14" borderId="89" xfId="0" applyFont="1" applyFill="1" applyBorder="1" applyAlignment="1">
      <alignment vertical="center"/>
    </xf>
    <xf numFmtId="4" fontId="86" fillId="0" borderId="129" xfId="0" applyNumberFormat="1" applyFont="1" applyBorder="1" applyAlignment="1">
      <alignment vertical="center"/>
    </xf>
    <xf numFmtId="4" fontId="92" fillId="0" borderId="0" xfId="0" applyFont="1" applyAlignment="1"/>
    <xf numFmtId="4" fontId="86" fillId="0" borderId="82" xfId="0" applyFont="1" applyBorder="1" applyAlignment="1">
      <alignment vertical="center"/>
    </xf>
    <xf numFmtId="4" fontId="86" fillId="0" borderId="96" xfId="0" applyNumberFormat="1" applyFont="1" applyBorder="1" applyAlignment="1">
      <alignment vertical="center"/>
    </xf>
    <xf numFmtId="4" fontId="86" fillId="0" borderId="86" xfId="0" applyFont="1" applyBorder="1" applyAlignment="1">
      <alignment vertical="center"/>
    </xf>
    <xf numFmtId="4" fontId="86" fillId="0" borderId="98" xfId="0" applyNumberFormat="1" applyFont="1" applyBorder="1" applyAlignment="1">
      <alignment horizontal="right" vertical="center"/>
    </xf>
    <xf numFmtId="4" fontId="88" fillId="0" borderId="0" xfId="0" applyNumberFormat="1" applyFont="1" applyAlignment="1">
      <alignment horizontal="left"/>
    </xf>
    <xf numFmtId="4" fontId="86" fillId="0" borderId="91" xfId="0" applyFont="1" applyBorder="1" applyAlignment="1">
      <alignment vertical="center"/>
    </xf>
    <xf numFmtId="4" fontId="86" fillId="0" borderId="99" xfId="0" applyNumberFormat="1" applyFont="1" applyBorder="1" applyAlignment="1">
      <alignment vertical="center"/>
    </xf>
    <xf numFmtId="4" fontId="92" fillId="0" borderId="0" xfId="0" applyFont="1" applyAlignment="1">
      <alignment vertical="center" wrapText="1"/>
    </xf>
    <xf numFmtId="4" fontId="86" fillId="13" borderId="77" xfId="0" applyFont="1" applyFill="1" applyBorder="1" applyAlignment="1">
      <alignment horizontal="left" vertical="center"/>
    </xf>
    <xf numFmtId="4" fontId="86" fillId="14" borderId="77" xfId="0" applyFont="1" applyFill="1" applyBorder="1" applyAlignment="1">
      <alignment vertical="center"/>
    </xf>
    <xf numFmtId="4" fontId="86" fillId="0" borderId="77" xfId="0" applyNumberFormat="1" applyFont="1" applyBorder="1" applyAlignment="1">
      <alignment vertical="center"/>
    </xf>
    <xf numFmtId="4" fontId="92" fillId="0" borderId="0" xfId="0" applyFont="1" applyAlignment="1">
      <alignment horizontal="left" vertical="center" wrapText="1"/>
    </xf>
    <xf numFmtId="4" fontId="86" fillId="0" borderId="0" xfId="0" applyFont="1" applyAlignment="1">
      <alignment vertical="center"/>
    </xf>
    <xf numFmtId="4" fontId="89" fillId="12" borderId="77" xfId="0" applyNumberFormat="1" applyFont="1" applyFill="1" applyBorder="1" applyAlignment="1">
      <alignment horizontal="center"/>
    </xf>
    <xf numFmtId="4" fontId="86" fillId="0" borderId="133" xfId="0" applyFont="1" applyBorder="1" applyAlignment="1">
      <alignment vertical="center"/>
    </xf>
    <xf numFmtId="4" fontId="88" fillId="0" borderId="82" xfId="0" applyNumberFormat="1" applyFont="1" applyBorder="1" applyAlignment="1">
      <alignment vertical="center"/>
    </xf>
    <xf numFmtId="4" fontId="86" fillId="0" borderId="134" xfId="0" applyFont="1" applyBorder="1" applyAlignment="1">
      <alignment vertical="center"/>
    </xf>
    <xf numFmtId="4" fontId="88" fillId="0" borderId="86" xfId="0" applyNumberFormat="1" applyFont="1" applyBorder="1" applyAlignment="1">
      <alignment vertical="center"/>
    </xf>
    <xf numFmtId="4" fontId="86" fillId="0" borderId="130" xfId="0" applyFont="1" applyBorder="1" applyAlignment="1">
      <alignment vertical="center"/>
    </xf>
    <xf numFmtId="4" fontId="88" fillId="0" borderId="91" xfId="0" applyNumberFormat="1" applyFont="1" applyBorder="1" applyAlignment="1">
      <alignment vertical="center"/>
    </xf>
    <xf numFmtId="4" fontId="86" fillId="13" borderId="77" xfId="0" applyFont="1" applyFill="1" applyBorder="1" applyAlignment="1">
      <alignment vertical="center"/>
    </xf>
    <xf numFmtId="4" fontId="88" fillId="0" borderId="82" xfId="0" applyFont="1" applyBorder="1" applyAlignment="1">
      <alignment vertical="center"/>
    </xf>
    <xf numFmtId="4" fontId="88" fillId="0" borderId="89" xfId="0" applyFont="1" applyBorder="1" applyAlignment="1">
      <alignment vertical="center"/>
    </xf>
    <xf numFmtId="4" fontId="88" fillId="0" borderId="130" xfId="0" applyFont="1" applyBorder="1" applyAlignment="1">
      <alignment vertical="center"/>
    </xf>
    <xf numFmtId="4" fontId="88" fillId="0" borderId="91" xfId="0" applyFont="1" applyBorder="1" applyAlignment="1">
      <alignment vertical="center"/>
    </xf>
    <xf numFmtId="4" fontId="88" fillId="0" borderId="136" xfId="0" applyFont="1" applyBorder="1" applyAlignment="1">
      <alignment vertical="center"/>
    </xf>
    <xf numFmtId="4" fontId="88" fillId="0" borderId="124" xfId="0" applyNumberFormat="1" applyFont="1" applyBorder="1" applyAlignment="1">
      <alignment vertical="center"/>
    </xf>
    <xf numFmtId="4" fontId="88" fillId="0" borderId="125" xfId="0" applyFont="1" applyBorder="1" applyAlignment="1">
      <alignment vertical="center"/>
    </xf>
    <xf numFmtId="4" fontId="86" fillId="13" borderId="139" xfId="0" applyFont="1" applyFill="1" applyBorder="1" applyAlignment="1">
      <alignment vertical="center"/>
    </xf>
    <xf numFmtId="4" fontId="86" fillId="13" borderId="139" xfId="0" applyNumberFormat="1" applyFont="1" applyFill="1" applyBorder="1" applyAlignment="1">
      <alignment vertical="center"/>
    </xf>
    <xf numFmtId="4" fontId="88" fillId="0" borderId="134" xfId="0" applyFont="1" applyBorder="1" applyAlignment="1">
      <alignment vertical="center"/>
    </xf>
    <xf numFmtId="4" fontId="88" fillId="0" borderId="86" xfId="0" applyFont="1" applyBorder="1" applyAlignment="1">
      <alignment vertical="center"/>
    </xf>
    <xf numFmtId="4" fontId="90" fillId="0" borderId="86" xfId="0" applyNumberFormat="1" applyFont="1" applyBorder="1" applyAlignment="1">
      <alignment vertical="center"/>
    </xf>
    <xf numFmtId="4" fontId="88" fillId="0" borderId="89" xfId="0" applyNumberFormat="1" applyFont="1" applyBorder="1" applyAlignment="1">
      <alignment vertical="center"/>
    </xf>
    <xf numFmtId="4" fontId="88" fillId="0" borderId="134" xfId="0" applyNumberFormat="1" applyFont="1" applyBorder="1" applyAlignment="1">
      <alignment vertical="center"/>
    </xf>
    <xf numFmtId="4" fontId="88" fillId="0" borderId="132" xfId="0" applyNumberFormat="1" applyFont="1" applyBorder="1" applyAlignment="1">
      <alignment vertical="center"/>
    </xf>
    <xf numFmtId="4" fontId="88" fillId="0" borderId="92" xfId="0" applyNumberFormat="1" applyFont="1" applyBorder="1" applyAlignment="1">
      <alignment vertical="center"/>
    </xf>
    <xf numFmtId="4" fontId="95" fillId="20" borderId="77" xfId="0" applyFont="1" applyFill="1" applyBorder="1" applyAlignment="1">
      <alignment horizontal="center" vertical="center" wrapText="1"/>
    </xf>
    <xf numFmtId="4" fontId="86" fillId="0" borderId="0" xfId="0" applyFont="1" applyAlignment="1">
      <alignment horizontal="center"/>
    </xf>
    <xf numFmtId="14" fontId="58" fillId="0" borderId="89" xfId="0" applyNumberFormat="1" applyFont="1" applyBorder="1" applyAlignment="1">
      <alignment horizontal="center" wrapText="1"/>
    </xf>
    <xf numFmtId="4" fontId="58" fillId="0" borderId="89" xfId="0" applyNumberFormat="1" applyFont="1" applyBorder="1" applyAlignment="1">
      <alignment horizontal="center" wrapText="1"/>
    </xf>
    <xf numFmtId="166" fontId="58" fillId="0" borderId="89" xfId="0" applyNumberFormat="1" applyFont="1" applyBorder="1" applyAlignment="1">
      <alignment horizontal="center" wrapText="1"/>
    </xf>
    <xf numFmtId="167" fontId="58" fillId="0" borderId="129" xfId="0" applyNumberFormat="1" applyFont="1" applyBorder="1" applyAlignment="1">
      <alignment horizontal="center" wrapText="1"/>
    </xf>
    <xf numFmtId="14" fontId="58" fillId="0" borderId="86" xfId="0" applyNumberFormat="1" applyFont="1" applyBorder="1" applyAlignment="1">
      <alignment horizontal="center" wrapText="1"/>
    </xf>
    <xf numFmtId="4" fontId="58" fillId="0" borderId="86" xfId="0" applyNumberFormat="1" applyFont="1" applyBorder="1" applyAlignment="1">
      <alignment horizontal="center" wrapText="1"/>
    </xf>
    <xf numFmtId="166" fontId="58" fillId="0" borderId="86" xfId="0" applyNumberFormat="1" applyFont="1" applyBorder="1" applyAlignment="1">
      <alignment horizontal="center" wrapText="1"/>
    </xf>
    <xf numFmtId="167" fontId="58" fillId="0" borderId="98" xfId="0" applyNumberFormat="1" applyFont="1" applyBorder="1" applyAlignment="1">
      <alignment horizontal="center" wrapText="1"/>
    </xf>
    <xf numFmtId="173" fontId="58" fillId="0" borderId="98" xfId="0" applyNumberFormat="1" applyFont="1" applyBorder="1" applyAlignment="1">
      <alignment horizontal="center" wrapText="1"/>
    </xf>
    <xf numFmtId="14" fontId="58" fillId="0" borderId="124" xfId="0" applyNumberFormat="1" applyFont="1" applyBorder="1" applyAlignment="1">
      <alignment horizontal="center" wrapText="1"/>
    </xf>
    <xf numFmtId="4" fontId="58" fillId="0" borderId="124" xfId="0" applyNumberFormat="1" applyFont="1" applyBorder="1" applyAlignment="1">
      <alignment horizontal="center" wrapText="1"/>
    </xf>
    <xf numFmtId="166" fontId="58" fillId="0" borderId="124" xfId="0" applyNumberFormat="1" applyFont="1" applyBorder="1" applyAlignment="1">
      <alignment horizontal="center" wrapText="1"/>
    </xf>
    <xf numFmtId="167" fontId="58" fillId="0" borderId="144" xfId="0" applyNumberFormat="1" applyFont="1" applyBorder="1" applyAlignment="1">
      <alignment horizontal="center" wrapText="1"/>
    </xf>
    <xf numFmtId="4" fontId="96" fillId="14" borderId="77" xfId="0" applyFont="1" applyFill="1" applyBorder="1" applyAlignment="1">
      <alignment vertical="center" wrapText="1"/>
    </xf>
    <xf numFmtId="4" fontId="95" fillId="13" borderId="77" xfId="0" applyNumberFormat="1" applyFont="1" applyFill="1" applyBorder="1" applyAlignment="1">
      <alignment horizontal="right" vertical="center" wrapText="1"/>
    </xf>
    <xf numFmtId="4" fontId="88" fillId="0" borderId="0" xfId="0" applyFont="1" applyAlignment="1">
      <alignment horizontal="left" vertical="center" wrapText="1"/>
    </xf>
    <xf numFmtId="4" fontId="88" fillId="0" borderId="0" xfId="0" applyNumberFormat="1" applyFont="1" applyAlignment="1">
      <alignment horizontal="center" vertical="center" wrapText="1"/>
    </xf>
    <xf numFmtId="4" fontId="88" fillId="0" borderId="0" xfId="0" applyNumberFormat="1" applyFont="1" applyAlignment="1">
      <alignment vertical="center" wrapText="1"/>
    </xf>
    <xf numFmtId="14" fontId="58" fillId="0" borderId="77" xfId="0" applyNumberFormat="1" applyFont="1" applyBorder="1" applyAlignment="1">
      <alignment horizontal="center" wrapText="1"/>
    </xf>
    <xf numFmtId="4" fontId="58" fillId="0" borderId="77" xfId="0" applyNumberFormat="1" applyFont="1" applyBorder="1" applyAlignment="1">
      <alignment horizontal="center" wrapText="1"/>
    </xf>
    <xf numFmtId="166" fontId="58" fillId="0" borderId="77" xfId="0" applyNumberFormat="1" applyFont="1" applyBorder="1" applyAlignment="1">
      <alignment horizontal="center" wrapText="1"/>
    </xf>
    <xf numFmtId="167" fontId="58" fillId="0" borderId="77" xfId="0" applyNumberFormat="1" applyFont="1" applyBorder="1" applyAlignment="1">
      <alignment horizontal="center" wrapText="1"/>
    </xf>
    <xf numFmtId="4" fontId="95" fillId="14" borderId="77" xfId="0" applyFont="1" applyFill="1" applyBorder="1" applyAlignment="1">
      <alignment vertical="center" wrapText="1"/>
    </xf>
    <xf numFmtId="4" fontId="90" fillId="0" borderId="86" xfId="0" applyFont="1" applyBorder="1" applyAlignment="1">
      <alignment horizontal="left" vertical="center" wrapText="1"/>
    </xf>
    <xf numFmtId="4" fontId="88" fillId="0" borderId="88" xfId="0" applyFont="1" applyBorder="1" applyAlignment="1">
      <alignment horizontal="left" vertical="center" wrapText="1"/>
    </xf>
    <xf numFmtId="4" fontId="88" fillId="0" borderId="85" xfId="0" applyFont="1" applyBorder="1" applyAlignment="1">
      <alignment horizontal="left" vertical="center" wrapText="1"/>
    </xf>
    <xf numFmtId="4" fontId="58" fillId="0" borderId="0" xfId="0" applyFont="1" applyAlignment="1"/>
    <xf numFmtId="4" fontId="0" fillId="0" borderId="0" xfId="0" applyFont="1" applyAlignment="1"/>
    <xf numFmtId="4" fontId="10" fillId="0" borderId="3" xfId="1" applyNumberFormat="1" applyFont="1" applyBorder="1" applyAlignment="1">
      <alignment horizontal="left"/>
    </xf>
    <xf numFmtId="3" fontId="10" fillId="0" borderId="3" xfId="1" applyFont="1" applyBorder="1" applyAlignment="1">
      <alignment horizontal="left"/>
    </xf>
    <xf numFmtId="3" fontId="9" fillId="3" borderId="3" xfId="1" applyFont="1" applyFill="1" applyBorder="1" applyAlignment="1">
      <alignment horizontal="left"/>
    </xf>
    <xf numFmtId="3" fontId="9" fillId="0" borderId="3" xfId="1" applyFont="1" applyFill="1" applyBorder="1" applyAlignment="1">
      <alignment horizontal="left"/>
    </xf>
    <xf numFmtId="3" fontId="9" fillId="0" borderId="3" xfId="1" applyFont="1" applyBorder="1" applyAlignment="1">
      <alignment horizontal="left"/>
    </xf>
    <xf numFmtId="3" fontId="8" fillId="2" borderId="32" xfId="1" applyFont="1" applyFill="1" applyBorder="1" applyAlignment="1">
      <alignment horizontal="center" vertical="center" wrapText="1"/>
    </xf>
    <xf numFmtId="4" fontId="7" fillId="2" borderId="35" xfId="0" applyFont="1" applyFill="1" applyBorder="1" applyAlignment="1">
      <alignment horizontal="center" vertical="center" wrapText="1"/>
    </xf>
    <xf numFmtId="4" fontId="7" fillId="2" borderId="39" xfId="0"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4" fontId="7" fillId="2" borderId="33" xfId="0" applyFont="1" applyFill="1" applyBorder="1" applyAlignment="1">
      <alignment horizontal="center" vertical="center" wrapText="1"/>
    </xf>
    <xf numFmtId="4" fontId="7" fillId="2" borderId="3" xfId="0" applyFont="1" applyFill="1" applyBorder="1" applyAlignment="1">
      <alignment horizontal="center" vertical="center" wrapText="1"/>
    </xf>
    <xf numFmtId="4" fontId="7" fillId="2" borderId="40" xfId="0" applyFont="1" applyFill="1" applyBorder="1" applyAlignment="1">
      <alignment horizontal="center" vertical="center" wrapText="1"/>
    </xf>
    <xf numFmtId="3" fontId="8" fillId="2" borderId="32" xfId="1" applyFont="1" applyFill="1" applyBorder="1" applyAlignment="1">
      <alignment horizontal="center"/>
    </xf>
    <xf numFmtId="3" fontId="8" fillId="2" borderId="33" xfId="1" applyFont="1" applyFill="1" applyBorder="1" applyAlignment="1">
      <alignment horizontal="center"/>
    </xf>
    <xf numFmtId="3" fontId="8" fillId="2" borderId="34" xfId="1" applyFont="1" applyFill="1" applyBorder="1" applyAlignment="1">
      <alignment horizontal="center"/>
    </xf>
    <xf numFmtId="3" fontId="6" fillId="0" borderId="156" xfId="1" applyFont="1" applyBorder="1" applyAlignment="1">
      <alignment horizontal="center"/>
    </xf>
    <xf numFmtId="3" fontId="9" fillId="3" borderId="33" xfId="1" applyFont="1" applyFill="1" applyBorder="1" applyAlignment="1">
      <alignment horizontal="left"/>
    </xf>
    <xf numFmtId="3" fontId="24" fillId="0" borderId="3" xfId="1" applyFont="1" applyBorder="1" applyAlignment="1">
      <alignment horizontal="left"/>
    </xf>
    <xf numFmtId="3" fontId="10" fillId="0" borderId="40" xfId="1" applyFont="1" applyBorder="1" applyAlignment="1">
      <alignment horizontal="left"/>
    </xf>
    <xf numFmtId="4" fontId="8" fillId="2" borderId="35" xfId="1" applyNumberFormat="1" applyFont="1" applyFill="1" applyBorder="1" applyAlignment="1">
      <alignment horizontal="center" wrapText="1"/>
    </xf>
    <xf numFmtId="4" fontId="8" fillId="2" borderId="39" xfId="1" applyNumberFormat="1" applyFont="1" applyFill="1" applyBorder="1" applyAlignment="1">
      <alignment horizontal="center" wrapText="1"/>
    </xf>
    <xf numFmtId="4" fontId="8" fillId="2" borderId="3" xfId="1" applyNumberFormat="1" applyFont="1" applyFill="1" applyBorder="1" applyAlignment="1">
      <alignment horizontal="center"/>
    </xf>
    <xf numFmtId="3" fontId="8" fillId="2" borderId="36" xfId="1" applyFont="1" applyFill="1" applyBorder="1" applyAlignment="1">
      <alignment horizontal="center" wrapText="1"/>
    </xf>
    <xf numFmtId="3" fontId="8" fillId="2" borderId="41" xfId="1" applyFont="1" applyFill="1" applyBorder="1" applyAlignment="1">
      <alignment horizontal="center" wrapText="1"/>
    </xf>
    <xf numFmtId="49" fontId="8" fillId="2" borderId="65"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49" fontId="8" fillId="2" borderId="74" xfId="1" applyNumberFormat="1" applyFont="1" applyFill="1" applyBorder="1" applyAlignment="1">
      <alignment horizontal="center" vertical="center" wrapText="1"/>
    </xf>
    <xf numFmtId="4" fontId="19" fillId="0" borderId="8" xfId="0" applyFont="1" applyBorder="1" applyAlignment="1">
      <alignment horizontal="left" vertical="center" wrapText="1"/>
    </xf>
    <xf numFmtId="4" fontId="20" fillId="0" borderId="20" xfId="0" applyFont="1" applyBorder="1" applyAlignment="1">
      <alignment horizontal="left" vertical="center" wrapText="1"/>
    </xf>
    <xf numFmtId="4" fontId="20" fillId="0" borderId="60" xfId="0" applyFont="1" applyBorder="1" applyAlignment="1">
      <alignment horizontal="left" vertical="center" wrapText="1"/>
    </xf>
    <xf numFmtId="4" fontId="19" fillId="0" borderId="9" xfId="0" applyFont="1" applyBorder="1" applyAlignment="1">
      <alignment horizontal="left" vertical="center" wrapText="1"/>
    </xf>
    <xf numFmtId="4" fontId="19" fillId="0" borderId="25" xfId="0" applyFont="1" applyBorder="1" applyAlignment="1">
      <alignment horizontal="left" vertical="center" wrapText="1"/>
    </xf>
    <xf numFmtId="4" fontId="19" fillId="0" borderId="62" xfId="0" applyFont="1" applyBorder="1" applyAlignment="1">
      <alignment horizontal="left" vertical="center" wrapText="1"/>
    </xf>
    <xf numFmtId="4" fontId="15" fillId="5" borderId="0" xfId="0" applyFont="1" applyFill="1" applyAlignment="1">
      <alignment horizontal="left"/>
    </xf>
    <xf numFmtId="4" fontId="15" fillId="2" borderId="109" xfId="0" applyFont="1" applyFill="1" applyBorder="1" applyAlignment="1">
      <alignment horizontal="left" vertical="center"/>
    </xf>
    <xf numFmtId="4" fontId="15" fillId="2" borderId="46" xfId="0" applyFont="1" applyFill="1" applyBorder="1" applyAlignment="1">
      <alignment horizontal="left" vertical="center"/>
    </xf>
    <xf numFmtId="4" fontId="15" fillId="2" borderId="30" xfId="0" applyFont="1" applyFill="1" applyBorder="1" applyAlignment="1">
      <alignment horizontal="left" vertical="center"/>
    </xf>
    <xf numFmtId="4" fontId="17" fillId="3" borderId="3" xfId="0" applyFont="1" applyFill="1" applyBorder="1" applyAlignment="1">
      <alignment horizontal="center"/>
    </xf>
    <xf numFmtId="4" fontId="19" fillId="0" borderId="7" xfId="0" applyFont="1" applyBorder="1" applyAlignment="1">
      <alignment horizontal="left" vertical="center" wrapText="1"/>
    </xf>
    <xf numFmtId="4" fontId="19" fillId="0" borderId="23" xfId="0" applyFont="1" applyBorder="1" applyAlignment="1">
      <alignment horizontal="left" vertical="center" wrapText="1"/>
    </xf>
    <xf numFmtId="4" fontId="19" fillId="0" borderId="59" xfId="0" applyFont="1" applyBorder="1" applyAlignment="1">
      <alignment horizontal="left" vertical="center" wrapText="1"/>
    </xf>
    <xf numFmtId="4" fontId="17" fillId="3" borderId="4" xfId="0" applyFont="1" applyFill="1" applyBorder="1" applyAlignment="1">
      <alignment horizontal="center"/>
    </xf>
    <xf numFmtId="4" fontId="17" fillId="3" borderId="11" xfId="0" applyFont="1" applyFill="1" applyBorder="1" applyAlignment="1">
      <alignment horizontal="center"/>
    </xf>
    <xf numFmtId="4" fontId="15" fillId="2" borderId="57" xfId="0" applyFont="1" applyFill="1" applyBorder="1" applyAlignment="1">
      <alignment horizontal="left" vertical="center"/>
    </xf>
    <xf numFmtId="4" fontId="15" fillId="2" borderId="19" xfId="0" applyFont="1" applyFill="1" applyBorder="1" applyAlignment="1">
      <alignment horizontal="left" vertical="center"/>
    </xf>
    <xf numFmtId="4" fontId="15" fillId="2" borderId="63" xfId="0" applyFont="1" applyFill="1" applyBorder="1" applyAlignment="1">
      <alignment horizontal="left" vertical="center"/>
    </xf>
    <xf numFmtId="4" fontId="15" fillId="2" borderId="14" xfId="0" applyFont="1" applyFill="1" applyBorder="1" applyAlignment="1">
      <alignment horizontal="left" vertical="center"/>
    </xf>
    <xf numFmtId="4" fontId="15" fillId="2" borderId="49" xfId="0" applyFont="1" applyFill="1" applyBorder="1" applyAlignment="1">
      <alignment horizontal="left" vertical="center"/>
    </xf>
    <xf numFmtId="4" fontId="15" fillId="2" borderId="26" xfId="0" applyFont="1" applyFill="1" applyBorder="1" applyAlignment="1">
      <alignment horizontal="left" vertical="center"/>
    </xf>
    <xf numFmtId="4" fontId="13" fillId="0" borderId="2" xfId="0" applyFont="1" applyBorder="1" applyAlignment="1">
      <alignment horizontal="left" vertical="center" wrapText="1"/>
    </xf>
    <xf numFmtId="4" fontId="13" fillId="0" borderId="64" xfId="0" applyFont="1" applyBorder="1" applyAlignment="1">
      <alignment horizontal="left" vertical="center" wrapText="1"/>
    </xf>
    <xf numFmtId="4" fontId="16" fillId="6" borderId="17" xfId="0" applyFont="1" applyFill="1" applyBorder="1" applyAlignment="1">
      <alignment horizontal="left"/>
    </xf>
    <xf numFmtId="4" fontId="16" fillId="6" borderId="15" xfId="0" applyFont="1" applyFill="1" applyBorder="1" applyAlignment="1">
      <alignment horizontal="left"/>
    </xf>
    <xf numFmtId="4" fontId="16" fillId="6" borderId="104" xfId="0" applyFont="1" applyFill="1" applyBorder="1" applyAlignment="1">
      <alignment horizontal="left"/>
    </xf>
    <xf numFmtId="4" fontId="15" fillId="6" borderId="9" xfId="0" applyFont="1" applyFill="1" applyBorder="1" applyAlignment="1">
      <alignment horizontal="left"/>
    </xf>
    <xf numFmtId="4" fontId="15" fillId="6" borderId="25" xfId="0" applyFont="1" applyFill="1" applyBorder="1" applyAlignment="1">
      <alignment horizontal="left"/>
    </xf>
    <xf numFmtId="4" fontId="15" fillId="6" borderId="62" xfId="0" applyFont="1" applyFill="1" applyBorder="1" applyAlignment="1">
      <alignment horizontal="left"/>
    </xf>
    <xf numFmtId="4" fontId="15" fillId="2" borderId="3" xfId="0" applyFont="1" applyFill="1" applyBorder="1" applyAlignment="1">
      <alignment horizontal="left" vertical="center"/>
    </xf>
    <xf numFmtId="4" fontId="15" fillId="6" borderId="3" xfId="0" applyFont="1" applyFill="1" applyBorder="1" applyAlignment="1">
      <alignment horizontal="left"/>
    </xf>
    <xf numFmtId="4" fontId="19" fillId="0" borderId="27" xfId="0" applyFont="1" applyBorder="1" applyAlignment="1">
      <alignment horizontal="left" vertical="center" wrapText="1"/>
    </xf>
    <xf numFmtId="4" fontId="19" fillId="0" borderId="28" xfId="0" applyFont="1" applyBorder="1" applyAlignment="1">
      <alignment horizontal="left" vertical="center" wrapText="1"/>
    </xf>
    <xf numFmtId="4" fontId="19" fillId="0" borderId="51" xfId="0" applyFont="1" applyBorder="1" applyAlignment="1">
      <alignment horizontal="left" vertical="center" wrapText="1"/>
    </xf>
    <xf numFmtId="4" fontId="19" fillId="0" borderId="21" xfId="0" applyFont="1" applyBorder="1" applyAlignment="1">
      <alignment horizontal="left" vertical="center" wrapText="1"/>
    </xf>
    <xf numFmtId="4" fontId="19" fillId="0" borderId="0" xfId="0" applyFont="1" applyBorder="1" applyAlignment="1">
      <alignment horizontal="left" vertical="center" wrapText="1"/>
    </xf>
    <xf numFmtId="4" fontId="19" fillId="0" borderId="53" xfId="0" applyFont="1" applyBorder="1" applyAlignment="1">
      <alignment horizontal="left" vertical="center" wrapText="1"/>
    </xf>
    <xf numFmtId="4" fontId="19" fillId="0" borderId="100" xfId="0" applyFont="1" applyBorder="1" applyAlignment="1">
      <alignment horizontal="left" vertical="center" wrapText="1"/>
    </xf>
    <xf numFmtId="4" fontId="19" fillId="0" borderId="61" xfId="0" applyFont="1" applyBorder="1" applyAlignment="1">
      <alignment horizontal="left" vertical="center" wrapText="1"/>
    </xf>
    <xf numFmtId="4" fontId="19" fillId="0" borderId="55" xfId="0" applyFont="1" applyBorder="1" applyAlignment="1">
      <alignment horizontal="left" vertical="center" wrapText="1"/>
    </xf>
    <xf numFmtId="4" fontId="21" fillId="6" borderId="5" xfId="0" applyNumberFormat="1" applyFont="1" applyFill="1" applyBorder="1" applyAlignment="1">
      <alignment horizontal="left"/>
    </xf>
    <xf numFmtId="4" fontId="21" fillId="6" borderId="30" xfId="0" applyNumberFormat="1" applyFont="1" applyFill="1" applyBorder="1" applyAlignment="1">
      <alignment horizontal="left"/>
    </xf>
    <xf numFmtId="4" fontId="19" fillId="0" borderId="18" xfId="0" applyFont="1" applyBorder="1" applyAlignment="1">
      <alignment horizontal="left" vertical="center" wrapText="1"/>
    </xf>
    <xf numFmtId="4" fontId="19" fillId="0" borderId="43" xfId="0" applyFont="1" applyBorder="1" applyAlignment="1">
      <alignment horizontal="left" vertical="center" wrapText="1"/>
    </xf>
    <xf numFmtId="4" fontId="19" fillId="0" borderId="58" xfId="0" applyFont="1" applyBorder="1" applyAlignment="1">
      <alignment horizontal="left" vertical="center" wrapText="1"/>
    </xf>
    <xf numFmtId="4" fontId="19" fillId="0" borderId="20" xfId="0" applyFont="1" applyBorder="1" applyAlignment="1">
      <alignment horizontal="left" vertical="center" wrapText="1"/>
    </xf>
    <xf numFmtId="4" fontId="19" fillId="0" borderId="60" xfId="0" applyFont="1" applyBorder="1" applyAlignment="1">
      <alignment horizontal="left" vertical="center" wrapText="1"/>
    </xf>
    <xf numFmtId="4" fontId="13" fillId="0" borderId="61" xfId="0" applyNumberFormat="1" applyFont="1" applyBorder="1" applyAlignment="1">
      <alignment horizontal="left" vertical="center" wrapText="1"/>
    </xf>
    <xf numFmtId="4" fontId="13" fillId="0" borderId="55" xfId="0" applyNumberFormat="1" applyFont="1" applyBorder="1" applyAlignment="1">
      <alignment horizontal="left" vertical="center" wrapText="1"/>
    </xf>
    <xf numFmtId="4" fontId="15" fillId="2" borderId="3" xfId="0" applyNumberFormat="1" applyFont="1" applyFill="1" applyBorder="1" applyAlignment="1">
      <alignment horizontal="center"/>
    </xf>
    <xf numFmtId="4" fontId="38" fillId="17" borderId="4" xfId="0" applyFont="1" applyFill="1" applyBorder="1" applyAlignment="1">
      <alignment horizontal="center" vertical="center" wrapText="1"/>
    </xf>
    <xf numFmtId="4" fontId="38" fillId="17" borderId="11" xfId="0" applyFont="1" applyFill="1" applyBorder="1" applyAlignment="1">
      <alignment horizontal="center" vertical="center" wrapText="1"/>
    </xf>
    <xf numFmtId="4" fontId="15" fillId="6" borderId="3" xfId="0" applyNumberFormat="1" applyFont="1" applyFill="1" applyBorder="1" applyAlignment="1">
      <alignment horizontal="left"/>
    </xf>
    <xf numFmtId="4" fontId="15" fillId="6" borderId="5" xfId="0" applyNumberFormat="1" applyFont="1" applyFill="1" applyBorder="1" applyAlignment="1">
      <alignment horizontal="left"/>
    </xf>
    <xf numFmtId="4" fontId="17" fillId="3" borderId="3" xfId="0" applyNumberFormat="1" applyFont="1" applyFill="1" applyBorder="1" applyAlignment="1">
      <alignment horizontal="center"/>
    </xf>
    <xf numFmtId="4" fontId="13" fillId="0" borderId="28" xfId="0" applyNumberFormat="1" applyFont="1" applyBorder="1" applyAlignment="1">
      <alignment horizontal="left" vertical="center" wrapText="1"/>
    </xf>
    <xf numFmtId="4" fontId="13" fillId="0" borderId="51"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4" fontId="13" fillId="0" borderId="20" xfId="0" applyNumberFormat="1" applyFont="1" applyBorder="1" applyAlignment="1">
      <alignment horizontal="left" vertical="center" wrapText="1"/>
    </xf>
    <xf numFmtId="4" fontId="13" fillId="0" borderId="60" xfId="0" applyNumberFormat="1" applyFont="1" applyBorder="1" applyAlignment="1">
      <alignment horizontal="left" vertical="center" wrapText="1"/>
    </xf>
    <xf numFmtId="4" fontId="22" fillId="8" borderId="50" xfId="0" applyFont="1" applyFill="1" applyBorder="1" applyAlignment="1">
      <alignment horizontal="left" vertical="center"/>
    </xf>
    <xf numFmtId="4" fontId="0" fillId="0" borderId="17" xfId="0" applyBorder="1" applyAlignment="1">
      <alignment horizontal="left" vertical="center"/>
    </xf>
    <xf numFmtId="4" fontId="22" fillId="8" borderId="63" xfId="0" applyFont="1" applyFill="1" applyBorder="1" applyAlignment="1">
      <alignment horizontal="left" vertical="center"/>
    </xf>
    <xf numFmtId="4" fontId="0" fillId="0" borderId="14" xfId="0" applyBorder="1" applyAlignment="1">
      <alignment horizontal="left" vertical="center"/>
    </xf>
    <xf numFmtId="4" fontId="22" fillId="8" borderId="106" xfId="0" applyFont="1" applyFill="1" applyBorder="1" applyAlignment="1">
      <alignment horizontal="left" vertical="center"/>
    </xf>
    <xf numFmtId="4" fontId="0" fillId="0" borderId="107" xfId="0" applyBorder="1" applyAlignment="1">
      <alignment horizontal="left" vertical="center"/>
    </xf>
    <xf numFmtId="4" fontId="22" fillId="8" borderId="8" xfId="0" applyFont="1" applyFill="1" applyBorder="1" applyAlignment="1">
      <alignment horizontal="left" vertical="center"/>
    </xf>
    <xf numFmtId="4" fontId="22" fillId="8" borderId="14" xfId="0" applyFont="1" applyFill="1" applyBorder="1" applyAlignment="1">
      <alignment horizontal="left" vertical="center"/>
    </xf>
    <xf numFmtId="4" fontId="22" fillId="8" borderId="57" xfId="0" applyFont="1" applyFill="1" applyBorder="1" applyAlignment="1">
      <alignment horizontal="left" vertical="center"/>
    </xf>
    <xf numFmtId="4" fontId="0" fillId="0" borderId="19" xfId="0" applyBorder="1" applyAlignment="1">
      <alignment horizontal="left" vertical="center"/>
    </xf>
    <xf numFmtId="4" fontId="38" fillId="9" borderId="4" xfId="0" applyFont="1" applyFill="1" applyBorder="1" applyAlignment="1">
      <alignment horizontal="left" vertical="center" wrapText="1"/>
    </xf>
    <xf numFmtId="4" fontId="38" fillId="9" borderId="102" xfId="0" applyFont="1" applyFill="1" applyBorder="1" applyAlignment="1">
      <alignment horizontal="left" vertical="center" wrapText="1"/>
    </xf>
    <xf numFmtId="4" fontId="35" fillId="7" borderId="4" xfId="0" applyFont="1" applyFill="1" applyBorder="1" applyAlignment="1">
      <alignment horizontal="center" vertical="center" wrapText="1"/>
    </xf>
    <xf numFmtId="4" fontId="35" fillId="7" borderId="11" xfId="0" applyFont="1" applyFill="1" applyBorder="1" applyAlignment="1">
      <alignment horizontal="center" vertical="center" wrapText="1"/>
    </xf>
    <xf numFmtId="4" fontId="16" fillId="0" borderId="8" xfId="0" applyFont="1" applyBorder="1" applyAlignment="1">
      <alignment horizontal="left" vertical="center" wrapText="1"/>
    </xf>
    <xf numFmtId="4" fontId="16" fillId="0" borderId="20" xfId="0" applyFont="1" applyBorder="1" applyAlignment="1">
      <alignment horizontal="left" vertical="center" wrapText="1"/>
    </xf>
    <xf numFmtId="4" fontId="16" fillId="0" borderId="14" xfId="0" applyFont="1" applyBorder="1" applyAlignment="1">
      <alignment horizontal="left" vertical="center" wrapText="1"/>
    </xf>
    <xf numFmtId="4" fontId="12" fillId="5" borderId="0" xfId="0" applyFont="1" applyFill="1" applyAlignment="1">
      <alignment horizontal="left"/>
    </xf>
    <xf numFmtId="3" fontId="6" fillId="0" borderId="0" xfId="1" applyFont="1" applyBorder="1" applyAlignment="1">
      <alignment horizontal="center"/>
    </xf>
    <xf numFmtId="4" fontId="8" fillId="2" borderId="35" xfId="1" applyNumberFormat="1" applyFont="1" applyFill="1" applyBorder="1" applyAlignment="1">
      <alignment horizontal="center" vertical="center" wrapText="1"/>
    </xf>
    <xf numFmtId="4" fontId="8" fillId="2" borderId="39" xfId="1" applyNumberFormat="1" applyFont="1" applyFill="1" applyBorder="1" applyAlignment="1">
      <alignment horizontal="center" vertical="center" wrapText="1"/>
    </xf>
    <xf numFmtId="4" fontId="8" fillId="2" borderId="3" xfId="1" applyNumberFormat="1" applyFont="1" applyFill="1" applyBorder="1" applyAlignment="1">
      <alignment horizontal="center" vertical="center"/>
    </xf>
    <xf numFmtId="3" fontId="8" fillId="2" borderId="4" xfId="1" applyNumberFormat="1" applyFont="1" applyFill="1" applyBorder="1" applyAlignment="1">
      <alignment horizontal="center" vertical="center" wrapText="1"/>
    </xf>
    <xf numFmtId="3" fontId="8" fillId="2" borderId="74" xfId="1" applyNumberFormat="1" applyFont="1" applyFill="1" applyBorder="1" applyAlignment="1">
      <alignment horizontal="center" vertical="center" wrapText="1"/>
    </xf>
    <xf numFmtId="3" fontId="8" fillId="2" borderId="145" xfId="1" applyFont="1" applyFill="1" applyBorder="1" applyAlignment="1">
      <alignment horizontal="center" vertical="center"/>
    </xf>
    <xf numFmtId="3" fontId="8" fillId="2" borderId="33" xfId="1" applyFont="1" applyFill="1" applyBorder="1" applyAlignment="1">
      <alignment horizontal="center" vertical="center"/>
    </xf>
    <xf numFmtId="3" fontId="8" fillId="2" borderId="65" xfId="1" applyFont="1" applyFill="1" applyBorder="1" applyAlignment="1">
      <alignment horizontal="center" vertical="center"/>
    </xf>
    <xf numFmtId="3" fontId="8" fillId="2" borderId="32" xfId="1" applyFont="1" applyFill="1" applyBorder="1" applyAlignment="1">
      <alignment horizontal="center" vertical="center"/>
    </xf>
    <xf numFmtId="3" fontId="8" fillId="2" borderId="34" xfId="1" applyFont="1" applyFill="1" applyBorder="1" applyAlignment="1">
      <alignment horizontal="center" vertical="center"/>
    </xf>
    <xf numFmtId="3" fontId="8" fillId="2" borderId="36" xfId="1" applyNumberFormat="1" applyFont="1" applyFill="1" applyBorder="1" applyAlignment="1">
      <alignment horizontal="center" vertical="center" wrapText="1"/>
    </xf>
    <xf numFmtId="3" fontId="8" fillId="2" borderId="41" xfId="1" applyNumberFormat="1" applyFont="1" applyFill="1" applyBorder="1" applyAlignment="1">
      <alignment horizontal="center" vertical="center" wrapText="1"/>
    </xf>
    <xf numFmtId="4" fontId="8" fillId="2" borderId="11" xfId="1" applyNumberFormat="1" applyFont="1" applyFill="1" applyBorder="1" applyAlignment="1">
      <alignment horizontal="center" vertical="center" wrapText="1"/>
    </xf>
    <xf numFmtId="4" fontId="8" fillId="2" borderId="155" xfId="1" applyNumberFormat="1" applyFont="1" applyFill="1" applyBorder="1" applyAlignment="1">
      <alignment horizontal="center" vertical="center" wrapText="1"/>
    </xf>
    <xf numFmtId="49" fontId="8" fillId="2" borderId="34" xfId="1" applyNumberFormat="1" applyFont="1" applyFill="1" applyBorder="1" applyAlignment="1">
      <alignment horizontal="center" wrapText="1"/>
    </xf>
    <xf numFmtId="49" fontId="8" fillId="2" borderId="36" xfId="1" applyNumberFormat="1" applyFont="1" applyFill="1" applyBorder="1" applyAlignment="1">
      <alignment horizontal="center" wrapText="1"/>
    </xf>
    <xf numFmtId="3" fontId="8" fillId="2" borderId="36" xfId="1" applyFont="1" applyFill="1" applyBorder="1" applyAlignment="1">
      <alignment horizontal="center" vertical="center" wrapText="1"/>
    </xf>
    <xf numFmtId="3" fontId="8" fillId="2" borderId="41" xfId="1" applyFont="1" applyFill="1" applyBorder="1" applyAlignment="1">
      <alignment horizontal="center" vertical="center" wrapText="1"/>
    </xf>
    <xf numFmtId="4" fontId="13" fillId="0" borderId="63" xfId="0" applyFont="1" applyBorder="1" applyAlignment="1">
      <alignment horizontal="left" vertical="center" wrapText="1"/>
    </xf>
    <xf numFmtId="4" fontId="13" fillId="0" borderId="14" xfId="0" applyFont="1" applyBorder="1" applyAlignment="1">
      <alignment horizontal="left" vertical="center" wrapText="1"/>
    </xf>
    <xf numFmtId="4" fontId="13" fillId="0" borderId="44" xfId="0" applyFont="1" applyBorder="1" applyAlignment="1">
      <alignment horizontal="left" vertical="center" wrapText="1"/>
    </xf>
    <xf numFmtId="4" fontId="13" fillId="0" borderId="63" xfId="0" applyFont="1" applyBorder="1" applyAlignment="1">
      <alignment vertical="center" wrapText="1"/>
    </xf>
    <xf numFmtId="4" fontId="13" fillId="0" borderId="14" xfId="0" applyFont="1" applyBorder="1" applyAlignment="1">
      <alignment vertical="center" wrapText="1"/>
    </xf>
    <xf numFmtId="4" fontId="13" fillId="0" borderId="45" xfId="0" applyFont="1" applyBorder="1" applyAlignment="1">
      <alignment horizontal="left" vertical="center" wrapText="1"/>
    </xf>
    <xf numFmtId="4" fontId="16" fillId="0" borderId="7" xfId="0" applyNumberFormat="1" applyFont="1" applyBorder="1" applyAlignment="1">
      <alignment horizontal="left" vertical="center" wrapText="1"/>
    </xf>
    <xf numFmtId="4" fontId="16" fillId="0" borderId="23" xfId="0" applyNumberFormat="1" applyFont="1" applyBorder="1" applyAlignment="1">
      <alignment horizontal="left" vertical="center" wrapText="1"/>
    </xf>
    <xf numFmtId="4" fontId="16" fillId="0" borderId="59" xfId="0" applyNumberFormat="1" applyFont="1" applyBorder="1" applyAlignment="1">
      <alignment horizontal="left" vertical="center" wrapText="1"/>
    </xf>
    <xf numFmtId="4" fontId="18" fillId="0" borderId="2" xfId="0" applyFont="1" applyBorder="1" applyAlignment="1">
      <alignment horizontal="left" vertical="center" wrapText="1"/>
    </xf>
    <xf numFmtId="4" fontId="18" fillId="0" borderId="64" xfId="0" applyFont="1" applyBorder="1" applyAlignment="1">
      <alignment horizontal="left" vertical="center" wrapText="1"/>
    </xf>
    <xf numFmtId="4" fontId="13" fillId="0" borderId="18" xfId="0" applyNumberFormat="1" applyFont="1" applyBorder="1" applyAlignment="1">
      <alignment horizontal="left" vertical="center" wrapText="1"/>
    </xf>
    <xf numFmtId="4" fontId="13" fillId="0" borderId="43" xfId="0" applyNumberFormat="1" applyFont="1" applyBorder="1" applyAlignment="1">
      <alignment horizontal="left" vertical="center" wrapText="1"/>
    </xf>
    <xf numFmtId="4" fontId="13" fillId="0" borderId="58" xfId="0" applyNumberFormat="1" applyFont="1" applyBorder="1" applyAlignment="1">
      <alignment horizontal="left" vertical="center" wrapText="1"/>
    </xf>
    <xf numFmtId="4" fontId="13" fillId="0" borderId="9" xfId="0" applyNumberFormat="1" applyFont="1" applyBorder="1" applyAlignment="1">
      <alignment horizontal="left" vertical="center" wrapText="1"/>
    </xf>
    <xf numFmtId="4" fontId="13" fillId="0" borderId="25" xfId="0" applyNumberFormat="1" applyFont="1" applyBorder="1" applyAlignment="1">
      <alignment horizontal="left" vertical="center" wrapText="1"/>
    </xf>
    <xf numFmtId="4" fontId="13" fillId="0" borderId="62" xfId="0" applyNumberFormat="1" applyFont="1" applyBorder="1" applyAlignment="1">
      <alignment horizontal="left" vertical="center" wrapText="1"/>
    </xf>
    <xf numFmtId="4" fontId="13" fillId="0" borderId="44" xfId="0" applyFont="1" applyBorder="1" applyAlignment="1">
      <alignment vertical="center" wrapText="1"/>
    </xf>
    <xf numFmtId="4" fontId="14" fillId="0" borderId="0" xfId="0" applyFont="1" applyAlignment="1">
      <alignment horizontal="left"/>
    </xf>
    <xf numFmtId="4" fontId="21" fillId="6" borderId="3" xfId="0" applyNumberFormat="1" applyFont="1" applyFill="1" applyBorder="1" applyAlignment="1">
      <alignment horizontal="left"/>
    </xf>
    <xf numFmtId="4" fontId="21" fillId="6" borderId="16" xfId="0" applyNumberFormat="1" applyFont="1" applyFill="1" applyBorder="1" applyAlignment="1">
      <alignment horizontal="left"/>
    </xf>
    <xf numFmtId="4" fontId="13" fillId="0" borderId="11" xfId="0" applyFont="1" applyBorder="1" applyAlignment="1">
      <alignment horizontal="left" vertical="center" wrapText="1"/>
    </xf>
    <xf numFmtId="4" fontId="12" fillId="0" borderId="3" xfId="0" applyFont="1" applyBorder="1" applyAlignment="1">
      <alignment horizontal="left" vertical="center" wrapText="1"/>
    </xf>
    <xf numFmtId="4" fontId="12" fillId="0" borderId="16" xfId="0" applyFont="1" applyBorder="1" applyAlignment="1">
      <alignment horizontal="left" vertical="center" wrapText="1"/>
    </xf>
    <xf numFmtId="4" fontId="13" fillId="0" borderId="57" xfId="0" applyFont="1" applyBorder="1" applyAlignment="1">
      <alignment horizontal="left" vertical="center" wrapText="1"/>
    </xf>
    <xf numFmtId="4" fontId="13" fillId="0" borderId="19" xfId="0" applyFont="1" applyBorder="1" applyAlignment="1">
      <alignment horizontal="left" vertical="center" wrapText="1"/>
    </xf>
    <xf numFmtId="4" fontId="16" fillId="0" borderId="0" xfId="0" applyFont="1" applyBorder="1" applyAlignment="1">
      <alignment horizontal="left" vertical="center" wrapText="1"/>
    </xf>
    <xf numFmtId="49" fontId="8" fillId="2" borderId="34" xfId="1" applyNumberFormat="1" applyFont="1" applyFill="1" applyBorder="1" applyAlignment="1">
      <alignment horizontal="center" vertical="center" wrapText="1"/>
    </xf>
    <xf numFmtId="49" fontId="8" fillId="2" borderId="36" xfId="1" applyNumberFormat="1" applyFont="1" applyFill="1" applyBorder="1" applyAlignment="1">
      <alignment horizontal="center" vertical="center" wrapText="1"/>
    </xf>
    <xf numFmtId="4" fontId="13" fillId="0" borderId="8" xfId="0" applyFont="1" applyBorder="1" applyAlignment="1">
      <alignment horizontal="left" vertical="center" wrapText="1"/>
    </xf>
    <xf numFmtId="4" fontId="16" fillId="0" borderId="8" xfId="0" applyNumberFormat="1" applyFont="1" applyBorder="1" applyAlignment="1">
      <alignment horizontal="left" vertical="center" wrapText="1"/>
    </xf>
    <xf numFmtId="4" fontId="16" fillId="0" borderId="20" xfId="0" applyNumberFormat="1" applyFont="1" applyBorder="1" applyAlignment="1">
      <alignment horizontal="left" vertical="center" wrapText="1"/>
    </xf>
    <xf numFmtId="4" fontId="16" fillId="0" borderId="60" xfId="0" applyNumberFormat="1" applyFont="1" applyBorder="1" applyAlignment="1">
      <alignment horizontal="left" vertical="center" wrapText="1"/>
    </xf>
    <xf numFmtId="4" fontId="13" fillId="0" borderId="49" xfId="0" applyFont="1" applyBorder="1" applyAlignment="1">
      <alignment horizontal="left" vertical="center" wrapText="1"/>
    </xf>
    <xf numFmtId="4" fontId="13" fillId="0" borderId="26" xfId="0" applyFont="1" applyBorder="1" applyAlignment="1">
      <alignment horizontal="left" vertical="center" wrapText="1"/>
    </xf>
    <xf numFmtId="4" fontId="10" fillId="0" borderId="4" xfId="1" applyNumberFormat="1" applyFont="1" applyBorder="1" applyAlignment="1">
      <alignment horizontal="left"/>
    </xf>
    <xf numFmtId="4" fontId="10" fillId="0" borderId="11" xfId="1" applyNumberFormat="1" applyFont="1" applyBorder="1" applyAlignment="1">
      <alignment horizontal="left"/>
    </xf>
    <xf numFmtId="4" fontId="8" fillId="2" borderId="3" xfId="1" applyNumberFormat="1" applyFont="1" applyFill="1" applyBorder="1" applyAlignment="1">
      <alignment horizontal="center" wrapText="1"/>
    </xf>
    <xf numFmtId="3" fontId="8" fillId="2" borderId="3" xfId="1" applyFont="1" applyFill="1" applyBorder="1" applyAlignment="1">
      <alignment horizontal="center" wrapText="1"/>
    </xf>
    <xf numFmtId="3" fontId="8" fillId="2" borderId="3" xfId="1" applyFont="1" applyFill="1" applyBorder="1" applyAlignment="1">
      <alignment horizontal="center"/>
    </xf>
    <xf numFmtId="4" fontId="7" fillId="2" borderId="3" xfId="0" applyFont="1" applyFill="1" applyBorder="1" applyAlignment="1">
      <alignment horizontal="center" wrapText="1"/>
    </xf>
    <xf numFmtId="49" fontId="8" fillId="2" borderId="3" xfId="1" applyNumberFormat="1" applyFont="1" applyFill="1" applyBorder="1" applyAlignment="1">
      <alignment horizontal="center" wrapText="1"/>
    </xf>
    <xf numFmtId="4" fontId="12" fillId="0" borderId="28" xfId="0" applyNumberFormat="1" applyFont="1" applyBorder="1" applyAlignment="1">
      <alignment horizontal="left" vertical="center" wrapText="1"/>
    </xf>
    <xf numFmtId="4" fontId="12" fillId="0" borderId="51" xfId="0" applyNumberFormat="1" applyFont="1" applyBorder="1" applyAlignment="1">
      <alignment horizontal="left" vertical="center" wrapText="1"/>
    </xf>
    <xf numFmtId="4" fontId="45" fillId="0" borderId="63" xfId="0" applyFont="1" applyBorder="1" applyAlignment="1">
      <alignment horizontal="left" vertical="center" wrapText="1"/>
    </xf>
    <xf numFmtId="4" fontId="45" fillId="0" borderId="14" xfId="0" applyFont="1" applyBorder="1" applyAlignment="1">
      <alignment horizontal="left" vertical="center" wrapText="1"/>
    </xf>
    <xf numFmtId="4" fontId="39" fillId="0" borderId="63" xfId="0" applyFont="1" applyBorder="1" applyAlignment="1">
      <alignment horizontal="left" vertical="center" wrapText="1"/>
    </xf>
    <xf numFmtId="4" fontId="39" fillId="0" borderId="14" xfId="0" applyFont="1" applyBorder="1" applyAlignment="1">
      <alignment horizontal="left" vertical="center" wrapText="1"/>
    </xf>
    <xf numFmtId="4" fontId="64" fillId="0" borderId="63" xfId="0" applyFont="1" applyBorder="1" applyAlignment="1">
      <alignment horizontal="left" vertical="center" wrapText="1"/>
    </xf>
    <xf numFmtId="4" fontId="68" fillId="0" borderId="14" xfId="0" applyFont="1" applyBorder="1" applyAlignment="1">
      <alignment horizontal="left" vertical="center" wrapText="1"/>
    </xf>
    <xf numFmtId="4" fontId="70" fillId="0" borderId="63" xfId="0" applyFont="1" applyBorder="1" applyAlignment="1">
      <alignment horizontal="left" vertical="center" wrapText="1"/>
    </xf>
    <xf numFmtId="4" fontId="27" fillId="0" borderId="14" xfId="0" applyFont="1" applyBorder="1" applyAlignment="1">
      <alignment horizontal="left" vertical="center" wrapText="1"/>
    </xf>
    <xf numFmtId="4" fontId="27" fillId="0" borderId="8" xfId="0" applyFont="1" applyBorder="1" applyAlignment="1">
      <alignment horizontal="left" vertical="center" wrapText="1"/>
    </xf>
    <xf numFmtId="4" fontId="27" fillId="0" borderId="20" xfId="0" applyFont="1" applyBorder="1" applyAlignment="1">
      <alignment horizontal="left" vertical="center" wrapText="1"/>
    </xf>
    <xf numFmtId="4" fontId="38" fillId="9" borderId="4" xfId="0" applyFont="1" applyFill="1" applyBorder="1" applyAlignment="1">
      <alignment horizontal="center" vertical="center" wrapText="1"/>
    </xf>
    <xf numFmtId="4" fontId="38" fillId="9" borderId="11" xfId="0" applyFont="1" applyFill="1" applyBorder="1" applyAlignment="1">
      <alignment horizontal="center" vertical="center" wrapText="1"/>
    </xf>
    <xf numFmtId="4" fontId="64" fillId="0" borderId="48" xfId="0" applyFont="1" applyBorder="1" applyAlignment="1">
      <alignment horizontal="left" vertical="center" wrapText="1"/>
    </xf>
    <xf numFmtId="4" fontId="64" fillId="0" borderId="24" xfId="0" applyFont="1" applyBorder="1" applyAlignment="1">
      <alignment horizontal="left" vertical="center" wrapText="1"/>
    </xf>
    <xf numFmtId="4" fontId="64" fillId="0" borderId="14" xfId="0" applyFont="1" applyBorder="1" applyAlignment="1">
      <alignment horizontal="left" vertical="center" wrapText="1"/>
    </xf>
    <xf numFmtId="4" fontId="13" fillId="0" borderId="12" xfId="0" applyNumberFormat="1" applyFont="1" applyFill="1" applyBorder="1" applyAlignment="1">
      <alignment horizontal="left"/>
    </xf>
    <xf numFmtId="4" fontId="16" fillId="0" borderId="0" xfId="0" applyNumberFormat="1" applyFont="1" applyFill="1" applyBorder="1" applyAlignment="1">
      <alignment horizontal="left"/>
    </xf>
    <xf numFmtId="4" fontId="13" fillId="0" borderId="12" xfId="0" applyFont="1" applyFill="1" applyBorder="1" applyAlignment="1">
      <alignment vertical="center" wrapText="1"/>
    </xf>
    <xf numFmtId="4" fontId="18" fillId="0" borderId="0" xfId="0" applyFont="1" applyFill="1" applyBorder="1" applyAlignment="1">
      <alignment vertical="center" wrapText="1"/>
    </xf>
    <xf numFmtId="4" fontId="46" fillId="0" borderId="63" xfId="0" applyFont="1" applyBorder="1" applyAlignment="1">
      <alignment horizontal="left" vertical="center" wrapText="1"/>
    </xf>
    <xf numFmtId="4" fontId="46" fillId="0" borderId="14" xfId="0" applyFont="1" applyBorder="1" applyAlignment="1">
      <alignment horizontal="left" vertical="center" wrapText="1"/>
    </xf>
    <xf numFmtId="4" fontId="67" fillId="0" borderId="63" xfId="0" applyFont="1" applyBorder="1" applyAlignment="1">
      <alignment horizontal="left" vertical="center" wrapText="1"/>
    </xf>
    <xf numFmtId="4" fontId="69" fillId="0" borderId="14" xfId="0" applyFont="1" applyBorder="1" applyAlignment="1">
      <alignment horizontal="left" vertical="center" wrapText="1"/>
    </xf>
    <xf numFmtId="4" fontId="72" fillId="0" borderId="14" xfId="0" applyFont="1" applyBorder="1" applyAlignment="1">
      <alignment horizontal="left" vertical="center" wrapText="1"/>
    </xf>
    <xf numFmtId="4" fontId="74" fillId="0" borderId="14" xfId="0" applyFont="1" applyBorder="1" applyAlignment="1">
      <alignment horizontal="left" vertical="center" wrapText="1"/>
    </xf>
    <xf numFmtId="4" fontId="67" fillId="0" borderId="63" xfId="0" applyFont="1" applyBorder="1" applyAlignment="1">
      <alignment vertical="center" wrapText="1"/>
    </xf>
    <xf numFmtId="4" fontId="44" fillId="0" borderId="14" xfId="0" applyFont="1" applyBorder="1" applyAlignment="1">
      <alignment vertical="center"/>
    </xf>
    <xf numFmtId="4" fontId="44" fillId="0" borderId="63" xfId="0" applyFont="1" applyBorder="1" applyAlignment="1">
      <alignment horizontal="left" vertical="center" wrapText="1"/>
    </xf>
    <xf numFmtId="4" fontId="44" fillId="0" borderId="14" xfId="0" applyFont="1" applyBorder="1" applyAlignment="1">
      <alignment horizontal="left" vertical="center" wrapText="1"/>
    </xf>
    <xf numFmtId="4" fontId="44" fillId="0" borderId="49" xfId="0" applyFont="1" applyBorder="1" applyAlignment="1">
      <alignment horizontal="left" vertical="center" wrapText="1"/>
    </xf>
    <xf numFmtId="4" fontId="44" fillId="0" borderId="26" xfId="0" applyFont="1" applyBorder="1" applyAlignment="1">
      <alignment horizontal="left" vertical="center" wrapText="1"/>
    </xf>
    <xf numFmtId="4" fontId="45" fillId="9" borderId="4" xfId="0" applyFont="1" applyFill="1" applyBorder="1" applyAlignment="1">
      <alignment horizontal="center" vertical="center" wrapText="1"/>
    </xf>
    <xf numFmtId="4" fontId="45" fillId="9" borderId="11" xfId="0" applyFont="1" applyFill="1" applyBorder="1" applyAlignment="1">
      <alignment horizontal="center" vertical="center" wrapText="1"/>
    </xf>
    <xf numFmtId="4" fontId="45" fillId="15" borderId="4" xfId="0" applyFont="1" applyFill="1" applyBorder="1" applyAlignment="1">
      <alignment horizontal="center" vertical="center" wrapText="1"/>
    </xf>
    <xf numFmtId="4" fontId="45" fillId="15" borderId="11" xfId="0" applyFont="1" applyFill="1" applyBorder="1" applyAlignment="1">
      <alignment horizontal="center" vertical="center" wrapText="1"/>
    </xf>
    <xf numFmtId="4" fontId="75" fillId="0" borderId="4" xfId="0" applyFont="1" applyBorder="1" applyAlignment="1">
      <alignment horizontal="left" vertical="center" wrapText="1"/>
    </xf>
    <xf numFmtId="4" fontId="45" fillId="0" borderId="102" xfId="0" applyFont="1" applyBorder="1" applyAlignment="1">
      <alignment horizontal="left" vertical="center" wrapText="1"/>
    </xf>
    <xf numFmtId="4" fontId="45" fillId="0" borderId="11" xfId="0" applyFont="1" applyBorder="1" applyAlignment="1">
      <alignment horizontal="left" vertical="center" wrapText="1"/>
    </xf>
    <xf numFmtId="4" fontId="42" fillId="0" borderId="0" xfId="0" applyFont="1" applyBorder="1" applyAlignment="1">
      <alignment horizontal="left" vertical="top" wrapText="1"/>
    </xf>
    <xf numFmtId="4" fontId="16" fillId="0" borderId="112" xfId="0" applyFont="1" applyBorder="1" applyAlignment="1">
      <alignment horizontal="left" vertical="center" wrapText="1"/>
    </xf>
    <xf numFmtId="4" fontId="13" fillId="0" borderId="4" xfId="0" applyFont="1" applyBorder="1" applyAlignment="1">
      <alignment horizontal="left" vertical="center" wrapText="1"/>
    </xf>
    <xf numFmtId="4" fontId="13" fillId="0" borderId="3" xfId="0" applyFont="1" applyBorder="1" applyAlignment="1">
      <alignment horizontal="left" vertical="center" wrapText="1"/>
    </xf>
    <xf numFmtId="4" fontId="22" fillId="8" borderId="3" xfId="0" applyFont="1" applyFill="1" applyBorder="1" applyAlignment="1">
      <alignment horizontal="left" vertical="center"/>
    </xf>
    <xf numFmtId="4" fontId="0" fillId="0" borderId="3" xfId="0" applyBorder="1" applyAlignment="1">
      <alignment horizontal="left" vertical="center"/>
    </xf>
    <xf numFmtId="4" fontId="31" fillId="0" borderId="44" xfId="0" applyFont="1" applyBorder="1" applyAlignment="1">
      <alignment horizontal="left" vertical="center" wrapText="1"/>
    </xf>
    <xf numFmtId="4" fontId="0" fillId="0" borderId="2" xfId="0" applyFont="1" applyBorder="1" applyAlignment="1">
      <alignment vertical="center" wrapText="1"/>
    </xf>
    <xf numFmtId="4" fontId="31" fillId="0" borderId="2" xfId="0" applyFont="1" applyBorder="1" applyAlignment="1">
      <alignment horizontal="left" vertical="center" wrapText="1"/>
    </xf>
    <xf numFmtId="4" fontId="38" fillId="9" borderId="54" xfId="0" applyFont="1" applyFill="1" applyBorder="1" applyAlignment="1">
      <alignment horizontal="left" vertical="center" wrapText="1"/>
    </xf>
    <xf numFmtId="4" fontId="38" fillId="9" borderId="61" xfId="0" applyFont="1" applyFill="1" applyBorder="1" applyAlignment="1">
      <alignment horizontal="left" vertical="center" wrapText="1"/>
    </xf>
    <xf numFmtId="4" fontId="0" fillId="0" borderId="2" xfId="0" applyBorder="1" applyAlignment="1">
      <alignment vertical="center" wrapText="1"/>
    </xf>
    <xf numFmtId="4" fontId="35" fillId="7" borderId="54" xfId="0" applyFont="1" applyFill="1" applyBorder="1" applyAlignment="1">
      <alignment horizontal="center" vertical="center" wrapText="1"/>
    </xf>
    <xf numFmtId="4" fontId="35" fillId="7" borderId="55" xfId="0" applyFont="1" applyFill="1" applyBorder="1" applyAlignment="1">
      <alignment horizontal="center" vertical="center" wrapText="1"/>
    </xf>
    <xf numFmtId="4" fontId="38" fillId="17" borderId="50" xfId="0" applyFont="1" applyFill="1" applyBorder="1" applyAlignment="1">
      <alignment horizontal="center" vertical="center" wrapText="1"/>
    </xf>
    <xf numFmtId="4" fontId="38" fillId="17" borderId="51" xfId="0" applyFont="1" applyFill="1" applyBorder="1" applyAlignment="1">
      <alignment horizontal="center" vertical="center" wrapText="1"/>
    </xf>
    <xf numFmtId="4" fontId="8" fillId="2" borderId="115" xfId="1" applyNumberFormat="1" applyFont="1" applyFill="1" applyBorder="1" applyAlignment="1">
      <alignment horizontal="center" wrapText="1"/>
    </xf>
    <xf numFmtId="4" fontId="8" fillId="2" borderId="71" xfId="1" applyNumberFormat="1" applyFont="1" applyFill="1" applyBorder="1" applyAlignment="1">
      <alignment horizontal="center" wrapText="1"/>
    </xf>
    <xf numFmtId="4" fontId="8" fillId="2" borderId="4" xfId="1" applyNumberFormat="1" applyFont="1" applyFill="1" applyBorder="1" applyAlignment="1">
      <alignment horizontal="center"/>
    </xf>
    <xf numFmtId="4" fontId="8" fillId="2" borderId="102" xfId="1" applyNumberFormat="1" applyFont="1" applyFill="1" applyBorder="1" applyAlignment="1">
      <alignment horizontal="center"/>
    </xf>
    <xf numFmtId="4" fontId="8" fillId="2" borderId="11" xfId="1" applyNumberFormat="1" applyFont="1" applyFill="1" applyBorder="1" applyAlignment="1">
      <alignment horizontal="center"/>
    </xf>
    <xf numFmtId="3" fontId="8" fillId="2" borderId="150" xfId="1" applyFont="1" applyFill="1" applyBorder="1" applyAlignment="1">
      <alignment horizontal="center" vertical="center" wrapText="1"/>
    </xf>
    <xf numFmtId="3" fontId="8" fillId="2" borderId="151" xfId="1" applyFont="1" applyFill="1" applyBorder="1" applyAlignment="1">
      <alignment horizontal="center" vertical="center" wrapText="1"/>
    </xf>
    <xf numFmtId="3" fontId="8" fillId="2" borderId="71" xfId="1" applyFont="1" applyFill="1" applyBorder="1" applyAlignment="1">
      <alignment horizontal="center" vertical="center" wrapText="1"/>
    </xf>
    <xf numFmtId="3" fontId="8" fillId="2" borderId="152" xfId="1" applyFont="1" applyFill="1" applyBorder="1" applyAlignment="1">
      <alignment horizontal="center"/>
    </xf>
    <xf numFmtId="3" fontId="8" fillId="2" borderId="153" xfId="1" applyFont="1" applyFill="1" applyBorder="1" applyAlignment="1">
      <alignment horizontal="center"/>
    </xf>
    <xf numFmtId="3" fontId="8" fillId="2" borderId="154" xfId="1" applyFont="1" applyFill="1" applyBorder="1" applyAlignment="1">
      <alignment horizontal="center"/>
    </xf>
    <xf numFmtId="3" fontId="9" fillId="0" borderId="4" xfId="1" applyFont="1" applyBorder="1" applyAlignment="1">
      <alignment horizontal="left"/>
    </xf>
    <xf numFmtId="3" fontId="9" fillId="0" borderId="11" xfId="1" applyFont="1" applyBorder="1" applyAlignment="1">
      <alignment horizontal="left"/>
    </xf>
    <xf numFmtId="3" fontId="8" fillId="2" borderId="37" xfId="1" applyFont="1" applyFill="1" applyBorder="1" applyAlignment="1">
      <alignment horizontal="center" wrapText="1"/>
    </xf>
    <xf numFmtId="3" fontId="8" fillId="2" borderId="73" xfId="1" applyFont="1" applyFill="1" applyBorder="1" applyAlignment="1">
      <alignment horizontal="center" wrapText="1"/>
    </xf>
    <xf numFmtId="49" fontId="8" fillId="2" borderId="148" xfId="1" applyNumberFormat="1" applyFont="1" applyFill="1" applyBorder="1" applyAlignment="1">
      <alignment horizontal="center" vertical="center" wrapText="1"/>
    </xf>
    <xf numFmtId="49" fontId="8" fillId="2" borderId="117" xfId="1" applyNumberFormat="1" applyFont="1" applyFill="1" applyBorder="1" applyAlignment="1">
      <alignment horizontal="center" vertical="center" wrapText="1"/>
    </xf>
    <xf numFmtId="49" fontId="8" fillId="2" borderId="12" xfId="1" applyNumberFormat="1" applyFont="1" applyFill="1" applyBorder="1" applyAlignment="1">
      <alignment horizontal="center" vertical="center" wrapText="1"/>
    </xf>
    <xf numFmtId="49" fontId="8" fillId="2" borderId="53" xfId="1" applyNumberFormat="1" applyFont="1" applyFill="1" applyBorder="1" applyAlignment="1">
      <alignment horizontal="center" vertical="center" wrapText="1"/>
    </xf>
    <xf numFmtId="49" fontId="8" fillId="2" borderId="149" xfId="1" applyNumberFormat="1" applyFont="1" applyFill="1" applyBorder="1" applyAlignment="1">
      <alignment horizontal="center" vertical="center" wrapText="1"/>
    </xf>
    <xf numFmtId="49" fontId="8" fillId="2" borderId="119" xfId="1" applyNumberFormat="1" applyFont="1" applyFill="1" applyBorder="1" applyAlignment="1">
      <alignment horizontal="center" vertical="center" wrapText="1"/>
    </xf>
    <xf numFmtId="49" fontId="8" fillId="2" borderId="146" xfId="1" applyNumberFormat="1" applyFont="1" applyFill="1" applyBorder="1" applyAlignment="1">
      <alignment horizontal="center" vertical="center" wrapText="1"/>
    </xf>
    <xf numFmtId="49" fontId="8" fillId="2" borderId="147" xfId="1" applyNumberFormat="1" applyFont="1" applyFill="1" applyBorder="1" applyAlignment="1">
      <alignment horizontal="center" vertical="center" wrapText="1"/>
    </xf>
    <xf numFmtId="49" fontId="8" fillId="2" borderId="73" xfId="1" applyNumberFormat="1" applyFont="1" applyFill="1" applyBorder="1" applyAlignment="1">
      <alignment horizontal="center" vertical="center" wrapText="1"/>
    </xf>
    <xf numFmtId="3" fontId="9" fillId="3" borderId="4" xfId="1" applyFont="1" applyFill="1" applyBorder="1" applyAlignment="1">
      <alignment horizontal="left"/>
    </xf>
    <xf numFmtId="3" fontId="9" fillId="3" borderId="11" xfId="1" applyFont="1" applyFill="1" applyBorder="1" applyAlignment="1">
      <alignment horizontal="left"/>
    </xf>
    <xf numFmtId="3" fontId="9" fillId="0" borderId="4" xfId="1" applyFont="1" applyFill="1" applyBorder="1" applyAlignment="1">
      <alignment horizontal="left"/>
    </xf>
    <xf numFmtId="3" fontId="9" fillId="0" borderId="11" xfId="1" applyFont="1" applyFill="1" applyBorder="1" applyAlignment="1">
      <alignment horizontal="left"/>
    </xf>
    <xf numFmtId="3" fontId="24" fillId="0" borderId="4" xfId="1" applyFont="1" applyBorder="1" applyAlignment="1">
      <alignment horizontal="left"/>
    </xf>
    <xf numFmtId="3" fontId="24" fillId="0" borderId="11" xfId="1" applyFont="1" applyBorder="1" applyAlignment="1">
      <alignment horizontal="left"/>
    </xf>
    <xf numFmtId="3" fontId="9" fillId="3" borderId="65" xfId="1" applyFont="1" applyFill="1" applyBorder="1" applyAlignment="1">
      <alignment horizontal="left"/>
    </xf>
    <xf numFmtId="3" fontId="9" fillId="3" borderId="145" xfId="1" applyFont="1" applyFill="1" applyBorder="1" applyAlignment="1">
      <alignment horizontal="left"/>
    </xf>
    <xf numFmtId="3" fontId="10" fillId="0" borderId="74" xfId="1" applyFont="1" applyBorder="1" applyAlignment="1">
      <alignment horizontal="left"/>
    </xf>
    <xf numFmtId="3" fontId="10" fillId="0" borderId="155" xfId="1" applyFont="1" applyBorder="1" applyAlignment="1">
      <alignment horizontal="left"/>
    </xf>
    <xf numFmtId="3" fontId="10" fillId="0" borderId="4" xfId="1" applyFont="1" applyBorder="1" applyAlignment="1">
      <alignment horizontal="left"/>
    </xf>
    <xf numFmtId="3" fontId="10" fillId="0" borderId="11" xfId="1" applyFont="1" applyBorder="1" applyAlignment="1">
      <alignment horizontal="left"/>
    </xf>
    <xf numFmtId="4" fontId="27" fillId="0" borderId="106" xfId="0" applyFont="1" applyBorder="1" applyAlignment="1">
      <alignment horizontal="left" vertical="center" wrapText="1"/>
    </xf>
    <xf numFmtId="4" fontId="27" fillId="0" borderId="107" xfId="0" applyFont="1" applyBorder="1" applyAlignment="1">
      <alignment horizontal="left" vertical="center" wrapText="1"/>
    </xf>
    <xf numFmtId="4" fontId="27" fillId="0" borderId="63" xfId="0" applyFont="1" applyFill="1" applyBorder="1" applyAlignment="1">
      <alignment horizontal="left" vertical="center" wrapText="1"/>
    </xf>
    <xf numFmtId="4" fontId="27" fillId="0" borderId="14" xfId="0" applyFont="1" applyFill="1" applyBorder="1" applyAlignment="1">
      <alignment horizontal="left" vertical="center" wrapText="1"/>
    </xf>
    <xf numFmtId="4" fontId="27" fillId="0" borderId="44" xfId="0" applyFont="1" applyBorder="1" applyAlignment="1">
      <alignment horizontal="left" vertical="center" wrapText="1"/>
    </xf>
    <xf numFmtId="4" fontId="27" fillId="0" borderId="63" xfId="0" applyFont="1" applyBorder="1" applyAlignment="1">
      <alignment horizontal="left" vertical="center" wrapText="1"/>
    </xf>
    <xf numFmtId="4" fontId="27" fillId="0" borderId="57" xfId="0" applyFont="1" applyFill="1" applyBorder="1" applyAlignment="1">
      <alignment horizontal="left" vertical="center" wrapText="1"/>
    </xf>
    <xf numFmtId="4" fontId="27" fillId="0" borderId="19" xfId="0" applyFont="1" applyFill="1" applyBorder="1" applyAlignment="1">
      <alignment horizontal="left" vertical="center" wrapText="1"/>
    </xf>
    <xf numFmtId="4" fontId="36" fillId="0" borderId="50" xfId="0" applyFont="1" applyFill="1" applyBorder="1" applyAlignment="1">
      <alignment horizontal="left" vertical="center" wrapText="1"/>
    </xf>
    <xf numFmtId="4" fontId="78" fillId="0" borderId="17" xfId="0" applyFont="1" applyFill="1" applyBorder="1" applyAlignment="1">
      <alignment horizontal="left" vertical="center" wrapText="1"/>
    </xf>
    <xf numFmtId="4" fontId="78" fillId="0" borderId="54" xfId="0" applyFont="1" applyFill="1" applyBorder="1" applyAlignment="1">
      <alignment horizontal="left" vertical="center" wrapText="1"/>
    </xf>
    <xf numFmtId="4" fontId="78" fillId="0" borderId="101" xfId="0" applyFont="1" applyFill="1" applyBorder="1" applyAlignment="1">
      <alignment horizontal="left" vertical="center" wrapText="1"/>
    </xf>
    <xf numFmtId="14" fontId="38" fillId="0" borderId="15" xfId="0" applyNumberFormat="1" applyFont="1" applyFill="1" applyBorder="1" applyAlignment="1">
      <alignment horizontal="center" vertical="center" wrapText="1"/>
    </xf>
    <xf numFmtId="14" fontId="38" fillId="0" borderId="31" xfId="0" applyNumberFormat="1" applyFont="1" applyFill="1" applyBorder="1" applyAlignment="1">
      <alignment horizontal="center" vertical="center" wrapText="1"/>
    </xf>
    <xf numFmtId="14" fontId="38" fillId="0" borderId="104" xfId="0" applyNumberFormat="1" applyFont="1" applyFill="1" applyBorder="1" applyAlignment="1">
      <alignment horizontal="center" vertical="center" wrapText="1"/>
    </xf>
    <xf numFmtId="14" fontId="38" fillId="0" borderId="105" xfId="0" applyNumberFormat="1" applyFont="1" applyFill="1" applyBorder="1" applyAlignment="1">
      <alignment horizontal="center" vertical="center" wrapText="1"/>
    </xf>
    <xf numFmtId="4" fontId="36" fillId="0" borderId="4" xfId="0" applyFont="1" applyFill="1" applyBorder="1" applyAlignment="1">
      <alignment horizontal="left" vertical="center" wrapText="1"/>
    </xf>
    <xf numFmtId="4" fontId="36" fillId="0" borderId="111" xfId="0" applyFont="1" applyFill="1" applyBorder="1" applyAlignment="1">
      <alignment horizontal="left" vertical="center" wrapText="1"/>
    </xf>
    <xf numFmtId="4" fontId="38" fillId="9" borderId="102" xfId="0" applyFont="1" applyFill="1" applyBorder="1" applyAlignment="1">
      <alignment horizontal="center" vertical="center" wrapText="1"/>
    </xf>
    <xf numFmtId="4" fontId="36" fillId="0" borderId="17" xfId="0" applyFont="1" applyFill="1" applyBorder="1" applyAlignment="1">
      <alignment horizontal="left" vertical="center" wrapText="1"/>
    </xf>
    <xf numFmtId="4" fontId="36" fillId="0" borderId="12" xfId="0" applyFont="1" applyFill="1" applyBorder="1" applyAlignment="1">
      <alignment horizontal="left" vertical="center" wrapText="1"/>
    </xf>
    <xf numFmtId="4" fontId="36" fillId="0" borderId="29" xfId="0" applyFont="1" applyFill="1" applyBorder="1" applyAlignment="1">
      <alignment horizontal="left" vertical="center" wrapText="1"/>
    </xf>
    <xf numFmtId="4" fontId="36" fillId="0" borderId="54" xfId="0" applyFont="1" applyFill="1" applyBorder="1" applyAlignment="1">
      <alignment horizontal="left" vertical="center" wrapText="1"/>
    </xf>
    <xf numFmtId="4" fontId="36" fillId="0" borderId="101" xfId="0" applyFont="1" applyFill="1" applyBorder="1" applyAlignment="1">
      <alignment horizontal="left" vertical="center" wrapText="1"/>
    </xf>
    <xf numFmtId="14" fontId="38" fillId="0" borderId="22" xfId="0" applyNumberFormat="1" applyFont="1" applyFill="1" applyBorder="1" applyAlignment="1">
      <alignment horizontal="center" vertical="center" wrapText="1"/>
    </xf>
    <xf numFmtId="14" fontId="38" fillId="0" borderId="103" xfId="0" applyNumberFormat="1" applyFont="1" applyFill="1" applyBorder="1" applyAlignment="1">
      <alignment horizontal="center" vertical="center" wrapText="1"/>
    </xf>
    <xf numFmtId="4" fontId="52" fillId="0" borderId="31" xfId="0" applyFont="1" applyFill="1" applyBorder="1" applyAlignment="1">
      <alignment horizontal="center" vertical="center" wrapText="1"/>
    </xf>
    <xf numFmtId="4" fontId="52" fillId="0" borderId="105" xfId="0" applyFont="1" applyFill="1" applyBorder="1" applyAlignment="1">
      <alignment horizontal="center" vertical="center" wrapText="1"/>
    </xf>
    <xf numFmtId="4" fontId="78" fillId="4" borderId="50" xfId="0" applyFont="1" applyFill="1" applyBorder="1" applyAlignment="1">
      <alignment horizontal="left" vertical="center" wrapText="1"/>
    </xf>
    <xf numFmtId="4" fontId="52" fillId="4" borderId="17" xfId="0" applyFont="1" applyFill="1" applyBorder="1" applyAlignment="1">
      <alignment horizontal="left" vertical="center" wrapText="1"/>
    </xf>
    <xf numFmtId="4" fontId="52" fillId="4" borderId="54" xfId="0" applyFont="1" applyFill="1" applyBorder="1" applyAlignment="1">
      <alignment horizontal="left" vertical="center" wrapText="1"/>
    </xf>
    <xf numFmtId="4" fontId="52" fillId="4" borderId="101" xfId="0" applyFont="1" applyFill="1" applyBorder="1" applyAlignment="1">
      <alignment horizontal="left" vertical="center" wrapText="1"/>
    </xf>
    <xf numFmtId="14" fontId="38" fillId="4" borderId="15" xfId="0" applyNumberFormat="1" applyFont="1" applyFill="1" applyBorder="1" applyAlignment="1">
      <alignment horizontal="center" vertical="center" wrapText="1"/>
    </xf>
    <xf numFmtId="4" fontId="52" fillId="4" borderId="31" xfId="0" applyFont="1" applyFill="1" applyBorder="1" applyAlignment="1">
      <alignment horizontal="center" vertical="center" wrapText="1"/>
    </xf>
    <xf numFmtId="14" fontId="38" fillId="4" borderId="104" xfId="0" applyNumberFormat="1" applyFont="1" applyFill="1" applyBorder="1" applyAlignment="1">
      <alignment horizontal="center" vertical="center" wrapText="1"/>
    </xf>
    <xf numFmtId="4" fontId="52" fillId="4" borderId="105" xfId="0" applyFont="1" applyFill="1" applyBorder="1" applyAlignment="1">
      <alignment horizontal="center" vertical="center" wrapText="1"/>
    </xf>
    <xf numFmtId="4" fontId="78" fillId="0" borderId="50" xfId="0" applyFont="1" applyFill="1" applyBorder="1" applyAlignment="1">
      <alignment horizontal="left" vertical="center" wrapText="1"/>
    </xf>
    <xf numFmtId="4" fontId="52" fillId="0" borderId="17" xfId="0" applyFont="1" applyFill="1" applyBorder="1" applyAlignment="1">
      <alignment horizontal="left" vertical="center" wrapText="1"/>
    </xf>
    <xf numFmtId="4" fontId="52" fillId="0" borderId="54" xfId="0" applyFont="1" applyFill="1" applyBorder="1" applyAlignment="1">
      <alignment horizontal="left" vertical="center" wrapText="1"/>
    </xf>
    <xf numFmtId="4" fontId="52" fillId="0" borderId="101" xfId="0" applyFont="1" applyFill="1" applyBorder="1" applyAlignment="1">
      <alignment horizontal="left" vertical="center" wrapText="1"/>
    </xf>
    <xf numFmtId="4" fontId="36" fillId="4" borderId="50" xfId="0" applyFont="1" applyFill="1" applyBorder="1" applyAlignment="1">
      <alignment horizontal="left" vertical="center" wrapText="1"/>
    </xf>
    <xf numFmtId="4" fontId="36" fillId="4" borderId="12" xfId="0" applyFont="1" applyFill="1" applyBorder="1" applyAlignment="1">
      <alignment horizontal="left" vertical="center" wrapText="1"/>
    </xf>
    <xf numFmtId="4" fontId="52" fillId="4" borderId="29" xfId="0" applyFont="1" applyFill="1" applyBorder="1" applyAlignment="1">
      <alignment horizontal="left" vertical="center" wrapText="1"/>
    </xf>
    <xf numFmtId="14" fontId="38" fillId="4" borderId="22" xfId="0" applyNumberFormat="1" applyFont="1" applyFill="1" applyBorder="1" applyAlignment="1">
      <alignment horizontal="center" vertical="center" wrapText="1"/>
    </xf>
    <xf numFmtId="14" fontId="38" fillId="4" borderId="103" xfId="0" applyNumberFormat="1" applyFont="1" applyFill="1" applyBorder="1" applyAlignment="1">
      <alignment horizontal="center" vertical="center" wrapText="1"/>
    </xf>
    <xf numFmtId="4" fontId="77" fillId="0" borderId="0" xfId="0" applyFont="1" applyAlignment="1">
      <alignment horizontal="left"/>
    </xf>
    <xf numFmtId="4" fontId="19" fillId="0" borderId="2" xfId="0" applyFont="1" applyBorder="1" applyAlignment="1">
      <alignment horizontal="left" vertical="center" wrapText="1"/>
    </xf>
    <xf numFmtId="4" fontId="19" fillId="0" borderId="64" xfId="0" applyFont="1" applyBorder="1" applyAlignment="1">
      <alignment horizontal="left" vertical="center" wrapText="1"/>
    </xf>
    <xf numFmtId="4" fontId="38" fillId="16" borderId="3" xfId="0" applyNumberFormat="1" applyFont="1" applyFill="1" applyBorder="1" applyAlignment="1">
      <alignment horizontal="left"/>
    </xf>
    <xf numFmtId="4" fontId="38" fillId="16" borderId="5" xfId="0" applyNumberFormat="1" applyFont="1" applyFill="1" applyBorder="1" applyAlignment="1">
      <alignment horizontal="left"/>
    </xf>
    <xf numFmtId="4" fontId="79" fillId="4" borderId="17" xfId="0" applyFont="1" applyFill="1" applyBorder="1" applyAlignment="1">
      <alignment horizontal="left" vertical="center" wrapText="1"/>
    </xf>
    <xf numFmtId="4" fontId="79" fillId="4" borderId="29" xfId="0" applyFont="1" applyFill="1" applyBorder="1" applyAlignment="1">
      <alignment horizontal="left" vertical="center" wrapText="1"/>
    </xf>
    <xf numFmtId="4" fontId="79" fillId="4" borderId="54" xfId="0" applyFont="1" applyFill="1" applyBorder="1" applyAlignment="1">
      <alignment horizontal="left" vertical="center" wrapText="1"/>
    </xf>
    <xf numFmtId="4" fontId="79" fillId="4" borderId="101" xfId="0" applyFont="1" applyFill="1" applyBorder="1" applyAlignment="1">
      <alignment horizontal="left" vertical="center" wrapText="1"/>
    </xf>
    <xf numFmtId="4" fontId="78" fillId="0" borderId="12" xfId="0" applyFont="1" applyFill="1" applyBorder="1" applyAlignment="1">
      <alignment horizontal="left" vertical="center" wrapText="1"/>
    </xf>
    <xf numFmtId="4" fontId="78" fillId="0" borderId="29" xfId="0" applyFont="1" applyFill="1" applyBorder="1" applyAlignment="1">
      <alignment horizontal="left" vertical="center" wrapText="1"/>
    </xf>
    <xf numFmtId="4" fontId="79" fillId="0" borderId="17" xfId="0" applyFont="1" applyFill="1" applyBorder="1" applyAlignment="1">
      <alignment horizontal="left" vertical="center" wrapText="1"/>
    </xf>
    <xf numFmtId="4" fontId="79" fillId="0" borderId="29" xfId="0" applyFont="1" applyFill="1" applyBorder="1" applyAlignment="1">
      <alignment horizontal="left" vertical="center" wrapText="1"/>
    </xf>
    <xf numFmtId="4" fontId="79" fillId="0" borderId="101" xfId="0" applyFont="1" applyFill="1" applyBorder="1" applyAlignment="1">
      <alignment horizontal="left" vertical="center" wrapText="1"/>
    </xf>
    <xf numFmtId="4" fontId="38" fillId="15" borderId="4" xfId="0" applyFont="1" applyFill="1" applyBorder="1" applyAlignment="1">
      <alignment horizontal="center" vertical="center" wrapText="1"/>
    </xf>
    <xf numFmtId="4" fontId="38" fillId="15" borderId="11" xfId="0" applyFont="1" applyFill="1" applyBorder="1" applyAlignment="1">
      <alignment horizontal="center" vertical="center" wrapText="1"/>
    </xf>
    <xf numFmtId="49" fontId="16" fillId="0" borderId="8" xfId="0" applyNumberFormat="1" applyFont="1" applyBorder="1" applyAlignment="1">
      <alignment horizontal="left" vertical="center" wrapText="1"/>
    </xf>
    <xf numFmtId="49" fontId="16" fillId="0" borderId="20" xfId="0" applyNumberFormat="1" applyFont="1" applyBorder="1" applyAlignment="1">
      <alignment horizontal="left" vertical="center" wrapText="1"/>
    </xf>
    <xf numFmtId="49" fontId="16" fillId="0" borderId="14" xfId="0" applyNumberFormat="1" applyFont="1" applyBorder="1" applyAlignment="1">
      <alignment horizontal="left" vertical="center" wrapText="1"/>
    </xf>
    <xf numFmtId="4" fontId="13" fillId="0" borderId="8" xfId="0" applyFont="1" applyBorder="1" applyAlignment="1">
      <alignment horizontal="left" vertical="top" wrapText="1"/>
    </xf>
    <xf numFmtId="4" fontId="13" fillId="0" borderId="20" xfId="0" applyFont="1" applyBorder="1" applyAlignment="1">
      <alignment horizontal="left" vertical="top" wrapText="1"/>
    </xf>
    <xf numFmtId="4" fontId="13" fillId="0" borderId="14" xfId="0" applyFont="1" applyBorder="1" applyAlignment="1">
      <alignment horizontal="left" vertical="top" wrapText="1"/>
    </xf>
    <xf numFmtId="4" fontId="52" fillId="0" borderId="12" xfId="0" applyFont="1" applyFill="1" applyBorder="1" applyAlignment="1">
      <alignment horizontal="left" vertical="center" wrapText="1"/>
    </xf>
    <xf numFmtId="4" fontId="52" fillId="0" borderId="29" xfId="0" applyFont="1" applyFill="1" applyBorder="1" applyAlignment="1">
      <alignment horizontal="left" vertical="center" wrapText="1"/>
    </xf>
    <xf numFmtId="4" fontId="52" fillId="0" borderId="22" xfId="0" applyFont="1" applyFill="1" applyBorder="1" applyAlignment="1">
      <alignment horizontal="center" vertical="center" wrapText="1"/>
    </xf>
    <xf numFmtId="4" fontId="52" fillId="0" borderId="103" xfId="0" applyFont="1" applyFill="1" applyBorder="1" applyAlignment="1">
      <alignment horizontal="center" vertical="center" wrapText="1"/>
    </xf>
    <xf numFmtId="4" fontId="32" fillId="0" borderId="49" xfId="0" applyFont="1" applyBorder="1" applyAlignment="1">
      <alignment horizontal="left" vertical="center" wrapText="1"/>
    </xf>
    <xf numFmtId="4" fontId="0" fillId="0" borderId="26" xfId="0" applyBorder="1" applyAlignment="1">
      <alignment vertical="center" wrapText="1"/>
    </xf>
    <xf numFmtId="4" fontId="32" fillId="0" borderId="48" xfId="0" applyFont="1" applyBorder="1" applyAlignment="1">
      <alignment horizontal="left" vertical="center" wrapText="1"/>
    </xf>
    <xf numFmtId="4" fontId="0" fillId="0" borderId="24" xfId="0" applyBorder="1" applyAlignment="1">
      <alignment vertical="center" wrapText="1"/>
    </xf>
    <xf numFmtId="4" fontId="32" fillId="0" borderId="23" xfId="0" applyFont="1" applyBorder="1" applyAlignment="1">
      <alignment horizontal="left" vertical="center" wrapText="1"/>
    </xf>
    <xf numFmtId="4" fontId="34" fillId="0" borderId="48" xfId="0" applyFont="1" applyBorder="1" applyAlignment="1">
      <alignment horizontal="left" vertical="center" wrapText="1"/>
    </xf>
    <xf numFmtId="4" fontId="34" fillId="0" borderId="59" xfId="0" applyFont="1" applyBorder="1" applyAlignment="1">
      <alignment horizontal="left" vertical="center" wrapText="1"/>
    </xf>
    <xf numFmtId="4" fontId="34" fillId="0" borderId="12" xfId="0" applyFont="1" applyBorder="1" applyAlignment="1">
      <alignment horizontal="left" vertical="center" wrapText="1"/>
    </xf>
    <xf numFmtId="4" fontId="34" fillId="0" borderId="53" xfId="0" applyFont="1" applyBorder="1" applyAlignment="1">
      <alignment horizontal="left" vertical="center" wrapText="1"/>
    </xf>
    <xf numFmtId="4" fontId="34" fillId="0" borderId="50" xfId="0" applyFont="1" applyBorder="1" applyAlignment="1">
      <alignment horizontal="left" vertical="center" wrapText="1"/>
    </xf>
    <xf numFmtId="4" fontId="34" fillId="0" borderId="51" xfId="0" applyFont="1" applyBorder="1" applyAlignment="1">
      <alignment horizontal="left" vertical="center" wrapText="1"/>
    </xf>
    <xf numFmtId="4" fontId="34" fillId="0" borderId="12" xfId="0" applyFont="1" applyBorder="1" applyAlignment="1">
      <alignment horizontal="center" vertical="center" wrapText="1"/>
    </xf>
    <xf numFmtId="4" fontId="34" fillId="0" borderId="53" xfId="0" applyFont="1" applyBorder="1" applyAlignment="1">
      <alignment horizontal="center" vertical="center" wrapText="1"/>
    </xf>
    <xf numFmtId="4" fontId="34" fillId="0" borderId="50" xfId="0" applyFont="1" applyBorder="1" applyAlignment="1">
      <alignment horizontal="center" vertical="center" wrapText="1"/>
    </xf>
    <xf numFmtId="4" fontId="34" fillId="0" borderId="51" xfId="0" applyFont="1" applyBorder="1" applyAlignment="1">
      <alignment horizontal="center" vertical="center" wrapText="1"/>
    </xf>
    <xf numFmtId="4" fontId="34" fillId="0" borderId="49" xfId="0" applyFont="1" applyBorder="1" applyAlignment="1">
      <alignment horizontal="left" vertical="center" wrapText="1"/>
    </xf>
    <xf numFmtId="4" fontId="34" fillId="0" borderId="62" xfId="0" applyFont="1" applyBorder="1" applyAlignment="1">
      <alignment horizontal="left" vertical="center" wrapText="1"/>
    </xf>
    <xf numFmtId="49" fontId="34" fillId="0" borderId="57" xfId="0" applyNumberFormat="1" applyFont="1" applyBorder="1" applyAlignment="1">
      <alignment horizontal="left" vertical="center" wrapText="1"/>
    </xf>
    <xf numFmtId="49" fontId="34" fillId="0" borderId="58" xfId="0" applyNumberFormat="1" applyFont="1" applyBorder="1" applyAlignment="1">
      <alignment horizontal="left" vertical="center" wrapText="1"/>
    </xf>
    <xf numFmtId="4" fontId="34" fillId="0" borderId="63" xfId="0" applyFont="1" applyBorder="1" applyAlignment="1">
      <alignment horizontal="left" vertical="center" wrapText="1"/>
    </xf>
    <xf numFmtId="4" fontId="34" fillId="0" borderId="60" xfId="0" applyFont="1" applyBorder="1" applyAlignment="1">
      <alignment horizontal="left" vertical="center" wrapText="1"/>
    </xf>
    <xf numFmtId="4" fontId="62" fillId="0" borderId="0" xfId="0" applyFont="1" applyAlignment="1">
      <alignment horizontal="center"/>
    </xf>
    <xf numFmtId="4" fontId="33" fillId="0" borderId="12" xfId="0" applyFont="1" applyFill="1" applyBorder="1" applyAlignment="1">
      <alignment horizontal="left" vertical="center" wrapText="1"/>
    </xf>
    <xf numFmtId="4" fontId="33" fillId="0" borderId="53" xfId="0" applyFont="1" applyFill="1" applyBorder="1" applyAlignment="1">
      <alignment horizontal="left" vertical="center" wrapText="1"/>
    </xf>
    <xf numFmtId="4" fontId="33" fillId="0" borderId="48" xfId="0" applyFont="1" applyFill="1" applyBorder="1" applyAlignment="1">
      <alignment horizontal="left" vertical="center" wrapText="1"/>
    </xf>
    <xf numFmtId="4" fontId="33" fillId="0" borderId="59" xfId="0" applyFont="1" applyFill="1" applyBorder="1" applyAlignment="1">
      <alignment horizontal="left" vertical="center" wrapText="1"/>
    </xf>
    <xf numFmtId="4" fontId="34" fillId="0" borderId="54" xfId="0" applyFont="1" applyBorder="1" applyAlignment="1">
      <alignment horizontal="left" vertical="center" wrapText="1"/>
    </xf>
    <xf numFmtId="4" fontId="34" fillId="0" borderId="55" xfId="0" applyFont="1" applyBorder="1" applyAlignment="1">
      <alignment horizontal="left" vertical="center" wrapText="1"/>
    </xf>
    <xf numFmtId="4" fontId="35" fillId="0" borderId="59" xfId="0" applyFont="1" applyBorder="1" applyAlignment="1">
      <alignment horizontal="left" vertical="center" wrapText="1"/>
    </xf>
    <xf numFmtId="4" fontId="33" fillId="0" borderId="50" xfId="0" applyFont="1" applyFill="1" applyBorder="1" applyAlignment="1">
      <alignment horizontal="left" vertical="center" wrapText="1"/>
    </xf>
    <xf numFmtId="4" fontId="33" fillId="0" borderId="51" xfId="0" applyFont="1" applyFill="1" applyBorder="1" applyAlignment="1">
      <alignment horizontal="left" vertical="center" wrapText="1"/>
    </xf>
    <xf numFmtId="4" fontId="33" fillId="0" borderId="49" xfId="0" applyFont="1" applyFill="1" applyBorder="1" applyAlignment="1">
      <alignment horizontal="left" vertical="center" wrapText="1"/>
    </xf>
    <xf numFmtId="4" fontId="33" fillId="0" borderId="62" xfId="0" applyFont="1" applyFill="1" applyBorder="1" applyAlignment="1">
      <alignment horizontal="left" vertical="center" wrapText="1"/>
    </xf>
    <xf numFmtId="4" fontId="33" fillId="0" borderId="54" xfId="0" applyFont="1" applyFill="1" applyBorder="1" applyAlignment="1">
      <alignment horizontal="left" vertical="center" wrapText="1"/>
    </xf>
    <xf numFmtId="4" fontId="33" fillId="0" borderId="55" xfId="0" applyFont="1" applyFill="1" applyBorder="1" applyAlignment="1">
      <alignment horizontal="left" vertical="center" wrapText="1"/>
    </xf>
    <xf numFmtId="4" fontId="34" fillId="0" borderId="57" xfId="0" applyFont="1" applyBorder="1" applyAlignment="1">
      <alignment horizontal="center" vertical="center" wrapText="1"/>
    </xf>
    <xf numFmtId="4" fontId="34" fillId="0" borderId="58" xfId="0" applyFont="1" applyBorder="1" applyAlignment="1">
      <alignment horizontal="center" vertical="center" wrapText="1"/>
    </xf>
    <xf numFmtId="4" fontId="34" fillId="0" borderId="49" xfId="0" applyFont="1" applyBorder="1" applyAlignment="1">
      <alignment horizontal="center" vertical="center" wrapText="1"/>
    </xf>
    <xf numFmtId="4" fontId="34" fillId="0" borderId="62" xfId="0" applyFont="1" applyBorder="1" applyAlignment="1">
      <alignment horizontal="center" vertical="center" wrapText="1"/>
    </xf>
    <xf numFmtId="4" fontId="34" fillId="0" borderId="57" xfId="0" applyFont="1" applyBorder="1" applyAlignment="1">
      <alignment horizontal="left" vertical="center" wrapText="1"/>
    </xf>
    <xf numFmtId="4" fontId="34" fillId="0" borderId="58" xfId="0" applyFont="1" applyBorder="1" applyAlignment="1">
      <alignment horizontal="left" vertical="center" wrapText="1"/>
    </xf>
    <xf numFmtId="4" fontId="34" fillId="0" borderId="54" xfId="0" applyFont="1" applyBorder="1" applyAlignment="1">
      <alignment horizontal="center" vertical="center" wrapText="1"/>
    </xf>
    <xf numFmtId="4" fontId="34" fillId="0" borderId="55" xfId="0" applyFont="1" applyBorder="1" applyAlignment="1">
      <alignment horizontal="center" vertical="center" wrapText="1"/>
    </xf>
    <xf numFmtId="4" fontId="34" fillId="0" borderId="63" xfId="0" applyFont="1" applyBorder="1" applyAlignment="1">
      <alignment horizontal="center" vertical="center" wrapText="1"/>
    </xf>
    <xf numFmtId="4" fontId="34" fillId="0" borderId="60" xfId="0" applyFont="1" applyBorder="1" applyAlignment="1">
      <alignment horizontal="center" vertical="center" wrapText="1"/>
    </xf>
    <xf numFmtId="4" fontId="34" fillId="0" borderId="48" xfId="0" applyFont="1" applyBorder="1" applyAlignment="1">
      <alignment horizontal="center" vertical="center" wrapText="1"/>
    </xf>
    <xf numFmtId="4" fontId="34" fillId="0" borderId="59" xfId="0" applyFont="1" applyBorder="1" applyAlignment="1">
      <alignment horizontal="center" vertical="center" wrapText="1"/>
    </xf>
    <xf numFmtId="4" fontId="16" fillId="0" borderId="21" xfId="0" applyFont="1" applyBorder="1" applyAlignment="1">
      <alignment horizontal="left" vertical="center" wrapText="1"/>
    </xf>
    <xf numFmtId="4" fontId="0" fillId="0" borderId="11" xfId="0" applyBorder="1" applyAlignment="1">
      <alignment horizontal="left"/>
    </xf>
    <xf numFmtId="3" fontId="8" fillId="2" borderId="32" xfId="1" applyFont="1" applyFill="1" applyBorder="1" applyAlignment="1">
      <alignment horizontal="center" wrapText="1"/>
    </xf>
    <xf numFmtId="4" fontId="7" fillId="2" borderId="35" xfId="0" applyFont="1" applyFill="1" applyBorder="1" applyAlignment="1">
      <alignment horizontal="center" wrapText="1"/>
    </xf>
    <xf numFmtId="49" fontId="8" fillId="2" borderId="33" xfId="1" applyNumberFormat="1" applyFont="1" applyFill="1" applyBorder="1" applyAlignment="1">
      <alignment horizontal="center" wrapText="1"/>
    </xf>
    <xf numFmtId="4" fontId="7" fillId="2" borderId="33" xfId="0" applyFont="1" applyFill="1" applyBorder="1" applyAlignment="1">
      <alignment horizontal="center" wrapText="1"/>
    </xf>
    <xf numFmtId="3" fontId="8" fillId="2" borderId="145" xfId="1" applyFont="1" applyFill="1" applyBorder="1" applyAlignment="1">
      <alignment horizontal="center"/>
    </xf>
    <xf numFmtId="3" fontId="8" fillId="2" borderId="4" xfId="1" applyFont="1" applyFill="1" applyBorder="1" applyAlignment="1">
      <alignment horizontal="center" wrapText="1"/>
    </xf>
    <xf numFmtId="3" fontId="8" fillId="2" borderId="65" xfId="1" applyFont="1" applyFill="1" applyBorder="1" applyAlignment="1">
      <alignment horizontal="center"/>
    </xf>
    <xf numFmtId="4" fontId="8" fillId="2" borderId="11" xfId="1" applyNumberFormat="1" applyFont="1" applyFill="1" applyBorder="1" applyAlignment="1">
      <alignment horizontal="center" wrapText="1"/>
    </xf>
    <xf numFmtId="4" fontId="31" fillId="0" borderId="3" xfId="0" applyFont="1" applyBorder="1" applyAlignment="1">
      <alignment horizontal="left" vertical="center" wrapText="1"/>
    </xf>
    <xf numFmtId="4" fontId="0" fillId="0" borderId="3" xfId="0" applyBorder="1" applyAlignment="1">
      <alignment horizontal="left" vertical="center" wrapText="1"/>
    </xf>
    <xf numFmtId="4" fontId="31" fillId="0" borderId="4" xfId="0" applyFont="1" applyBorder="1" applyAlignment="1">
      <alignment horizontal="left" vertical="center" wrapText="1"/>
    </xf>
    <xf numFmtId="4" fontId="31" fillId="0" borderId="11" xfId="0" applyFont="1" applyBorder="1" applyAlignment="1">
      <alignment horizontal="left" vertical="center" wrapText="1"/>
    </xf>
    <xf numFmtId="4" fontId="0" fillId="0" borderId="11" xfId="0" applyBorder="1" applyAlignment="1">
      <alignment horizontal="left" vertical="center" wrapText="1"/>
    </xf>
    <xf numFmtId="4" fontId="0" fillId="0" borderId="102" xfId="0" applyBorder="1" applyAlignment="1">
      <alignment horizontal="left" vertical="center" wrapText="1"/>
    </xf>
    <xf numFmtId="4" fontId="14" fillId="0" borderId="0" xfId="0" applyFont="1" applyAlignment="1"/>
    <xf numFmtId="4" fontId="0" fillId="0" borderId="0" xfId="0" applyAlignment="1"/>
    <xf numFmtId="4" fontId="22" fillId="8" borderId="49" xfId="0" applyFont="1" applyFill="1" applyBorder="1" applyAlignment="1">
      <alignment horizontal="left" vertical="center"/>
    </xf>
    <xf numFmtId="4" fontId="22" fillId="8" borderId="62" xfId="0" applyFont="1" applyFill="1" applyBorder="1" applyAlignment="1">
      <alignment horizontal="left" vertical="center"/>
    </xf>
    <xf numFmtId="4" fontId="22" fillId="8" borderId="63" xfId="0" applyFont="1" applyFill="1" applyBorder="1" applyAlignment="1">
      <alignment horizontal="left" vertical="center" wrapText="1"/>
    </xf>
    <xf numFmtId="4" fontId="0" fillId="0" borderId="14" xfId="0" applyBorder="1" applyAlignment="1">
      <alignment horizontal="left" vertical="center" wrapText="1"/>
    </xf>
    <xf numFmtId="4" fontId="22" fillId="8" borderId="12" xfId="0" applyFont="1" applyFill="1" applyBorder="1" applyAlignment="1">
      <alignment horizontal="left" vertical="center" wrapText="1"/>
    </xf>
    <xf numFmtId="4" fontId="0" fillId="0" borderId="29" xfId="0" applyBorder="1" applyAlignment="1">
      <alignment horizontal="left" vertical="center" wrapText="1"/>
    </xf>
    <xf numFmtId="4" fontId="16" fillId="0" borderId="43" xfId="0" applyFont="1" applyBorder="1" applyAlignment="1">
      <alignment wrapText="1"/>
    </xf>
    <xf numFmtId="4" fontId="0" fillId="0" borderId="43" xfId="0" applyBorder="1" applyAlignment="1">
      <alignment wrapText="1"/>
    </xf>
    <xf numFmtId="4" fontId="13" fillId="19" borderId="48" xfId="0" applyFont="1" applyFill="1" applyBorder="1" applyAlignment="1">
      <alignment horizontal="left" vertical="center" wrapText="1"/>
    </xf>
    <xf numFmtId="4" fontId="13" fillId="19" borderId="23" xfId="0" applyFont="1" applyFill="1" applyBorder="1" applyAlignment="1">
      <alignment horizontal="left" vertical="center" wrapText="1"/>
    </xf>
    <xf numFmtId="4" fontId="13" fillId="0" borderId="4" xfId="0" applyFont="1" applyFill="1" applyBorder="1" applyAlignment="1">
      <alignment horizontal="left" vertical="center" wrapText="1"/>
    </xf>
    <xf numFmtId="4" fontId="13" fillId="0" borderId="111" xfId="0" applyFont="1" applyFill="1" applyBorder="1" applyAlignment="1">
      <alignment horizontal="left" vertical="center" wrapText="1"/>
    </xf>
    <xf numFmtId="4" fontId="13" fillId="0" borderId="48" xfId="0" applyFont="1" applyFill="1" applyBorder="1" applyAlignment="1">
      <alignment horizontal="left" vertical="center" wrapText="1"/>
    </xf>
    <xf numFmtId="4" fontId="13" fillId="0" borderId="23" xfId="0" applyFont="1" applyFill="1" applyBorder="1" applyAlignment="1">
      <alignment horizontal="left" vertical="center" wrapText="1"/>
    </xf>
    <xf numFmtId="4" fontId="13" fillId="0" borderId="162" xfId="0" applyNumberFormat="1" applyFont="1" applyBorder="1" applyAlignment="1">
      <alignment horizontal="left" vertical="center" wrapText="1"/>
    </xf>
    <xf numFmtId="4" fontId="13" fillId="0" borderId="102" xfId="0" applyNumberFormat="1" applyFont="1" applyBorder="1" applyAlignment="1">
      <alignment horizontal="left" vertical="center" wrapText="1"/>
    </xf>
    <xf numFmtId="4" fontId="13" fillId="0" borderId="11" xfId="0" applyNumberFormat="1" applyFont="1" applyBorder="1" applyAlignment="1">
      <alignment horizontal="left" vertical="center" wrapText="1"/>
    </xf>
    <xf numFmtId="4" fontId="13" fillId="0" borderId="54" xfId="0" applyFont="1" applyFill="1" applyBorder="1" applyAlignment="1">
      <alignment horizontal="left" vertical="center" wrapText="1"/>
    </xf>
    <xf numFmtId="4" fontId="13" fillId="0" borderId="101" xfId="0" applyFont="1" applyFill="1" applyBorder="1" applyAlignment="1">
      <alignment horizontal="left" vertical="center" wrapText="1"/>
    </xf>
    <xf numFmtId="4" fontId="13" fillId="0" borderId="74" xfId="0" applyFont="1" applyFill="1" applyBorder="1" applyAlignment="1">
      <alignment horizontal="left" vertical="center" wrapText="1"/>
    </xf>
    <xf numFmtId="4" fontId="13" fillId="0" borderId="165" xfId="0" applyFont="1" applyFill="1" applyBorder="1" applyAlignment="1">
      <alignment horizontal="left" vertical="center" wrapText="1"/>
    </xf>
    <xf numFmtId="4" fontId="13" fillId="19" borderId="57" xfId="0" applyFont="1" applyFill="1" applyBorder="1" applyAlignment="1">
      <alignment horizontal="left" vertical="center" wrapText="1"/>
    </xf>
    <xf numFmtId="4" fontId="13" fillId="19" borderId="43" xfId="0" applyFont="1" applyFill="1" applyBorder="1" applyAlignment="1">
      <alignment horizontal="left" vertical="center" wrapText="1"/>
    </xf>
    <xf numFmtId="4" fontId="13" fillId="19" borderId="74" xfId="0" applyFont="1" applyFill="1" applyBorder="1" applyAlignment="1">
      <alignment horizontal="left" vertical="center" wrapText="1"/>
    </xf>
    <xf numFmtId="4" fontId="13" fillId="19" borderId="165" xfId="0" applyFont="1" applyFill="1" applyBorder="1" applyAlignment="1">
      <alignment horizontal="left" vertical="center" wrapText="1"/>
    </xf>
    <xf numFmtId="4" fontId="13" fillId="0" borderId="74" xfId="0" applyFont="1" applyFill="1" applyBorder="1" applyAlignment="1">
      <alignment horizontal="left" vertical="top" wrapText="1"/>
    </xf>
    <xf numFmtId="4" fontId="13" fillId="0" borderId="163" xfId="0" applyFont="1" applyFill="1" applyBorder="1" applyAlignment="1">
      <alignment horizontal="left" vertical="top" wrapText="1"/>
    </xf>
    <xf numFmtId="4" fontId="13" fillId="19" borderId="54" xfId="0" applyFont="1" applyFill="1" applyBorder="1" applyAlignment="1">
      <alignment horizontal="left" vertical="top" wrapText="1"/>
    </xf>
    <xf numFmtId="4" fontId="13" fillId="19" borderId="101" xfId="0" applyFont="1" applyFill="1" applyBorder="1" applyAlignment="1">
      <alignment horizontal="left" vertical="top" wrapText="1"/>
    </xf>
    <xf numFmtId="4" fontId="13" fillId="19" borderId="4" xfId="0" applyFont="1" applyFill="1" applyBorder="1" applyAlignment="1">
      <alignment horizontal="left" vertical="top" wrapText="1"/>
    </xf>
    <xf numFmtId="4" fontId="13" fillId="19" borderId="111" xfId="0" applyFont="1" applyFill="1" applyBorder="1" applyAlignment="1">
      <alignment horizontal="left" vertical="top" wrapText="1"/>
    </xf>
    <xf numFmtId="4" fontId="13" fillId="19" borderId="4" xfId="0" applyFont="1" applyFill="1" applyBorder="1" applyAlignment="1">
      <alignment horizontal="left" vertical="center" wrapText="1"/>
    </xf>
    <xf numFmtId="4" fontId="13" fillId="19" borderId="111" xfId="0" applyFont="1" applyFill="1" applyBorder="1" applyAlignment="1">
      <alignment horizontal="left" vertical="center" wrapText="1"/>
    </xf>
    <xf numFmtId="4" fontId="13" fillId="19" borderId="54" xfId="0" applyFont="1" applyFill="1" applyBorder="1" applyAlignment="1">
      <alignment horizontal="left" vertical="center" wrapText="1"/>
    </xf>
    <xf numFmtId="4" fontId="13" fillId="19" borderId="101" xfId="0" applyFont="1" applyFill="1" applyBorder="1" applyAlignment="1">
      <alignment horizontal="left" vertical="center" wrapText="1"/>
    </xf>
    <xf numFmtId="4" fontId="13" fillId="19" borderId="163" xfId="0" applyFont="1" applyFill="1" applyBorder="1" applyAlignment="1">
      <alignment horizontal="left" vertical="center" wrapText="1"/>
    </xf>
    <xf numFmtId="4" fontId="13" fillId="0" borderId="57" xfId="0" applyFont="1" applyFill="1" applyBorder="1" applyAlignment="1">
      <alignment horizontal="left" vertical="center" wrapText="1"/>
    </xf>
    <xf numFmtId="4" fontId="13" fillId="0" borderId="43" xfId="0" applyFont="1" applyFill="1" applyBorder="1" applyAlignment="1">
      <alignment horizontal="left" vertical="center" wrapText="1"/>
    </xf>
    <xf numFmtId="4" fontId="12" fillId="0" borderId="4" xfId="0" applyFont="1" applyFill="1" applyBorder="1" applyAlignment="1">
      <alignment horizontal="left" vertical="center" wrapText="1"/>
    </xf>
    <xf numFmtId="4" fontId="12" fillId="0" borderId="111" xfId="0" applyFont="1" applyFill="1" applyBorder="1" applyAlignment="1">
      <alignment horizontal="left" vertical="center" wrapText="1"/>
    </xf>
    <xf numFmtId="4" fontId="13" fillId="0" borderId="4" xfId="0" applyFont="1" applyFill="1" applyBorder="1" applyAlignment="1">
      <alignment horizontal="left" vertical="top" wrapText="1"/>
    </xf>
    <xf numFmtId="4" fontId="13" fillId="0" borderId="111" xfId="0" applyFont="1" applyFill="1" applyBorder="1" applyAlignment="1">
      <alignment horizontal="left" vertical="top" wrapText="1"/>
    </xf>
    <xf numFmtId="4" fontId="13" fillId="0" borderId="20" xfId="0" applyFont="1" applyBorder="1" applyAlignment="1">
      <alignment horizontal="left" vertical="center" wrapText="1"/>
    </xf>
    <xf numFmtId="4" fontId="15" fillId="2" borderId="4" xfId="0" applyFont="1" applyFill="1" applyBorder="1" applyAlignment="1">
      <alignment horizontal="center" vertical="center" wrapText="1"/>
    </xf>
    <xf numFmtId="4" fontId="15" fillId="2" borderId="11" xfId="0" applyFont="1" applyFill="1" applyBorder="1" applyAlignment="1">
      <alignment horizontal="center" vertical="center" wrapText="1"/>
    </xf>
    <xf numFmtId="4" fontId="15" fillId="4" borderId="48" xfId="0" applyFont="1" applyFill="1" applyBorder="1" applyAlignment="1">
      <alignment horizontal="left" vertical="center" wrapText="1"/>
    </xf>
    <xf numFmtId="4" fontId="15" fillId="4" borderId="24" xfId="0" applyFont="1" applyFill="1" applyBorder="1" applyAlignment="1">
      <alignment horizontal="left" vertical="center" wrapText="1"/>
    </xf>
    <xf numFmtId="4" fontId="15" fillId="0" borderId="63" xfId="0" applyFont="1" applyBorder="1" applyAlignment="1">
      <alignment horizontal="left" vertical="center" wrapText="1"/>
    </xf>
    <xf numFmtId="4" fontId="15" fillId="0" borderId="14" xfId="0" applyFont="1" applyBorder="1" applyAlignment="1">
      <alignment horizontal="left" vertical="center" wrapText="1"/>
    </xf>
    <xf numFmtId="4" fontId="15" fillId="0" borderId="106" xfId="0" applyFont="1" applyBorder="1" applyAlignment="1">
      <alignment horizontal="left" vertical="center" wrapText="1"/>
    </xf>
    <xf numFmtId="4" fontId="15" fillId="0" borderId="107" xfId="0" applyFont="1" applyBorder="1" applyAlignment="1">
      <alignment horizontal="left" vertical="center" wrapText="1"/>
    </xf>
    <xf numFmtId="4" fontId="15" fillId="0" borderId="57" xfId="0" applyFont="1" applyBorder="1" applyAlignment="1">
      <alignment horizontal="left" vertical="center" wrapText="1"/>
    </xf>
    <xf numFmtId="4" fontId="15" fillId="0" borderId="19" xfId="0" applyFont="1" applyBorder="1" applyAlignment="1">
      <alignment horizontal="left" vertical="center" wrapText="1"/>
    </xf>
    <xf numFmtId="4" fontId="15" fillId="0" borderId="20" xfId="0" applyFont="1" applyBorder="1" applyAlignment="1">
      <alignment horizontal="left" vertical="center" wrapText="1"/>
    </xf>
    <xf numFmtId="4" fontId="48" fillId="22" borderId="0" xfId="0" applyFont="1" applyFill="1" applyAlignment="1">
      <alignment horizontal="left" vertical="center"/>
    </xf>
    <xf numFmtId="4" fontId="15" fillId="4" borderId="57" xfId="0" applyFont="1" applyFill="1" applyBorder="1" applyAlignment="1">
      <alignment horizontal="left" vertical="center" wrapText="1"/>
    </xf>
    <xf numFmtId="4" fontId="15" fillId="4" borderId="43" xfId="0" applyFont="1" applyFill="1" applyBorder="1" applyAlignment="1">
      <alignment horizontal="left" vertical="center" wrapText="1"/>
    </xf>
    <xf numFmtId="4" fontId="15" fillId="0" borderId="48" xfId="0" applyFont="1" applyBorder="1" applyAlignment="1">
      <alignment horizontal="left" vertical="center" wrapText="1"/>
    </xf>
    <xf numFmtId="4" fontId="15" fillId="0" borderId="24" xfId="0" applyFont="1" applyBorder="1" applyAlignment="1">
      <alignment horizontal="left" vertical="center" wrapText="1"/>
    </xf>
    <xf numFmtId="4" fontId="15" fillId="10" borderId="4" xfId="0" applyFont="1" applyFill="1" applyBorder="1" applyAlignment="1">
      <alignment horizontal="center" vertical="center" wrapText="1"/>
    </xf>
    <xf numFmtId="4" fontId="15" fillId="10" borderId="11" xfId="0" applyFont="1" applyFill="1" applyBorder="1" applyAlignment="1">
      <alignment horizontal="center" vertical="center" wrapText="1"/>
    </xf>
    <xf numFmtId="4" fontId="15" fillId="0" borderId="63" xfId="0" applyFont="1" applyBorder="1" applyAlignment="1">
      <alignment horizontal="center" vertical="center" wrapText="1"/>
    </xf>
    <xf numFmtId="4" fontId="15" fillId="0" borderId="14" xfId="0" applyFont="1" applyBorder="1" applyAlignment="1">
      <alignment horizontal="center" vertical="center" wrapText="1"/>
    </xf>
    <xf numFmtId="3" fontId="24" fillId="0" borderId="3" xfId="1" applyFont="1" applyFill="1" applyBorder="1" applyAlignment="1">
      <alignment horizontal="left"/>
    </xf>
    <xf numFmtId="4" fontId="48" fillId="0" borderId="8" xfId="0" applyFont="1" applyBorder="1" applyAlignment="1">
      <alignment horizontal="left" vertical="center" wrapText="1"/>
    </xf>
    <xf numFmtId="4" fontId="13" fillId="0" borderId="27" xfId="0" applyNumberFormat="1" applyFont="1" applyBorder="1" applyAlignment="1">
      <alignment horizontal="left" vertical="center" wrapText="1"/>
    </xf>
    <xf numFmtId="4" fontId="0" fillId="0" borderId="18" xfId="0" applyBorder="1" applyAlignment="1">
      <alignment horizontal="left" vertical="center" wrapText="1"/>
    </xf>
    <xf numFmtId="4" fontId="0" fillId="0" borderId="43" xfId="0" applyBorder="1" applyAlignment="1">
      <alignment horizontal="left" vertical="center" wrapText="1"/>
    </xf>
    <xf numFmtId="4" fontId="0" fillId="0" borderId="58" xfId="0" applyBorder="1" applyAlignment="1">
      <alignment horizontal="left" vertical="center" wrapText="1"/>
    </xf>
    <xf numFmtId="4" fontId="36" fillId="8" borderId="50" xfId="0" applyFont="1" applyFill="1" applyBorder="1" applyAlignment="1">
      <alignment horizontal="left" vertical="center" wrapText="1"/>
    </xf>
    <xf numFmtId="4" fontId="16" fillId="0" borderId="17" xfId="0" applyFont="1" applyBorder="1" applyAlignment="1">
      <alignment horizontal="left" vertical="center" wrapText="1"/>
    </xf>
    <xf numFmtId="4" fontId="16" fillId="0" borderId="149" xfId="0" applyFont="1" applyBorder="1" applyAlignment="1">
      <alignment horizontal="left" vertical="center" wrapText="1"/>
    </xf>
    <xf numFmtId="4" fontId="16" fillId="0" borderId="167" xfId="0" applyFont="1" applyBorder="1" applyAlignment="1">
      <alignment horizontal="left" vertical="center" wrapText="1"/>
    </xf>
    <xf numFmtId="43" fontId="38" fillId="8" borderId="10" xfId="0" applyNumberFormat="1" applyFont="1" applyFill="1" applyBorder="1" applyAlignment="1">
      <alignment horizontal="center" vertical="center" wrapText="1"/>
    </xf>
    <xf numFmtId="4" fontId="15" fillId="0" borderId="72" xfId="0" applyFont="1" applyBorder="1" applyAlignment="1">
      <alignment horizontal="center" vertical="center" wrapText="1"/>
    </xf>
    <xf numFmtId="14" fontId="38" fillId="8" borderId="51" xfId="0" applyNumberFormat="1" applyFont="1" applyFill="1" applyBorder="1" applyAlignment="1">
      <alignment horizontal="center" vertical="top" wrapText="1"/>
    </xf>
    <xf numFmtId="4" fontId="15" fillId="0" borderId="119" xfId="0" applyFont="1" applyBorder="1" applyAlignment="1">
      <alignment horizontal="center" vertical="top" wrapText="1"/>
    </xf>
    <xf numFmtId="4" fontId="36" fillId="8" borderId="12" xfId="0" applyFont="1" applyFill="1" applyBorder="1" applyAlignment="1">
      <alignment horizontal="left" vertical="center" wrapText="1"/>
    </xf>
    <xf numFmtId="4" fontId="16" fillId="0" borderId="156" xfId="0" applyFont="1" applyBorder="1" applyAlignment="1">
      <alignment horizontal="left" vertical="center" wrapText="1"/>
    </xf>
    <xf numFmtId="14" fontId="38" fillId="8" borderId="56" xfId="0" applyNumberFormat="1" applyFont="1" applyFill="1" applyBorder="1" applyAlignment="1">
      <alignment horizontal="center" vertical="top" wrapText="1"/>
    </xf>
    <xf numFmtId="4" fontId="15" fillId="0" borderId="72" xfId="0" applyFont="1" applyBorder="1" applyAlignment="1">
      <alignment horizontal="center" vertical="top" wrapText="1"/>
    </xf>
    <xf numFmtId="4" fontId="56" fillId="0" borderId="20" xfId="0" applyFont="1" applyBorder="1" applyAlignment="1">
      <alignment horizontal="left" vertical="center" wrapText="1"/>
    </xf>
    <xf numFmtId="4" fontId="56" fillId="0" borderId="14" xfId="0" applyFont="1" applyBorder="1" applyAlignment="1">
      <alignment horizontal="left" vertical="center" wrapText="1"/>
    </xf>
    <xf numFmtId="4" fontId="36" fillId="8" borderId="148" xfId="0" applyFont="1" applyFill="1" applyBorder="1" applyAlignment="1">
      <alignment horizontal="left" vertical="center" wrapText="1"/>
    </xf>
    <xf numFmtId="4" fontId="16" fillId="0" borderId="117" xfId="0" applyFont="1" applyBorder="1" applyAlignment="1">
      <alignment horizontal="left" vertical="center" wrapText="1"/>
    </xf>
    <xf numFmtId="4" fontId="16" fillId="0" borderId="119" xfId="0" applyFont="1" applyBorder="1" applyAlignment="1">
      <alignment horizontal="left" vertical="center" wrapText="1"/>
    </xf>
    <xf numFmtId="4" fontId="16" fillId="0" borderId="148" xfId="0" applyFont="1" applyBorder="1" applyAlignment="1">
      <alignment horizontal="left" vertical="top" wrapText="1"/>
    </xf>
    <xf numFmtId="4" fontId="16" fillId="0" borderId="117" xfId="0" applyFont="1" applyBorder="1" applyAlignment="1">
      <alignment horizontal="left" vertical="top" wrapText="1"/>
    </xf>
    <xf numFmtId="4" fontId="16" fillId="0" borderId="12" xfId="0" applyFont="1" applyBorder="1" applyAlignment="1">
      <alignment horizontal="left" vertical="top" wrapText="1"/>
    </xf>
    <xf numFmtId="4" fontId="16" fillId="0" borderId="53" xfId="0" applyFont="1" applyBorder="1" applyAlignment="1">
      <alignment horizontal="left" vertical="top" wrapText="1"/>
    </xf>
    <xf numFmtId="4" fontId="16" fillId="0" borderId="149" xfId="0" applyFont="1" applyBorder="1" applyAlignment="1">
      <alignment horizontal="left" vertical="top" wrapText="1"/>
    </xf>
    <xf numFmtId="4" fontId="16" fillId="0" borderId="119" xfId="0" applyFont="1" applyBorder="1" applyAlignment="1">
      <alignment horizontal="left" vertical="top" wrapText="1"/>
    </xf>
    <xf numFmtId="14" fontId="15" fillId="0" borderId="161" xfId="0" applyNumberFormat="1" applyFont="1" applyBorder="1" applyAlignment="1">
      <alignment horizontal="center" vertical="top" wrapText="1"/>
    </xf>
    <xf numFmtId="4" fontId="16" fillId="0" borderId="56" xfId="0" applyFont="1" applyBorder="1" applyAlignment="1">
      <alignment wrapText="1"/>
    </xf>
    <xf numFmtId="4" fontId="16" fillId="0" borderId="72" xfId="0" applyFont="1" applyBorder="1" applyAlignment="1">
      <alignment wrapText="1"/>
    </xf>
    <xf numFmtId="4" fontId="36" fillId="8" borderId="148" xfId="0" applyFont="1" applyFill="1" applyBorder="1" applyAlignment="1">
      <alignment horizontal="left" vertical="top" wrapText="1"/>
    </xf>
    <xf numFmtId="4" fontId="37" fillId="0" borderId="117" xfId="0" applyFont="1" applyBorder="1" applyAlignment="1">
      <alignment horizontal="left" vertical="top" wrapText="1"/>
    </xf>
    <xf numFmtId="4" fontId="37" fillId="0" borderId="12" xfId="0" applyFont="1" applyBorder="1" applyAlignment="1">
      <alignment horizontal="left" vertical="top" wrapText="1"/>
    </xf>
    <xf numFmtId="4" fontId="37" fillId="0" borderId="53" xfId="0" applyFont="1" applyBorder="1" applyAlignment="1">
      <alignment horizontal="left" vertical="top" wrapText="1"/>
    </xf>
    <xf numFmtId="4" fontId="37" fillId="0" borderId="149" xfId="0" applyFont="1" applyBorder="1" applyAlignment="1">
      <alignment horizontal="left" vertical="top" wrapText="1"/>
    </xf>
    <xf numFmtId="4" fontId="37" fillId="0" borderId="119" xfId="0" applyFont="1" applyBorder="1" applyAlignment="1">
      <alignment horizontal="left" vertical="top" wrapText="1"/>
    </xf>
    <xf numFmtId="14" fontId="38" fillId="8" borderId="161" xfId="0" applyNumberFormat="1" applyFont="1" applyFill="1" applyBorder="1" applyAlignment="1">
      <alignment horizontal="center" vertical="top" wrapText="1"/>
    </xf>
    <xf numFmtId="4" fontId="62" fillId="0" borderId="56" xfId="0" applyFont="1" applyBorder="1" applyAlignment="1">
      <alignment horizontal="center" vertical="top" wrapText="1"/>
    </xf>
    <xf numFmtId="4" fontId="62" fillId="0" borderId="72" xfId="0" applyFont="1" applyBorder="1" applyAlignment="1">
      <alignment horizontal="center" vertical="top" wrapText="1"/>
    </xf>
    <xf numFmtId="14" fontId="38" fillId="8" borderId="168" xfId="0" applyNumberFormat="1" applyFont="1" applyFill="1" applyBorder="1" applyAlignment="1">
      <alignment horizontal="center" vertical="top" wrapText="1"/>
    </xf>
    <xf numFmtId="4" fontId="62" fillId="0" borderId="0" xfId="0" applyFont="1" applyBorder="1" applyAlignment="1">
      <alignment horizontal="center" vertical="top" wrapText="1"/>
    </xf>
    <xf numFmtId="4" fontId="62" fillId="0" borderId="156" xfId="0" applyFont="1" applyBorder="1" applyAlignment="1">
      <alignment horizontal="center" vertical="top" wrapText="1"/>
    </xf>
    <xf numFmtId="4" fontId="16" fillId="0" borderId="28" xfId="0" applyFont="1" applyBorder="1" applyAlignment="1">
      <alignment horizontal="left" vertical="center" wrapText="1"/>
    </xf>
    <xf numFmtId="4" fontId="0" fillId="0" borderId="28" xfId="0" applyBorder="1" applyAlignment="1">
      <alignment vertical="center" wrapText="1"/>
    </xf>
    <xf numFmtId="4" fontId="38" fillId="9" borderId="55" xfId="0" applyFont="1" applyFill="1" applyBorder="1" applyAlignment="1">
      <alignment horizontal="left" vertical="center" wrapText="1"/>
    </xf>
    <xf numFmtId="43" fontId="38" fillId="8" borderId="161" xfId="0" applyNumberFormat="1" applyFont="1" applyFill="1" applyBorder="1" applyAlignment="1">
      <alignment horizontal="center" vertical="top" wrapText="1"/>
    </xf>
    <xf numFmtId="4" fontId="16" fillId="0" borderId="12" xfId="0" applyFont="1" applyBorder="1" applyAlignment="1">
      <alignment horizontal="left" vertical="center" wrapText="1"/>
    </xf>
    <xf numFmtId="4" fontId="16" fillId="0" borderId="53" xfId="0" applyFont="1" applyBorder="1" applyAlignment="1">
      <alignment horizontal="left" vertical="center" wrapText="1"/>
    </xf>
    <xf numFmtId="4" fontId="36" fillId="8" borderId="116" xfId="0" applyFont="1" applyFill="1" applyBorder="1" applyAlignment="1">
      <alignment horizontal="left" vertical="top" wrapText="1"/>
    </xf>
    <xf numFmtId="4" fontId="16" fillId="0" borderId="166" xfId="0" applyFont="1" applyBorder="1" applyAlignment="1">
      <alignment horizontal="left" vertical="top" wrapText="1"/>
    </xf>
    <xf numFmtId="4" fontId="16" fillId="0" borderId="118" xfId="0" applyFont="1" applyBorder="1" applyAlignment="1">
      <alignment horizontal="left" vertical="top" wrapText="1"/>
    </xf>
    <xf numFmtId="4" fontId="16" fillId="0" borderId="29" xfId="0" applyFont="1" applyBorder="1" applyAlignment="1">
      <alignment horizontal="left" vertical="top" wrapText="1"/>
    </xf>
    <xf numFmtId="14" fontId="15" fillId="0" borderId="161" xfId="0" applyNumberFormat="1" applyFont="1" applyBorder="1" applyAlignment="1">
      <alignment horizontal="center" vertical="top"/>
    </xf>
    <xf numFmtId="14" fontId="15" fillId="0" borderId="56" xfId="0" applyNumberFormat="1" applyFont="1" applyBorder="1" applyAlignment="1">
      <alignment horizontal="center" vertical="top"/>
    </xf>
    <xf numFmtId="14" fontId="15" fillId="0" borderId="146" xfId="0" applyNumberFormat="1" applyFont="1" applyBorder="1" applyAlignment="1">
      <alignment horizontal="center" vertical="top"/>
    </xf>
    <xf numFmtId="14" fontId="15" fillId="0" borderId="147" xfId="0" applyNumberFormat="1" applyFont="1" applyBorder="1" applyAlignment="1">
      <alignment horizontal="center" vertical="top"/>
    </xf>
    <xf numFmtId="4" fontId="15" fillId="0" borderId="5" xfId="0" applyFont="1" applyBorder="1" applyAlignment="1">
      <alignment horizontal="center" vertical="top" wrapText="1"/>
    </xf>
    <xf numFmtId="43" fontId="38" fillId="8" borderId="161" xfId="0" applyNumberFormat="1" applyFont="1" applyFill="1" applyBorder="1" applyAlignment="1">
      <alignment horizontal="center" vertical="center" wrapText="1"/>
    </xf>
    <xf numFmtId="14" fontId="38" fillId="8" borderId="10" xfId="0" applyNumberFormat="1" applyFont="1" applyFill="1" applyBorder="1" applyAlignment="1">
      <alignment horizontal="center" vertical="top" wrapText="1"/>
    </xf>
    <xf numFmtId="4" fontId="15" fillId="0" borderId="56" xfId="0" applyFont="1" applyBorder="1" applyAlignment="1">
      <alignment horizontal="center" vertical="top" wrapText="1"/>
    </xf>
    <xf numFmtId="14" fontId="15" fillId="0" borderId="56" xfId="0" applyNumberFormat="1" applyFont="1" applyBorder="1" applyAlignment="1">
      <alignment horizontal="center" vertical="top" wrapText="1"/>
    </xf>
    <xf numFmtId="14" fontId="15" fillId="0" borderId="72" xfId="0" applyNumberFormat="1" applyFont="1" applyBorder="1" applyAlignment="1">
      <alignment horizontal="center" vertical="top" wrapText="1"/>
    </xf>
    <xf numFmtId="4" fontId="0" fillId="0" borderId="0" xfId="0" applyAlignment="1">
      <alignment vertical="center" wrapText="1"/>
    </xf>
    <xf numFmtId="4" fontId="16" fillId="0" borderId="54" xfId="0" applyFont="1" applyBorder="1" applyAlignment="1">
      <alignment horizontal="left" vertical="center" wrapText="1"/>
    </xf>
    <xf numFmtId="4" fontId="16" fillId="0" borderId="55" xfId="0" applyFont="1" applyBorder="1" applyAlignment="1">
      <alignment horizontal="left" vertical="center" wrapText="1"/>
    </xf>
    <xf numFmtId="4" fontId="16" fillId="0" borderId="51" xfId="0" applyFont="1" applyBorder="1" applyAlignment="1">
      <alignment horizontal="left" vertical="center" wrapText="1"/>
    </xf>
    <xf numFmtId="3" fontId="10" fillId="0" borderId="72" xfId="1" applyFont="1" applyBorder="1" applyAlignment="1">
      <alignment horizontal="left"/>
    </xf>
    <xf numFmtId="4" fontId="13" fillId="0" borderId="67" xfId="0" applyFont="1" applyBorder="1" applyAlignment="1">
      <alignment horizontal="left" vertical="center" wrapText="1"/>
    </xf>
    <xf numFmtId="3" fontId="6" fillId="0" borderId="0" xfId="1" applyFont="1" applyAlignment="1">
      <alignment horizontal="center"/>
    </xf>
    <xf numFmtId="4" fontId="86" fillId="13" borderId="130" xfId="0" applyFont="1" applyFill="1" applyBorder="1" applyAlignment="1">
      <alignment horizontal="left" vertical="center"/>
    </xf>
    <xf numFmtId="4" fontId="87" fillId="0" borderId="131" xfId="0" applyFont="1" applyBorder="1" applyAlignment="1"/>
    <xf numFmtId="4" fontId="87" fillId="0" borderId="132" xfId="0" applyFont="1" applyBorder="1" applyAlignment="1"/>
    <xf numFmtId="4" fontId="86" fillId="11" borderId="0" xfId="0" applyFont="1" applyFill="1" applyBorder="1" applyAlignment="1">
      <alignment horizontal="left"/>
    </xf>
    <xf numFmtId="4" fontId="87" fillId="0" borderId="0" xfId="0" applyFont="1" applyBorder="1" applyAlignment="1"/>
    <xf numFmtId="4" fontId="89" fillId="12" borderId="75" xfId="0" applyFont="1" applyFill="1" applyBorder="1" applyAlignment="1">
      <alignment horizontal="center"/>
    </xf>
    <xf numFmtId="4" fontId="87" fillId="0" borderId="76" xfId="0" applyFont="1" applyBorder="1" applyAlignment="1"/>
    <xf numFmtId="4" fontId="87" fillId="0" borderId="78" xfId="0" applyFont="1" applyBorder="1" applyAlignment="1"/>
    <xf numFmtId="4" fontId="86" fillId="13" borderId="75" xfId="0" applyFont="1" applyFill="1" applyBorder="1" applyAlignment="1">
      <alignment horizontal="left" vertical="center"/>
    </xf>
    <xf numFmtId="4" fontId="88" fillId="14" borderId="79" xfId="0" applyFont="1" applyFill="1" applyBorder="1" applyAlignment="1">
      <alignment horizontal="left"/>
    </xf>
    <xf numFmtId="4" fontId="87" fillId="0" borderId="79" xfId="0" applyFont="1" applyBorder="1" applyAlignment="1"/>
    <xf numFmtId="4" fontId="87" fillId="0" borderId="120" xfId="0" applyFont="1" applyBorder="1" applyAlignment="1"/>
    <xf numFmtId="4" fontId="86" fillId="13" borderId="87" xfId="0" applyFont="1" applyFill="1" applyBorder="1" applyAlignment="1">
      <alignment horizontal="left" vertical="center"/>
    </xf>
    <xf numFmtId="4" fontId="87" fillId="0" borderId="81" xfId="0" applyFont="1" applyBorder="1" applyAlignment="1"/>
    <xf numFmtId="4" fontId="90" fillId="0" borderId="80" xfId="0" applyFont="1" applyBorder="1" applyAlignment="1">
      <alignment vertical="center" wrapText="1"/>
    </xf>
    <xf numFmtId="4" fontId="87" fillId="0" borderId="83" xfId="0" applyFont="1" applyBorder="1" applyAlignment="1"/>
    <xf numFmtId="4" fontId="87" fillId="0" borderId="141" xfId="0" applyFont="1" applyBorder="1" applyAlignment="1"/>
    <xf numFmtId="4" fontId="86" fillId="13" borderId="97" xfId="0" applyFont="1" applyFill="1" applyBorder="1" applyAlignment="1">
      <alignment horizontal="left" vertical="center"/>
    </xf>
    <xf numFmtId="4" fontId="87" fillId="0" borderId="85" xfId="0" applyFont="1" applyBorder="1" applyAlignment="1"/>
    <xf numFmtId="4" fontId="90" fillId="0" borderId="84" xfId="0" applyFont="1" applyBorder="1" applyAlignment="1">
      <alignment horizontal="left" vertical="center" wrapText="1"/>
    </xf>
    <xf numFmtId="4" fontId="87" fillId="0" borderId="88" xfId="0" applyFont="1" applyBorder="1" applyAlignment="1"/>
    <xf numFmtId="4" fontId="87" fillId="0" borderId="121" xfId="0" applyFont="1" applyBorder="1" applyAlignment="1"/>
    <xf numFmtId="4" fontId="86" fillId="13" borderId="122" xfId="0" applyFont="1" applyFill="1" applyBorder="1" applyAlignment="1">
      <alignment horizontal="left" vertical="center"/>
    </xf>
    <xf numFmtId="4" fontId="87" fillId="0" borderId="123" xfId="0" applyFont="1" applyBorder="1" applyAlignment="1"/>
    <xf numFmtId="4" fontId="86" fillId="14" borderId="125" xfId="0" applyFont="1" applyFill="1" applyBorder="1" applyAlignment="1">
      <alignment horizontal="left"/>
    </xf>
    <xf numFmtId="4" fontId="87" fillId="0" borderId="126" xfId="0" applyFont="1" applyBorder="1" applyAlignment="1"/>
    <xf numFmtId="4" fontId="87" fillId="0" borderId="127" xfId="0" applyFont="1" applyBorder="1" applyAlignment="1"/>
    <xf numFmtId="4" fontId="58" fillId="0" borderId="170" xfId="0" applyFont="1" applyBorder="1" applyAlignment="1">
      <alignment horizontal="left" vertical="center" wrapText="1"/>
    </xf>
    <xf numFmtId="4" fontId="87" fillId="0" borderId="171" xfId="0" applyFont="1" applyBorder="1" applyAlignment="1"/>
    <xf numFmtId="4" fontId="87" fillId="0" borderId="172" xfId="0" applyFont="1" applyBorder="1" applyAlignment="1"/>
    <xf numFmtId="4" fontId="58" fillId="0" borderId="84" xfId="0" applyFont="1" applyBorder="1" applyAlignment="1">
      <alignment vertical="center" wrapText="1"/>
    </xf>
    <xf numFmtId="4" fontId="58" fillId="0" borderId="84" xfId="0" applyFont="1" applyBorder="1" applyAlignment="1">
      <alignment wrapText="1"/>
    </xf>
    <xf numFmtId="4" fontId="58" fillId="0" borderId="125" xfId="0" applyFont="1" applyBorder="1" applyAlignment="1">
      <alignment wrapText="1"/>
    </xf>
    <xf numFmtId="4" fontId="86" fillId="14" borderId="75" xfId="0" applyFont="1" applyFill="1" applyBorder="1" applyAlignment="1">
      <alignment horizontal="left"/>
    </xf>
    <xf numFmtId="4" fontId="93" fillId="0" borderId="95" xfId="0" applyFont="1" applyBorder="1" applyAlignment="1">
      <alignment horizontal="left" vertical="center" wrapText="1"/>
    </xf>
    <xf numFmtId="4" fontId="87" fillId="0" borderId="90" xfId="0" applyFont="1" applyBorder="1" applyAlignment="1"/>
    <xf numFmtId="4" fontId="0" fillId="0" borderId="0" xfId="0" applyFont="1" applyAlignment="1"/>
    <xf numFmtId="4" fontId="87" fillId="0" borderId="135" xfId="0" applyFont="1" applyBorder="1" applyAlignment="1"/>
    <xf numFmtId="4" fontId="87" fillId="0" borderId="137" xfId="0" applyFont="1" applyBorder="1" applyAlignment="1"/>
    <xf numFmtId="4" fontId="87" fillId="0" borderId="93" xfId="0" applyFont="1" applyBorder="1" applyAlignment="1"/>
    <xf numFmtId="4" fontId="87" fillId="0" borderId="138" xfId="0" applyFont="1" applyBorder="1" applyAlignment="1"/>
    <xf numFmtId="4" fontId="94" fillId="14" borderId="140" xfId="0" applyNumberFormat="1" applyFont="1" applyFill="1" applyBorder="1" applyAlignment="1">
      <alignment horizontal="left"/>
    </xf>
    <xf numFmtId="4" fontId="87" fillId="0" borderId="94" xfId="0" applyFont="1" applyBorder="1" applyAlignment="1"/>
    <xf numFmtId="4" fontId="93" fillId="0" borderId="80" xfId="0" applyFont="1" applyBorder="1" applyAlignment="1">
      <alignment horizontal="left" vertical="center" wrapText="1"/>
    </xf>
    <xf numFmtId="4" fontId="93" fillId="0" borderId="84" xfId="0" applyFont="1" applyBorder="1" applyAlignment="1">
      <alignment horizontal="left" vertical="center" wrapText="1"/>
    </xf>
    <xf numFmtId="4" fontId="86" fillId="14" borderId="75" xfId="0" applyNumberFormat="1" applyFont="1" applyFill="1" applyBorder="1" applyAlignment="1">
      <alignment horizontal="left"/>
    </xf>
    <xf numFmtId="4" fontId="58" fillId="0" borderId="97" xfId="0" applyFont="1" applyBorder="1" applyAlignment="1">
      <alignment wrapText="1"/>
    </xf>
    <xf numFmtId="4" fontId="89" fillId="12" borderId="75" xfId="0" applyNumberFormat="1" applyFont="1" applyFill="1" applyBorder="1" applyAlignment="1">
      <alignment horizontal="center"/>
    </xf>
    <xf numFmtId="4" fontId="88" fillId="0" borderId="79" xfId="0" applyNumberFormat="1" applyFont="1" applyBorder="1" applyAlignment="1">
      <alignment horizontal="left" vertical="center" wrapText="1"/>
    </xf>
    <xf numFmtId="4" fontId="88" fillId="0" borderId="84" xfId="0" applyNumberFormat="1" applyFont="1" applyBorder="1" applyAlignment="1">
      <alignment horizontal="left" vertical="center" wrapText="1"/>
    </xf>
    <xf numFmtId="4" fontId="88" fillId="0" borderId="93" xfId="0" applyNumberFormat="1" applyFont="1" applyBorder="1" applyAlignment="1">
      <alignment horizontal="left" vertical="center" wrapText="1"/>
    </xf>
    <xf numFmtId="4" fontId="86" fillId="13" borderId="75" xfId="0" applyNumberFormat="1" applyFont="1" applyFill="1" applyBorder="1" applyAlignment="1">
      <alignment horizontal="center"/>
    </xf>
    <xf numFmtId="4" fontId="95" fillId="20" borderId="75" xfId="0" applyFont="1" applyFill="1" applyBorder="1" applyAlignment="1">
      <alignment horizontal="center" vertical="center" wrapText="1"/>
    </xf>
    <xf numFmtId="4" fontId="58" fillId="0" borderId="142" xfId="0" applyFont="1" applyBorder="1" applyAlignment="1">
      <alignment wrapText="1"/>
    </xf>
    <xf numFmtId="4" fontId="87" fillId="0" borderId="143" xfId="0" applyFont="1" applyBorder="1" applyAlignment="1"/>
    <xf numFmtId="4" fontId="88" fillId="0" borderId="84" xfId="0" applyFont="1" applyBorder="1" applyAlignment="1">
      <alignment horizontal="left" vertical="center" wrapText="1"/>
    </xf>
    <xf numFmtId="4" fontId="88" fillId="0" borderId="83" xfId="0" applyFont="1" applyBorder="1" applyAlignment="1">
      <alignment horizontal="left" vertical="center" wrapText="1"/>
    </xf>
    <xf numFmtId="4" fontId="58" fillId="0" borderId="75" xfId="0" applyFont="1" applyBorder="1" applyAlignment="1">
      <alignment wrapText="1"/>
    </xf>
    <xf numFmtId="4" fontId="95" fillId="13" borderId="140" xfId="0" applyFont="1" applyFill="1" applyBorder="1" applyAlignment="1">
      <alignment horizontal="left" vertical="center" wrapText="1"/>
    </xf>
    <xf numFmtId="4" fontId="84" fillId="0" borderId="0" xfId="0" applyFont="1" applyAlignment="1">
      <alignment horizontal="left" vertical="top"/>
    </xf>
    <xf numFmtId="4" fontId="97" fillId="14" borderId="75" xfId="0" applyFont="1" applyFill="1" applyBorder="1" applyAlignment="1">
      <alignment horizontal="center" vertical="center" wrapText="1"/>
    </xf>
    <xf numFmtId="4" fontId="95" fillId="14" borderId="75" xfId="0" applyFont="1" applyFill="1" applyBorder="1" applyAlignment="1">
      <alignment horizontal="center" vertical="center" wrapText="1"/>
    </xf>
    <xf numFmtId="4" fontId="58" fillId="0" borderId="122" xfId="0" applyFont="1" applyBorder="1" applyAlignment="1">
      <alignment wrapText="1"/>
    </xf>
    <xf numFmtId="4" fontId="95" fillId="13" borderId="75" xfId="0" applyFont="1" applyFill="1" applyBorder="1" applyAlignment="1">
      <alignment horizontal="left" vertical="center" wrapText="1"/>
    </xf>
    <xf numFmtId="4" fontId="0" fillId="18" borderId="0" xfId="0" applyFont="1" applyFill="1">
      <alignment vertical="top"/>
    </xf>
    <xf numFmtId="4" fontId="98" fillId="0" borderId="0" xfId="0" applyFont="1" applyAlignment="1">
      <alignment vertical="center" wrapText="1"/>
    </xf>
    <xf numFmtId="4" fontId="98" fillId="0" borderId="0" xfId="0" applyFont="1" applyAlignment="1">
      <alignment vertical="center"/>
    </xf>
    <xf numFmtId="4" fontId="98" fillId="0" borderId="0" xfId="0" applyFont="1" applyAlignment="1"/>
    <xf numFmtId="4" fontId="99" fillId="11" borderId="0" xfId="0" applyFont="1" applyFill="1" applyBorder="1" applyAlignment="1">
      <alignment horizontal="left"/>
    </xf>
    <xf numFmtId="4" fontId="100" fillId="0" borderId="0" xfId="0" applyFont="1" applyBorder="1" applyAlignment="1"/>
    <xf numFmtId="4" fontId="99" fillId="0" borderId="0" xfId="0" applyFont="1" applyAlignment="1"/>
    <xf numFmtId="4" fontId="101" fillId="0" borderId="0" xfId="0" applyFont="1" applyAlignment="1"/>
    <xf numFmtId="4" fontId="102" fillId="12" borderId="75" xfId="0" applyFont="1" applyFill="1" applyBorder="1" applyAlignment="1">
      <alignment horizontal="center"/>
    </xf>
    <xf numFmtId="4" fontId="100" fillId="0" borderId="76" xfId="0" applyFont="1" applyBorder="1" applyAlignment="1"/>
    <xf numFmtId="4" fontId="102" fillId="12" borderId="77" xfId="0" applyFont="1" applyFill="1" applyBorder="1" applyAlignment="1">
      <alignment horizontal="center"/>
    </xf>
    <xf numFmtId="4" fontId="100" fillId="0" borderId="78" xfId="0" applyFont="1" applyBorder="1" applyAlignment="1"/>
    <xf numFmtId="4" fontId="102" fillId="0" borderId="0" xfId="0" applyFont="1" applyAlignment="1">
      <alignment horizontal="center"/>
    </xf>
    <xf numFmtId="4" fontId="99" fillId="13" borderId="75" xfId="0" applyFont="1" applyFill="1" applyBorder="1" applyAlignment="1">
      <alignment horizontal="left" vertical="center"/>
    </xf>
    <xf numFmtId="4" fontId="99" fillId="13" borderId="77" xfId="0" applyNumberFormat="1" applyFont="1" applyFill="1" applyBorder="1" applyAlignment="1">
      <alignment vertical="center"/>
    </xf>
    <xf numFmtId="4" fontId="101" fillId="14" borderId="79" xfId="0" applyFont="1" applyFill="1" applyBorder="1" applyAlignment="1">
      <alignment horizontal="left"/>
    </xf>
    <xf numFmtId="4" fontId="100" fillId="0" borderId="79" xfId="0" applyFont="1" applyBorder="1" applyAlignment="1"/>
    <xf numFmtId="4" fontId="100" fillId="0" borderId="120" xfId="0" applyFont="1" applyBorder="1" applyAlignment="1"/>
    <xf numFmtId="4" fontId="99" fillId="13" borderId="87" xfId="0" applyFont="1" applyFill="1" applyBorder="1" applyAlignment="1">
      <alignment horizontal="left" vertical="center"/>
    </xf>
    <xf numFmtId="4" fontId="100" fillId="0" borderId="81" xfId="0" applyFont="1" applyBorder="1" applyAlignment="1"/>
    <xf numFmtId="4" fontId="99" fillId="13" borderId="82" xfId="0" applyNumberFormat="1" applyFont="1" applyFill="1" applyBorder="1" applyAlignment="1">
      <alignment vertical="center"/>
    </xf>
    <xf numFmtId="4" fontId="57" fillId="25" borderId="80" xfId="0" applyFont="1" applyFill="1" applyBorder="1" applyAlignment="1">
      <alignment horizontal="left" vertical="center" wrapText="1"/>
    </xf>
    <xf numFmtId="4" fontId="100" fillId="0" borderId="83" xfId="0" applyFont="1" applyBorder="1" applyAlignment="1"/>
    <xf numFmtId="4" fontId="100" fillId="0" borderId="141" xfId="0" applyFont="1" applyBorder="1" applyAlignment="1"/>
    <xf numFmtId="4" fontId="99" fillId="13" borderId="97" xfId="0" applyFont="1" applyFill="1" applyBorder="1" applyAlignment="1">
      <alignment horizontal="left" vertical="center"/>
    </xf>
    <xf numFmtId="4" fontId="100" fillId="0" borderId="85" xfId="0" applyFont="1" applyBorder="1" applyAlignment="1"/>
    <xf numFmtId="4" fontId="99" fillId="13" borderId="86" xfId="0" applyNumberFormat="1" applyFont="1" applyFill="1" applyBorder="1" applyAlignment="1">
      <alignment vertical="center"/>
    </xf>
    <xf numFmtId="4" fontId="103" fillId="25" borderId="84" xfId="0" applyFont="1" applyFill="1" applyBorder="1" applyAlignment="1">
      <alignment horizontal="left" vertical="center" wrapText="1"/>
    </xf>
    <xf numFmtId="4" fontId="100" fillId="0" borderId="88" xfId="0" applyFont="1" applyBorder="1" applyAlignment="1"/>
    <xf numFmtId="4" fontId="100" fillId="0" borderId="121" xfId="0" applyFont="1" applyBorder="1" applyAlignment="1"/>
    <xf numFmtId="4" fontId="99" fillId="13" borderId="122" xfId="0" applyFont="1" applyFill="1" applyBorder="1" applyAlignment="1">
      <alignment horizontal="left" vertical="center"/>
    </xf>
    <xf numFmtId="4" fontId="100" fillId="0" borderId="123" xfId="0" applyFont="1" applyBorder="1" applyAlignment="1"/>
    <xf numFmtId="4" fontId="99" fillId="13" borderId="124" xfId="0" applyNumberFormat="1" applyFont="1" applyFill="1" applyBorder="1" applyAlignment="1">
      <alignment vertical="center"/>
    </xf>
    <xf numFmtId="4" fontId="99" fillId="14" borderId="125" xfId="0" applyFont="1" applyFill="1" applyBorder="1" applyAlignment="1">
      <alignment horizontal="left"/>
    </xf>
    <xf numFmtId="4" fontId="100" fillId="0" borderId="126" xfId="0" applyFont="1" applyBorder="1" applyAlignment="1"/>
    <xf numFmtId="4" fontId="100" fillId="0" borderId="127" xfId="0" applyFont="1" applyBorder="1" applyAlignment="1"/>
    <xf numFmtId="4" fontId="101" fillId="0" borderId="0" xfId="0" applyNumberFormat="1" applyFont="1" applyAlignment="1"/>
    <xf numFmtId="4" fontId="102" fillId="0" borderId="0" xfId="0" applyFont="1" applyAlignment="1"/>
    <xf numFmtId="4" fontId="104" fillId="0" borderId="0" xfId="0" applyFont="1" applyAlignment="1"/>
    <xf numFmtId="4" fontId="99" fillId="13" borderId="128" xfId="0" applyFont="1" applyFill="1" applyBorder="1" applyAlignment="1">
      <alignment vertical="center"/>
    </xf>
    <xf numFmtId="4" fontId="99" fillId="14" borderId="89" xfId="0" applyFont="1" applyFill="1" applyBorder="1" applyAlignment="1">
      <alignment vertical="center"/>
    </xf>
    <xf numFmtId="4" fontId="99" fillId="25" borderId="129" xfId="0" applyNumberFormat="1" applyFont="1" applyFill="1" applyBorder="1" applyAlignment="1">
      <alignment vertical="center"/>
    </xf>
    <xf numFmtId="4" fontId="105" fillId="0" borderId="0" xfId="0" applyFont="1" applyAlignment="1"/>
    <xf numFmtId="4" fontId="99" fillId="13" borderId="130" xfId="0" applyFont="1" applyFill="1" applyBorder="1" applyAlignment="1">
      <alignment horizontal="left" vertical="center"/>
    </xf>
    <xf numFmtId="4" fontId="99" fillId="0" borderId="82" xfId="0" applyFont="1" applyBorder="1" applyAlignment="1">
      <alignment vertical="center"/>
    </xf>
    <xf numFmtId="4" fontId="99" fillId="25" borderId="96" xfId="0" applyNumberFormat="1" applyFont="1" applyFill="1" applyBorder="1" applyAlignment="1">
      <alignment vertical="center"/>
    </xf>
    <xf numFmtId="4" fontId="100" fillId="0" borderId="131" xfId="0" applyFont="1" applyBorder="1" applyAlignment="1"/>
    <xf numFmtId="4" fontId="99" fillId="0" borderId="86" xfId="0" applyFont="1" applyBorder="1" applyAlignment="1">
      <alignment vertical="center"/>
    </xf>
    <xf numFmtId="4" fontId="99" fillId="25" borderId="98" xfId="0" applyNumberFormat="1" applyFont="1" applyFill="1" applyBorder="1" applyAlignment="1">
      <alignment horizontal="right" vertical="center"/>
    </xf>
    <xf numFmtId="4" fontId="101" fillId="0" borderId="0" xfId="0" applyNumberFormat="1" applyFont="1" applyAlignment="1">
      <alignment horizontal="left"/>
    </xf>
    <xf numFmtId="4" fontId="100" fillId="0" borderId="132" xfId="0" applyFont="1" applyBorder="1" applyAlignment="1"/>
    <xf numFmtId="4" fontId="99" fillId="0" borderId="91" xfId="0" applyFont="1" applyBorder="1" applyAlignment="1">
      <alignment vertical="center"/>
    </xf>
    <xf numFmtId="4" fontId="99" fillId="25" borderId="99" xfId="0" applyNumberFormat="1" applyFont="1" applyFill="1" applyBorder="1" applyAlignment="1">
      <alignment vertical="center"/>
    </xf>
    <xf numFmtId="4" fontId="105" fillId="0" borderId="0" xfId="0" applyFont="1" applyAlignment="1">
      <alignment vertical="center" wrapText="1"/>
    </xf>
    <xf numFmtId="4" fontId="99" fillId="13" borderId="77" xfId="0" applyFont="1" applyFill="1" applyBorder="1" applyAlignment="1">
      <alignment horizontal="left" vertical="center"/>
    </xf>
    <xf numFmtId="4" fontId="99" fillId="14" borderId="77" xfId="0" applyFont="1" applyFill="1" applyBorder="1" applyAlignment="1">
      <alignment vertical="center"/>
    </xf>
    <xf numFmtId="4" fontId="99" fillId="25" borderId="77" xfId="0" applyNumberFormat="1" applyFont="1" applyFill="1" applyBorder="1" applyAlignment="1">
      <alignment vertical="center"/>
    </xf>
    <xf numFmtId="4" fontId="105" fillId="0" borderId="0" xfId="0" applyFont="1" applyAlignment="1">
      <alignment horizontal="left" vertical="center" wrapText="1"/>
    </xf>
    <xf numFmtId="4" fontId="99" fillId="0" borderId="0" xfId="0" applyFont="1" applyAlignment="1">
      <alignment vertical="center"/>
    </xf>
    <xf numFmtId="4" fontId="102" fillId="12" borderId="77" xfId="0" applyNumberFormat="1" applyFont="1" applyFill="1" applyBorder="1" applyAlignment="1">
      <alignment horizontal="center"/>
    </xf>
    <xf numFmtId="4" fontId="99" fillId="0" borderId="133" xfId="0" applyFont="1" applyBorder="1" applyAlignment="1">
      <alignment vertical="center"/>
    </xf>
    <xf numFmtId="4" fontId="101" fillId="0" borderId="82" xfId="0" applyNumberFormat="1" applyFont="1" applyBorder="1" applyAlignment="1">
      <alignment vertical="center"/>
    </xf>
    <xf numFmtId="4" fontId="103" fillId="25" borderId="170" xfId="0" applyFont="1" applyFill="1" applyBorder="1" applyAlignment="1">
      <alignment horizontal="left" vertical="center" wrapText="1"/>
    </xf>
    <xf numFmtId="4" fontId="100" fillId="0" borderId="171" xfId="0" applyFont="1" applyBorder="1" applyAlignment="1"/>
    <xf numFmtId="4" fontId="100" fillId="0" borderId="172" xfId="0" applyFont="1" applyBorder="1" applyAlignment="1"/>
    <xf numFmtId="4" fontId="99" fillId="0" borderId="134" xfId="0" applyFont="1" applyBorder="1" applyAlignment="1">
      <alignment vertical="center"/>
    </xf>
    <xf numFmtId="4" fontId="101" fillId="0" borderId="86" xfId="0" applyNumberFormat="1" applyFont="1" applyBorder="1" applyAlignment="1">
      <alignment vertical="center"/>
    </xf>
    <xf numFmtId="4" fontId="99" fillId="0" borderId="130" xfId="0" applyFont="1" applyBorder="1" applyAlignment="1">
      <alignment vertical="center"/>
    </xf>
    <xf numFmtId="4" fontId="101" fillId="0" borderId="91" xfId="0" applyNumberFormat="1" applyFont="1" applyBorder="1" applyAlignment="1">
      <alignment vertical="center"/>
    </xf>
    <xf numFmtId="4" fontId="57" fillId="25" borderId="125" xfId="0" applyFont="1" applyFill="1" applyBorder="1" applyAlignment="1">
      <alignment horizontal="left" vertical="center" wrapText="1"/>
    </xf>
    <xf numFmtId="4" fontId="99" fillId="13" borderId="77" xfId="0" applyFont="1" applyFill="1" applyBorder="1" applyAlignment="1">
      <alignment vertical="center"/>
    </xf>
    <xf numFmtId="4" fontId="99" fillId="14" borderId="75" xfId="0" applyFont="1" applyFill="1" applyBorder="1" applyAlignment="1">
      <alignment horizontal="left"/>
    </xf>
    <xf numFmtId="4" fontId="101" fillId="0" borderId="133" xfId="0" applyFont="1" applyBorder="1" applyAlignment="1">
      <alignment vertical="center"/>
    </xf>
    <xf numFmtId="4" fontId="101" fillId="0" borderId="89" xfId="0" applyFont="1" applyBorder="1" applyAlignment="1">
      <alignment vertical="center"/>
    </xf>
    <xf numFmtId="4" fontId="106" fillId="0" borderId="95" xfId="0" applyFont="1" applyBorder="1" applyAlignment="1">
      <alignment horizontal="left" vertical="center" wrapText="1"/>
    </xf>
    <xf numFmtId="4" fontId="101" fillId="0" borderId="130" xfId="0" applyFont="1" applyBorder="1" applyAlignment="1">
      <alignment vertical="center"/>
    </xf>
    <xf numFmtId="4" fontId="101" fillId="0" borderId="91" xfId="0" applyFont="1" applyBorder="1" applyAlignment="1">
      <alignment vertical="center"/>
    </xf>
    <xf numFmtId="4" fontId="100" fillId="0" borderId="90" xfId="0" applyFont="1" applyBorder="1" applyAlignment="1"/>
    <xf numFmtId="4" fontId="100" fillId="0" borderId="135" xfId="0" applyFont="1" applyBorder="1" applyAlignment="1"/>
    <xf numFmtId="4" fontId="101" fillId="0" borderId="136" xfId="0" applyFont="1" applyBorder="1" applyAlignment="1">
      <alignment vertical="center"/>
    </xf>
    <xf numFmtId="4" fontId="101" fillId="0" borderId="124" xfId="0" applyNumberFormat="1" applyFont="1" applyBorder="1" applyAlignment="1">
      <alignment vertical="center"/>
    </xf>
    <xf numFmtId="4" fontId="101" fillId="0" borderId="125" xfId="0" applyFont="1" applyBorder="1" applyAlignment="1">
      <alignment vertical="center"/>
    </xf>
    <xf numFmtId="4" fontId="100" fillId="0" borderId="137" xfId="0" applyFont="1" applyBorder="1" applyAlignment="1"/>
    <xf numFmtId="4" fontId="100" fillId="0" borderId="93" xfId="0" applyFont="1" applyBorder="1" applyAlignment="1"/>
    <xf numFmtId="4" fontId="100" fillId="0" borderId="138" xfId="0" applyFont="1" applyBorder="1" applyAlignment="1"/>
    <xf numFmtId="4" fontId="99" fillId="13" borderId="139" xfId="0" applyFont="1" applyFill="1" applyBorder="1" applyAlignment="1">
      <alignment vertical="center"/>
    </xf>
    <xf numFmtId="4" fontId="99" fillId="13" borderId="139" xfId="0" applyNumberFormat="1" applyFont="1" applyFill="1" applyBorder="1" applyAlignment="1">
      <alignment vertical="center"/>
    </xf>
    <xf numFmtId="4" fontId="107" fillId="14" borderId="140" xfId="0" applyNumberFormat="1" applyFont="1" applyFill="1" applyBorder="1" applyAlignment="1">
      <alignment horizontal="left"/>
    </xf>
    <xf numFmtId="4" fontId="100" fillId="0" borderId="94" xfId="0" applyFont="1" applyBorder="1" applyAlignment="1"/>
    <xf numFmtId="4" fontId="106" fillId="0" borderId="80" xfId="0" applyFont="1" applyBorder="1" applyAlignment="1">
      <alignment horizontal="left" vertical="center" wrapText="1"/>
    </xf>
    <xf numFmtId="4" fontId="101" fillId="0" borderId="134" xfId="0" applyFont="1" applyBorder="1" applyAlignment="1">
      <alignment vertical="center"/>
    </xf>
    <xf numFmtId="4" fontId="101" fillId="0" borderId="86" xfId="0" applyFont="1" applyBorder="1" applyAlignment="1">
      <alignment vertical="center"/>
    </xf>
    <xf numFmtId="4" fontId="106" fillId="0" borderId="84" xfId="0" applyFont="1" applyBorder="1" applyAlignment="1">
      <alignment horizontal="left" vertical="center" wrapText="1"/>
    </xf>
    <xf numFmtId="4" fontId="99" fillId="14" borderId="75" xfId="0" applyNumberFormat="1" applyFont="1" applyFill="1" applyBorder="1" applyAlignment="1">
      <alignment horizontal="left"/>
    </xf>
    <xf numFmtId="4" fontId="102" fillId="12" borderId="75" xfId="0" applyNumberFormat="1" applyFont="1" applyFill="1" applyBorder="1" applyAlignment="1">
      <alignment horizontal="center"/>
    </xf>
    <xf numFmtId="4" fontId="101" fillId="0" borderId="128" xfId="0" applyNumberFormat="1" applyFont="1" applyBorder="1" applyAlignment="1">
      <alignment vertical="center"/>
    </xf>
    <xf numFmtId="4" fontId="101" fillId="0" borderId="89" xfId="0" applyNumberFormat="1" applyFont="1" applyBorder="1" applyAlignment="1">
      <alignment vertical="center"/>
    </xf>
    <xf numFmtId="4" fontId="101" fillId="0" borderId="79" xfId="0" applyNumberFormat="1" applyFont="1" applyBorder="1" applyAlignment="1">
      <alignment horizontal="left" vertical="center" wrapText="1"/>
    </xf>
    <xf numFmtId="4" fontId="101" fillId="0" borderId="134" xfId="0" applyNumberFormat="1" applyFont="1" applyBorder="1" applyAlignment="1">
      <alignment vertical="center"/>
    </xf>
    <xf numFmtId="4" fontId="101" fillId="0" borderId="84" xfId="0" applyNumberFormat="1" applyFont="1" applyBorder="1" applyAlignment="1">
      <alignment horizontal="left" vertical="center" wrapText="1"/>
    </xf>
    <xf numFmtId="4" fontId="101" fillId="0" borderId="132" xfId="0" applyNumberFormat="1" applyFont="1" applyBorder="1" applyAlignment="1">
      <alignment vertical="center"/>
    </xf>
    <xf numFmtId="4" fontId="101" fillId="0" borderId="92" xfId="0" applyNumberFormat="1" applyFont="1" applyBorder="1" applyAlignment="1">
      <alignment vertical="center"/>
    </xf>
    <xf numFmtId="4" fontId="101" fillId="0" borderId="93" xfId="0" applyNumberFormat="1" applyFont="1" applyBorder="1" applyAlignment="1">
      <alignment horizontal="left" vertical="center" wrapText="1"/>
    </xf>
    <xf numFmtId="4" fontId="99" fillId="13" borderId="75" xfId="0" applyNumberFormat="1" applyFont="1" applyFill="1" applyBorder="1" applyAlignment="1">
      <alignment horizontal="center"/>
    </xf>
    <xf numFmtId="4" fontId="108" fillId="20" borderId="173" xfId="0" applyFont="1" applyFill="1" applyBorder="1" applyAlignment="1">
      <alignment horizontal="center" vertical="center" wrapText="1"/>
    </xf>
    <xf numFmtId="4" fontId="108" fillId="20" borderId="174" xfId="0" applyFont="1" applyFill="1" applyBorder="1" applyAlignment="1">
      <alignment horizontal="center" vertical="center" wrapText="1"/>
    </xf>
    <xf numFmtId="4" fontId="99" fillId="0" borderId="0" xfId="0" applyFont="1" applyAlignment="1">
      <alignment horizontal="center"/>
    </xf>
    <xf numFmtId="4" fontId="103" fillId="0" borderId="173" xfId="0" applyFont="1" applyBorder="1" applyAlignment="1">
      <alignment horizontal="center" vertical="center" wrapText="1"/>
    </xf>
    <xf numFmtId="4" fontId="103" fillId="0" borderId="77" xfId="0" applyFont="1" applyBorder="1" applyAlignment="1">
      <alignment horizontal="center" wrapText="1"/>
    </xf>
    <xf numFmtId="4" fontId="103" fillId="0" borderId="77" xfId="0" applyNumberFormat="1" applyFont="1" applyBorder="1" applyAlignment="1">
      <alignment vertical="center" wrapText="1"/>
    </xf>
    <xf numFmtId="4" fontId="103" fillId="0" borderId="77" xfId="0" applyNumberFormat="1" applyFont="1" applyBorder="1" applyAlignment="1">
      <alignment horizontal="right" vertical="center" wrapText="1"/>
    </xf>
    <xf numFmtId="14" fontId="103" fillId="0" borderId="77" xfId="0" applyNumberFormat="1" applyFont="1" applyBorder="1" applyAlignment="1">
      <alignment horizontal="center" wrapText="1"/>
    </xf>
    <xf numFmtId="4" fontId="100" fillId="0" borderId="140" xfId="0" applyFont="1" applyBorder="1" applyAlignment="1"/>
    <xf numFmtId="4" fontId="100" fillId="0" borderId="175" xfId="0" applyFont="1" applyBorder="1" applyAlignment="1"/>
    <xf numFmtId="4" fontId="103" fillId="0" borderId="75" xfId="0" applyFont="1" applyBorder="1" applyAlignment="1">
      <alignment horizontal="center" vertical="center" wrapText="1"/>
    </xf>
    <xf numFmtId="4" fontId="109" fillId="0" borderId="77" xfId="0" applyFont="1" applyBorder="1" applyAlignment="1">
      <alignment vertical="center" wrapText="1"/>
    </xf>
    <xf numFmtId="4" fontId="103" fillId="0" borderId="77" xfId="0" applyNumberFormat="1" applyFont="1" applyBorder="1" applyAlignment="1">
      <alignment horizontal="right"/>
    </xf>
    <xf numFmtId="4" fontId="103" fillId="0" borderId="77" xfId="0" applyFont="1" applyBorder="1" applyAlignment="1"/>
    <xf numFmtId="4" fontId="103" fillId="0" borderId="77" xfId="0" applyNumberFormat="1" applyFont="1" applyBorder="1" applyAlignment="1"/>
    <xf numFmtId="4" fontId="103" fillId="0" borderId="77" xfId="0" applyFont="1" applyBorder="1" applyAlignment="1">
      <alignment horizontal="right"/>
    </xf>
    <xf numFmtId="4" fontId="103" fillId="0" borderId="77" xfId="0" applyFont="1" applyBorder="1" applyAlignment="1">
      <alignment vertical="center" wrapText="1"/>
    </xf>
    <xf numFmtId="174" fontId="103" fillId="0" borderId="77" xfId="0" applyNumberFormat="1" applyFont="1" applyBorder="1" applyAlignment="1">
      <alignment vertical="center" wrapText="1"/>
    </xf>
    <xf numFmtId="174" fontId="103" fillId="0" borderId="77" xfId="0" applyNumberFormat="1" applyFont="1" applyBorder="1" applyAlignment="1">
      <alignment horizontal="right" vertical="center" wrapText="1"/>
    </xf>
    <xf numFmtId="4" fontId="108" fillId="13" borderId="140" xfId="0" applyFont="1" applyFill="1" applyBorder="1" applyAlignment="1">
      <alignment horizontal="left" vertical="center" wrapText="1"/>
    </xf>
    <xf numFmtId="4" fontId="110" fillId="14" borderId="139" xfId="0" applyFont="1" applyFill="1" applyBorder="1" applyAlignment="1">
      <alignment vertical="center" wrapText="1"/>
    </xf>
    <xf numFmtId="4" fontId="108" fillId="13" borderId="139" xfId="0" applyNumberFormat="1" applyFont="1" applyFill="1" applyBorder="1" applyAlignment="1">
      <alignment horizontal="right" vertical="center" wrapText="1"/>
    </xf>
    <xf numFmtId="4" fontId="111" fillId="14" borderId="140" xfId="0" applyFont="1" applyFill="1" applyBorder="1" applyAlignment="1">
      <alignment horizontal="center" vertical="center" wrapText="1"/>
    </xf>
    <xf numFmtId="4" fontId="101" fillId="0" borderId="0" xfId="0" applyFont="1" applyAlignment="1">
      <alignment horizontal="left" vertical="center" wrapText="1"/>
    </xf>
    <xf numFmtId="4" fontId="101" fillId="0" borderId="0" xfId="0" applyNumberFormat="1" applyFont="1" applyAlignment="1">
      <alignment horizontal="center" vertical="center" wrapText="1"/>
    </xf>
    <xf numFmtId="4" fontId="101" fillId="0" borderId="0" xfId="0" applyNumberFormat="1" applyFont="1" applyAlignment="1">
      <alignment vertical="center" wrapText="1"/>
    </xf>
    <xf numFmtId="4" fontId="101" fillId="25" borderId="84" xfId="0" applyFont="1" applyFill="1" applyBorder="1" applyAlignment="1">
      <alignment horizontal="left" vertical="center" wrapText="1"/>
    </xf>
    <xf numFmtId="4" fontId="101" fillId="0" borderId="84" xfId="0" applyFont="1" applyBorder="1" applyAlignment="1">
      <alignment horizontal="left" vertical="center" wrapText="1"/>
    </xf>
  </cellXfs>
  <cellStyles count="7">
    <cellStyle name="Čárka" xfId="4" builtinId="3"/>
    <cellStyle name="Normální" xfId="0" builtinId="0"/>
    <cellStyle name="Normální 2" xfId="2"/>
    <cellStyle name="Normální 3" xfId="3"/>
    <cellStyle name="Normální 4" xfId="5"/>
    <cellStyle name="Normální 5" xfId="6"/>
    <cellStyle name="normální_MŠ Raisova"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konomky/Documents/M&#283;sto/rozborov&#225;%20zpr&#225;va/2020/2pol2020/Z&#352;_M&#352;_Melantrichova_Zpr&#225;va_o_hospoda&#345;en&#237;_PO_2020_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refreshError="1"/>
      <sheetData sheetId="1" refreshError="1">
        <row r="22">
          <cell r="B22">
            <v>2779466.92</v>
          </cell>
          <cell r="F22">
            <v>1726673.4800000002</v>
          </cell>
        </row>
        <row r="79">
          <cell r="F79">
            <v>1336296</v>
          </cell>
        </row>
        <row r="87">
          <cell r="F87">
            <v>10980</v>
          </cell>
        </row>
        <row r="94">
          <cell r="F94">
            <v>1762708.2999999998</v>
          </cell>
        </row>
        <row r="104">
          <cell r="F104">
            <v>0</v>
          </cell>
        </row>
        <row r="112">
          <cell r="F112">
            <v>1573</v>
          </cell>
        </row>
        <row r="118">
          <cell r="F118">
            <v>565418.29</v>
          </cell>
        </row>
        <row r="158">
          <cell r="F158">
            <v>139774.68</v>
          </cell>
        </row>
        <row r="170">
          <cell r="F170">
            <v>6615.0999999999995</v>
          </cell>
        </row>
        <row r="184">
          <cell r="F184">
            <v>912.24</v>
          </cell>
        </row>
        <row r="192">
          <cell r="F192">
            <v>6377.05</v>
          </cell>
        </row>
        <row r="200">
          <cell r="F200">
            <v>530759.69999999995</v>
          </cell>
        </row>
        <row r="206">
          <cell r="F206">
            <v>20781.5</v>
          </cell>
        </row>
        <row r="216">
          <cell r="F216">
            <v>851.85</v>
          </cell>
        </row>
        <row r="226">
          <cell r="F226">
            <v>5942980</v>
          </cell>
        </row>
        <row r="279">
          <cell r="F279">
            <v>1537571.9400000002</v>
          </cell>
        </row>
        <row r="294">
          <cell r="F294">
            <v>2720.8</v>
          </cell>
        </row>
        <row r="295">
          <cell r="F295">
            <v>0.33</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zoomScale="130" zoomScaleNormal="130" workbookViewId="0">
      <selection activeCell="J41" sqref="J41"/>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25" width="6.5" style="114"/>
    <col min="26" max="26" width="11" style="114" hidden="1" customWidth="1"/>
    <col min="27" max="27" width="0" style="114" hidden="1" customWidth="1"/>
    <col min="28" max="28" width="8.5" style="114" hidden="1" customWidth="1"/>
    <col min="29" max="16384" width="6.5" style="114"/>
  </cols>
  <sheetData>
    <row r="1" spans="1:26" s="72" customFormat="1" ht="16.5" thickBot="1">
      <c r="A1" s="1171" t="s">
        <v>92</v>
      </c>
      <c r="B1" s="1171"/>
      <c r="C1" s="1171"/>
      <c r="D1" s="1171"/>
      <c r="E1" s="1171"/>
      <c r="F1" s="1171"/>
      <c r="G1" s="1171"/>
      <c r="H1" s="1171"/>
      <c r="I1" s="1171"/>
      <c r="J1" s="1171"/>
      <c r="K1" s="1171"/>
      <c r="L1" s="1171"/>
      <c r="M1" s="1171"/>
      <c r="N1" s="1171"/>
      <c r="O1" s="1171"/>
      <c r="P1" s="1171"/>
      <c r="Q1" s="1171"/>
      <c r="R1" s="1171"/>
      <c r="S1" s="1171"/>
      <c r="T1" s="1171"/>
      <c r="U1" s="1171"/>
      <c r="V1" s="1171"/>
      <c r="W1" s="1171"/>
      <c r="X1" s="1171"/>
    </row>
    <row r="2" spans="1:26" ht="9.75" customHeight="1" thickBot="1"/>
    <row r="3" spans="1:26"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6"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6" s="317"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6" s="315" customFormat="1" ht="9.75" customHeight="1">
      <c r="A6" s="247" t="s">
        <v>0</v>
      </c>
      <c r="B6" s="1172" t="s">
        <v>1</v>
      </c>
      <c r="C6" s="1172"/>
      <c r="D6" s="248" t="s">
        <v>25</v>
      </c>
      <c r="E6" s="249">
        <f>SUM(E7:E9)</f>
        <v>15735175</v>
      </c>
      <c r="F6" s="250">
        <f>SUM(F7:F9)</f>
        <v>17070307.899999999</v>
      </c>
      <c r="G6" s="250">
        <f>SUM(G7:G9)</f>
        <v>16140132.939999999</v>
      </c>
      <c r="H6" s="251">
        <f t="shared" ref="H6:H37" si="0">G6/F6*100</f>
        <v>94.55091867440774</v>
      </c>
      <c r="I6" s="252">
        <f>SUM(I7:I9)</f>
        <v>15023548</v>
      </c>
      <c r="J6" s="249">
        <f>SUM(J7:J9)</f>
        <v>5595000</v>
      </c>
      <c r="K6" s="250">
        <f t="shared" ref="K6:X6" si="1">SUM(K7:K9)</f>
        <v>6857491</v>
      </c>
      <c r="L6" s="250">
        <f t="shared" si="1"/>
        <v>5927318.9399999995</v>
      </c>
      <c r="M6" s="251">
        <f t="shared" ref="M6:M37" si="2">L6/K6*100</f>
        <v>86.435679463523897</v>
      </c>
      <c r="N6" s="252">
        <f t="shared" si="1"/>
        <v>5272292</v>
      </c>
      <c r="O6" s="250">
        <f t="shared" si="1"/>
        <v>10140175</v>
      </c>
      <c r="P6" s="250">
        <f t="shared" si="1"/>
        <v>10212816.9</v>
      </c>
      <c r="Q6" s="250">
        <f t="shared" si="1"/>
        <v>10212814</v>
      </c>
      <c r="R6" s="251">
        <f t="shared" ref="R6:R37" si="3">Q6/P6*100</f>
        <v>99.9999716043083</v>
      </c>
      <c r="S6" s="252">
        <f t="shared" si="1"/>
        <v>9751256</v>
      </c>
      <c r="T6" s="249">
        <v>47062</v>
      </c>
      <c r="U6" s="250">
        <f t="shared" si="1"/>
        <v>47062</v>
      </c>
      <c r="V6" s="250">
        <f t="shared" si="1"/>
        <v>47062</v>
      </c>
      <c r="W6" s="251">
        <f t="shared" ref="W6:W37" si="4">V6/U6*100</f>
        <v>100</v>
      </c>
      <c r="X6" s="252">
        <f t="shared" si="1"/>
        <v>47062</v>
      </c>
    </row>
    <row r="7" spans="1:26" s="315" customFormat="1" ht="9.75">
      <c r="A7" s="230" t="s">
        <v>2</v>
      </c>
      <c r="B7" s="1160" t="s">
        <v>44</v>
      </c>
      <c r="C7" s="1160"/>
      <c r="D7" s="245" t="s">
        <v>25</v>
      </c>
      <c r="E7" s="198">
        <f t="shared" ref="E7:G10" si="5">SUM(J7,O7)</f>
        <v>3095000</v>
      </c>
      <c r="F7" s="184">
        <f t="shared" si="5"/>
        <v>3717491</v>
      </c>
      <c r="G7" s="184">
        <f t="shared" si="5"/>
        <v>2787362.94</v>
      </c>
      <c r="H7" s="185">
        <f t="shared" si="0"/>
        <v>74.979682264193784</v>
      </c>
      <c r="I7" s="199">
        <v>2584705</v>
      </c>
      <c r="J7" s="203">
        <v>3095000</v>
      </c>
      <c r="K7" s="186">
        <v>3717491</v>
      </c>
      <c r="L7" s="186">
        <v>2787362.94</v>
      </c>
      <c r="M7" s="185">
        <f t="shared" si="2"/>
        <v>74.979682264193784</v>
      </c>
      <c r="N7" s="204">
        <v>2572292</v>
      </c>
      <c r="O7" s="219"/>
      <c r="P7" s="186"/>
      <c r="Q7" s="186"/>
      <c r="R7" s="185" t="e">
        <f t="shared" si="3"/>
        <v>#DIV/0!</v>
      </c>
      <c r="S7" s="204">
        <v>12413</v>
      </c>
      <c r="T7" s="219">
        <v>47062</v>
      </c>
      <c r="U7" s="186">
        <v>47062</v>
      </c>
      <c r="V7" s="186">
        <v>47062</v>
      </c>
      <c r="W7" s="185">
        <f t="shared" si="4"/>
        <v>100</v>
      </c>
      <c r="X7" s="204">
        <v>47062</v>
      </c>
    </row>
    <row r="8" spans="1:26" s="315" customFormat="1" ht="9.75">
      <c r="A8" s="231" t="s">
        <v>3</v>
      </c>
      <c r="B8" s="1173" t="s">
        <v>45</v>
      </c>
      <c r="C8" s="1173"/>
      <c r="D8" s="245" t="s">
        <v>25</v>
      </c>
      <c r="E8" s="198">
        <f t="shared" si="5"/>
        <v>0</v>
      </c>
      <c r="F8" s="184">
        <v>0</v>
      </c>
      <c r="G8" s="184">
        <v>0</v>
      </c>
      <c r="H8" s="185" t="e">
        <f t="shared" si="0"/>
        <v>#DIV/0!</v>
      </c>
      <c r="I8" s="199">
        <f>SUM(N8,S8)</f>
        <v>0</v>
      </c>
      <c r="J8" s="205"/>
      <c r="K8" s="184">
        <v>0</v>
      </c>
      <c r="L8" s="184">
        <v>0</v>
      </c>
      <c r="M8" s="185" t="e">
        <f t="shared" si="2"/>
        <v>#DIV/0!</v>
      </c>
      <c r="N8" s="199"/>
      <c r="O8" s="198"/>
      <c r="P8" s="184"/>
      <c r="Q8" s="184"/>
      <c r="R8" s="185" t="e">
        <f t="shared" si="3"/>
        <v>#DIV/0!</v>
      </c>
      <c r="S8" s="199"/>
      <c r="T8" s="198"/>
      <c r="U8" s="184"/>
      <c r="V8" s="184"/>
      <c r="W8" s="185" t="e">
        <f t="shared" si="4"/>
        <v>#DIV/0!</v>
      </c>
      <c r="X8" s="199"/>
    </row>
    <row r="9" spans="1:26" s="315" customFormat="1" ht="9.75">
      <c r="A9" s="231" t="s">
        <v>4</v>
      </c>
      <c r="B9" s="187" t="s">
        <v>60</v>
      </c>
      <c r="C9" s="262"/>
      <c r="D9" s="245" t="s">
        <v>25</v>
      </c>
      <c r="E9" s="198">
        <f t="shared" si="5"/>
        <v>12640175</v>
      </c>
      <c r="F9" s="184">
        <f t="shared" si="5"/>
        <v>13352816.9</v>
      </c>
      <c r="G9" s="78">
        <f t="shared" si="5"/>
        <v>13352770</v>
      </c>
      <c r="H9" s="185">
        <f t="shared" si="0"/>
        <v>99.999648763250846</v>
      </c>
      <c r="I9" s="199">
        <v>12438843</v>
      </c>
      <c r="J9" s="205">
        <v>2500000</v>
      </c>
      <c r="K9" s="184">
        <v>3140000</v>
      </c>
      <c r="L9" s="184">
        <v>3139956</v>
      </c>
      <c r="M9" s="185">
        <f t="shared" si="2"/>
        <v>99.998598726114651</v>
      </c>
      <c r="N9" s="199">
        <v>2700000</v>
      </c>
      <c r="O9" s="198">
        <v>10140175</v>
      </c>
      <c r="P9" s="184">
        <v>10212816.9</v>
      </c>
      <c r="Q9" s="184">
        <v>10212814</v>
      </c>
      <c r="R9" s="185">
        <f t="shared" si="3"/>
        <v>99.9999716043083</v>
      </c>
      <c r="S9" s="199">
        <v>9738843</v>
      </c>
      <c r="T9" s="198"/>
      <c r="U9" s="184"/>
      <c r="V9" s="184"/>
      <c r="W9" s="185" t="e">
        <f t="shared" si="4"/>
        <v>#DIV/0!</v>
      </c>
      <c r="X9" s="199"/>
      <c r="Z9" s="315">
        <v>13352769.9</v>
      </c>
    </row>
    <row r="10" spans="1:26" s="315" customFormat="1" ht="9.75">
      <c r="A10" s="229" t="s">
        <v>5</v>
      </c>
      <c r="B10" s="1158" t="s">
        <v>7</v>
      </c>
      <c r="C10" s="1158"/>
      <c r="D10" s="245" t="s">
        <v>25</v>
      </c>
      <c r="E10" s="200">
        <f t="shared" si="5"/>
        <v>0</v>
      </c>
      <c r="F10" s="182">
        <f t="shared" si="5"/>
        <v>0</v>
      </c>
      <c r="G10" s="182">
        <f t="shared" si="5"/>
        <v>0</v>
      </c>
      <c r="H10" s="180" t="e">
        <f t="shared" si="0"/>
        <v>#DIV/0!</v>
      </c>
      <c r="I10" s="201">
        <f>SUM(N10,S10)</f>
        <v>0</v>
      </c>
      <c r="J10" s="206"/>
      <c r="K10" s="182"/>
      <c r="L10" s="182"/>
      <c r="M10" s="180" t="e">
        <f t="shared" si="2"/>
        <v>#DIV/0!</v>
      </c>
      <c r="N10" s="201"/>
      <c r="O10" s="200"/>
      <c r="P10" s="182"/>
      <c r="Q10" s="182"/>
      <c r="R10" s="180" t="e">
        <f t="shared" si="3"/>
        <v>#DIV/0!</v>
      </c>
      <c r="S10" s="201"/>
      <c r="T10" s="200"/>
      <c r="U10" s="182"/>
      <c r="V10" s="182"/>
      <c r="W10" s="180" t="e">
        <f t="shared" si="4"/>
        <v>#DIV/0!</v>
      </c>
      <c r="X10" s="201"/>
    </row>
    <row r="11" spans="1:26" s="315" customFormat="1" ht="9.75">
      <c r="A11" s="229" t="s">
        <v>6</v>
      </c>
      <c r="B11" s="1158" t="s">
        <v>9</v>
      </c>
      <c r="C11" s="1158"/>
      <c r="D11" s="245" t="s">
        <v>25</v>
      </c>
      <c r="E11" s="196">
        <f>SUM(E12:E31)</f>
        <v>15735175</v>
      </c>
      <c r="F11" s="181">
        <f>SUM(F12:F31)</f>
        <v>17070307.969999999</v>
      </c>
      <c r="G11" s="181">
        <f>SUM(G12:G31)</f>
        <v>15910928.429999998</v>
      </c>
      <c r="H11" s="180">
        <f t="shared" si="0"/>
        <v>93.208209588031238</v>
      </c>
      <c r="I11" s="197">
        <f>SUM(I12:I31)</f>
        <v>14880895</v>
      </c>
      <c r="J11" s="196">
        <f>SUM(J12:J31)</f>
        <v>5595000</v>
      </c>
      <c r="K11" s="181">
        <f>SUM(K12:K31)</f>
        <v>6857491.1400000006</v>
      </c>
      <c r="L11" s="181">
        <f>SUM(L12:L31)</f>
        <v>5698114.54</v>
      </c>
      <c r="M11" s="180">
        <f t="shared" si="2"/>
        <v>83.093283296608092</v>
      </c>
      <c r="N11" s="197">
        <f>SUM(N12:N31)</f>
        <v>5129639</v>
      </c>
      <c r="O11" s="181">
        <f>SUM(O12:O31)</f>
        <v>10140175</v>
      </c>
      <c r="P11" s="181">
        <f>SUM(P12:P31)</f>
        <v>10212817</v>
      </c>
      <c r="Q11" s="181">
        <f>SUM(Q12:Q31)</f>
        <v>10212813.890000001</v>
      </c>
      <c r="R11" s="180">
        <f t="shared" si="3"/>
        <v>99.999969548068862</v>
      </c>
      <c r="S11" s="197">
        <f>SUM(S12:S31)</f>
        <v>9751256</v>
      </c>
      <c r="T11" s="196">
        <f>SUM(T12:T31)</f>
        <v>10640</v>
      </c>
      <c r="U11" s="181">
        <f>SUM(U12:U31)</f>
        <v>10640</v>
      </c>
      <c r="V11" s="181">
        <f>SUM(V12:V31)</f>
        <v>10855.5</v>
      </c>
      <c r="W11" s="180">
        <f t="shared" si="4"/>
        <v>102.02537593984961</v>
      </c>
      <c r="X11" s="197">
        <f>SUM(X12:X31)</f>
        <v>5640</v>
      </c>
    </row>
    <row r="12" spans="1:26" s="315" customFormat="1" ht="9.75">
      <c r="A12" s="232" t="s">
        <v>8</v>
      </c>
      <c r="B12" s="1159" t="s">
        <v>28</v>
      </c>
      <c r="C12" s="1159"/>
      <c r="D12" s="245" t="s">
        <v>25</v>
      </c>
      <c r="E12" s="198">
        <f>SUM(J12,O12)</f>
        <v>3328941</v>
      </c>
      <c r="F12" s="184">
        <f t="shared" ref="E12:I28" si="6">SUM(K12,P12)</f>
        <v>3424299.22</v>
      </c>
      <c r="G12" s="184">
        <f t="shared" si="6"/>
        <v>2578939.58</v>
      </c>
      <c r="H12" s="185">
        <f t="shared" si="0"/>
        <v>75.312915557653852</v>
      </c>
      <c r="I12" s="199">
        <v>2421975</v>
      </c>
      <c r="J12" s="207">
        <v>3308000</v>
      </c>
      <c r="K12" s="188">
        <v>3403358.22</v>
      </c>
      <c r="L12" s="188">
        <v>2557999</v>
      </c>
      <c r="M12" s="185">
        <f t="shared" si="2"/>
        <v>75.161027274995448</v>
      </c>
      <c r="N12" s="208">
        <v>2401499</v>
      </c>
      <c r="O12" s="220">
        <v>20941</v>
      </c>
      <c r="P12" s="188">
        <v>20941</v>
      </c>
      <c r="Q12" s="188">
        <v>20940.580000000002</v>
      </c>
      <c r="R12" s="185">
        <f t="shared" si="3"/>
        <v>99.997994365121073</v>
      </c>
      <c r="S12" s="221">
        <v>20476</v>
      </c>
      <c r="T12" s="220"/>
      <c r="U12" s="188"/>
      <c r="V12" s="188"/>
      <c r="W12" s="185" t="e">
        <f t="shared" si="4"/>
        <v>#DIV/0!</v>
      </c>
      <c r="X12" s="208"/>
    </row>
    <row r="13" spans="1:26" s="315" customFormat="1" ht="9.75">
      <c r="A13" s="230" t="s">
        <v>10</v>
      </c>
      <c r="B13" s="1160" t="s">
        <v>29</v>
      </c>
      <c r="C13" s="1160"/>
      <c r="D13" s="245" t="s">
        <v>25</v>
      </c>
      <c r="E13" s="198">
        <f t="shared" si="6"/>
        <v>500000</v>
      </c>
      <c r="F13" s="184">
        <f t="shared" si="6"/>
        <v>620000</v>
      </c>
      <c r="G13" s="184">
        <f t="shared" si="6"/>
        <v>581987.37</v>
      </c>
      <c r="H13" s="185">
        <f t="shared" si="0"/>
        <v>93.868930645161285</v>
      </c>
      <c r="I13" s="199">
        <v>466733</v>
      </c>
      <c r="J13" s="207">
        <v>500000</v>
      </c>
      <c r="K13" s="184">
        <v>620000</v>
      </c>
      <c r="L13" s="184">
        <v>581987.37</v>
      </c>
      <c r="M13" s="185">
        <f t="shared" si="2"/>
        <v>93.868930645161285</v>
      </c>
      <c r="N13" s="199">
        <v>466733</v>
      </c>
      <c r="O13" s="198"/>
      <c r="P13" s="184"/>
      <c r="Q13" s="184"/>
      <c r="R13" s="185" t="e">
        <f t="shared" si="3"/>
        <v>#DIV/0!</v>
      </c>
      <c r="S13" s="199"/>
      <c r="T13" s="198"/>
      <c r="U13" s="184"/>
      <c r="V13" s="184"/>
      <c r="W13" s="185" t="e">
        <f t="shared" si="4"/>
        <v>#DIV/0!</v>
      </c>
      <c r="X13" s="199"/>
    </row>
    <row r="14" spans="1:26" s="315" customFormat="1" ht="9.75">
      <c r="A14" s="230" t="s">
        <v>11</v>
      </c>
      <c r="B14" s="260" t="s">
        <v>61</v>
      </c>
      <c r="C14" s="260"/>
      <c r="D14" s="245" t="s">
        <v>25</v>
      </c>
      <c r="E14" s="198">
        <f t="shared" si="6"/>
        <v>0</v>
      </c>
      <c r="F14" s="184">
        <f t="shared" si="6"/>
        <v>0</v>
      </c>
      <c r="G14" s="184">
        <f t="shared" si="6"/>
        <v>0</v>
      </c>
      <c r="H14" s="185" t="e">
        <f t="shared" si="0"/>
        <v>#DIV/0!</v>
      </c>
      <c r="I14" s="199">
        <f t="shared" si="6"/>
        <v>0</v>
      </c>
      <c r="J14" s="207"/>
      <c r="K14" s="184"/>
      <c r="L14" s="184"/>
      <c r="M14" s="185" t="e">
        <f t="shared" si="2"/>
        <v>#DIV/0!</v>
      </c>
      <c r="N14" s="199"/>
      <c r="O14" s="198"/>
      <c r="P14" s="184"/>
      <c r="Q14" s="184"/>
      <c r="R14" s="185" t="e">
        <f t="shared" si="3"/>
        <v>#DIV/0!</v>
      </c>
      <c r="S14" s="199"/>
      <c r="T14" s="198"/>
      <c r="U14" s="184"/>
      <c r="V14" s="184"/>
      <c r="W14" s="185" t="e">
        <f t="shared" si="4"/>
        <v>#DIV/0!</v>
      </c>
      <c r="X14" s="199"/>
    </row>
    <row r="15" spans="1:26" s="315" customFormat="1" ht="9.75">
      <c r="A15" s="230" t="s">
        <v>12</v>
      </c>
      <c r="B15" s="1160" t="s">
        <v>62</v>
      </c>
      <c r="C15" s="1160"/>
      <c r="D15" s="245" t="s">
        <v>25</v>
      </c>
      <c r="E15" s="198">
        <f t="shared" si="6"/>
        <v>390000</v>
      </c>
      <c r="F15" s="184">
        <f t="shared" si="6"/>
        <v>978139.73</v>
      </c>
      <c r="G15" s="184">
        <f t="shared" si="6"/>
        <v>916625</v>
      </c>
      <c r="H15" s="185">
        <f t="shared" si="0"/>
        <v>93.711048829393732</v>
      </c>
      <c r="I15" s="199">
        <v>655812</v>
      </c>
      <c r="J15" s="207">
        <v>390000</v>
      </c>
      <c r="K15" s="184">
        <v>978139.73</v>
      </c>
      <c r="L15" s="184">
        <v>916625</v>
      </c>
      <c r="M15" s="185">
        <f t="shared" si="2"/>
        <v>93.711048829393732</v>
      </c>
      <c r="N15" s="199">
        <v>655812</v>
      </c>
      <c r="O15" s="198"/>
      <c r="P15" s="184"/>
      <c r="Q15" s="184"/>
      <c r="R15" s="185" t="e">
        <f t="shared" si="3"/>
        <v>#DIV/0!</v>
      </c>
      <c r="S15" s="199"/>
      <c r="T15" s="198">
        <v>3000</v>
      </c>
      <c r="U15" s="184">
        <v>3000</v>
      </c>
      <c r="V15" s="184">
        <v>0</v>
      </c>
      <c r="W15" s="185">
        <f t="shared" si="4"/>
        <v>0</v>
      </c>
      <c r="X15" s="199"/>
    </row>
    <row r="16" spans="1:26" s="315" customFormat="1" ht="9.75">
      <c r="A16" s="230" t="s">
        <v>13</v>
      </c>
      <c r="B16" s="1160" t="s">
        <v>30</v>
      </c>
      <c r="C16" s="1160"/>
      <c r="D16" s="245" t="s">
        <v>25</v>
      </c>
      <c r="E16" s="198">
        <f t="shared" si="6"/>
        <v>3000</v>
      </c>
      <c r="F16" s="184">
        <f t="shared" si="6"/>
        <v>1444</v>
      </c>
      <c r="G16" s="184">
        <f t="shared" si="6"/>
        <v>1444</v>
      </c>
      <c r="H16" s="185">
        <f t="shared" si="0"/>
        <v>100</v>
      </c>
      <c r="I16" s="199">
        <v>13024</v>
      </c>
      <c r="J16" s="207">
        <v>3000</v>
      </c>
      <c r="K16" s="184">
        <v>1444</v>
      </c>
      <c r="L16" s="184">
        <v>1444</v>
      </c>
      <c r="M16" s="185">
        <f t="shared" si="2"/>
        <v>100</v>
      </c>
      <c r="N16" s="199">
        <v>170</v>
      </c>
      <c r="O16" s="198"/>
      <c r="P16" s="184"/>
      <c r="Q16" s="184"/>
      <c r="R16" s="185" t="e">
        <f t="shared" si="3"/>
        <v>#DIV/0!</v>
      </c>
      <c r="S16" s="199">
        <v>12854</v>
      </c>
      <c r="T16" s="198"/>
      <c r="U16" s="184"/>
      <c r="V16" s="184"/>
      <c r="W16" s="185" t="e">
        <f t="shared" si="4"/>
        <v>#DIV/0!</v>
      </c>
      <c r="X16" s="199"/>
    </row>
    <row r="17" spans="1:28" s="315" customFormat="1" ht="9.75">
      <c r="A17" s="230" t="s">
        <v>14</v>
      </c>
      <c r="B17" s="260" t="s">
        <v>46</v>
      </c>
      <c r="C17" s="260"/>
      <c r="D17" s="245" t="s">
        <v>25</v>
      </c>
      <c r="E17" s="198">
        <f t="shared" si="6"/>
        <v>0</v>
      </c>
      <c r="F17" s="184">
        <f t="shared" si="6"/>
        <v>0</v>
      </c>
      <c r="G17" s="184">
        <f t="shared" si="6"/>
        <v>0</v>
      </c>
      <c r="H17" s="185" t="e">
        <f t="shared" si="0"/>
        <v>#DIV/0!</v>
      </c>
      <c r="I17" s="199">
        <f t="shared" si="6"/>
        <v>0</v>
      </c>
      <c r="J17" s="207"/>
      <c r="K17" s="184"/>
      <c r="L17" s="184"/>
      <c r="M17" s="185" t="e">
        <f t="shared" si="2"/>
        <v>#DIV/0!</v>
      </c>
      <c r="N17" s="199"/>
      <c r="O17" s="198"/>
      <c r="P17" s="184"/>
      <c r="Q17" s="184"/>
      <c r="R17" s="185" t="e">
        <f t="shared" si="3"/>
        <v>#DIV/0!</v>
      </c>
      <c r="S17" s="199"/>
      <c r="T17" s="198"/>
      <c r="U17" s="184"/>
      <c r="V17" s="184"/>
      <c r="W17" s="185" t="e">
        <f t="shared" si="4"/>
        <v>#DIV/0!</v>
      </c>
      <c r="X17" s="199"/>
    </row>
    <row r="18" spans="1:28" s="315" customFormat="1" ht="9.75">
      <c r="A18" s="230" t="s">
        <v>15</v>
      </c>
      <c r="B18" s="1160" t="s">
        <v>31</v>
      </c>
      <c r="C18" s="1160"/>
      <c r="D18" s="245" t="s">
        <v>25</v>
      </c>
      <c r="E18" s="198">
        <f t="shared" si="6"/>
        <v>443539</v>
      </c>
      <c r="F18" s="184">
        <f t="shared" si="6"/>
        <v>443539</v>
      </c>
      <c r="G18" s="184">
        <f t="shared" si="6"/>
        <v>437048.43</v>
      </c>
      <c r="H18" s="185">
        <f t="shared" si="0"/>
        <v>98.536640520901216</v>
      </c>
      <c r="I18" s="199">
        <v>450342</v>
      </c>
      <c r="J18" s="207">
        <v>403000</v>
      </c>
      <c r="K18" s="184">
        <v>403000</v>
      </c>
      <c r="L18" s="184">
        <v>396509.43</v>
      </c>
      <c r="M18" s="185">
        <f t="shared" si="2"/>
        <v>98.389436724565755</v>
      </c>
      <c r="N18" s="199">
        <v>387543</v>
      </c>
      <c r="O18" s="198">
        <v>40539</v>
      </c>
      <c r="P18" s="184">
        <v>40539</v>
      </c>
      <c r="Q18" s="184">
        <v>40539</v>
      </c>
      <c r="R18" s="185">
        <f t="shared" si="3"/>
        <v>100</v>
      </c>
      <c r="S18" s="199">
        <v>62799</v>
      </c>
      <c r="T18" s="198">
        <v>2000</v>
      </c>
      <c r="U18" s="184">
        <v>2000</v>
      </c>
      <c r="V18" s="184">
        <v>5215.5</v>
      </c>
      <c r="W18" s="185">
        <f t="shared" si="4"/>
        <v>260.77499999999998</v>
      </c>
      <c r="X18" s="199"/>
    </row>
    <row r="19" spans="1:28" s="318" customFormat="1" ht="9.75">
      <c r="A19" s="230" t="s">
        <v>16</v>
      </c>
      <c r="B19" s="1160" t="s">
        <v>32</v>
      </c>
      <c r="C19" s="1160"/>
      <c r="D19" s="245" t="s">
        <v>25</v>
      </c>
      <c r="E19" s="198">
        <f t="shared" si="6"/>
        <v>7479549</v>
      </c>
      <c r="F19" s="78">
        <f t="shared" si="6"/>
        <v>7556391</v>
      </c>
      <c r="G19" s="189">
        <f t="shared" si="6"/>
        <v>7715187</v>
      </c>
      <c r="H19" s="185">
        <f t="shared" si="0"/>
        <v>102.10147939671199</v>
      </c>
      <c r="I19" s="199">
        <v>7346988</v>
      </c>
      <c r="J19" s="209">
        <v>240000</v>
      </c>
      <c r="K19" s="184">
        <v>244200</v>
      </c>
      <c r="L19" s="184">
        <v>244200</v>
      </c>
      <c r="M19" s="185">
        <f t="shared" si="2"/>
        <v>100</v>
      </c>
      <c r="N19" s="199">
        <v>268000</v>
      </c>
      <c r="O19" s="198">
        <v>7239549</v>
      </c>
      <c r="P19" s="184">
        <v>7312191</v>
      </c>
      <c r="Q19" s="184">
        <v>7470987</v>
      </c>
      <c r="R19" s="185">
        <f t="shared" si="3"/>
        <v>102.17166099736727</v>
      </c>
      <c r="S19" s="199">
        <v>7078988</v>
      </c>
      <c r="T19" s="225"/>
      <c r="U19" s="190"/>
      <c r="V19" s="190"/>
      <c r="W19" s="185" t="e">
        <f t="shared" si="4"/>
        <v>#DIV/0!</v>
      </c>
      <c r="X19" s="226"/>
      <c r="Z19" s="318">
        <v>7715187</v>
      </c>
      <c r="AB19" s="318">
        <f>Z19-G19</f>
        <v>0</v>
      </c>
    </row>
    <row r="20" spans="1:28" s="315" customFormat="1" ht="9.75">
      <c r="A20" s="230" t="s">
        <v>17</v>
      </c>
      <c r="B20" s="1160" t="s">
        <v>47</v>
      </c>
      <c r="C20" s="1160"/>
      <c r="D20" s="245" t="s">
        <v>25</v>
      </c>
      <c r="E20" s="198">
        <f t="shared" si="6"/>
        <v>2699503</v>
      </c>
      <c r="F20" s="78">
        <f t="shared" si="6"/>
        <v>2711464.83</v>
      </c>
      <c r="G20" s="189">
        <f t="shared" si="6"/>
        <v>2586919.6199999996</v>
      </c>
      <c r="H20" s="185">
        <f t="shared" si="0"/>
        <v>95.406718589080853</v>
      </c>
      <c r="I20" s="199">
        <v>2461798</v>
      </c>
      <c r="J20" s="207">
        <v>90000</v>
      </c>
      <c r="K20" s="184">
        <v>101961.83</v>
      </c>
      <c r="L20" s="184">
        <v>101959.28</v>
      </c>
      <c r="M20" s="185">
        <f t="shared" si="2"/>
        <v>99.997499064110556</v>
      </c>
      <c r="N20" s="199">
        <v>97381</v>
      </c>
      <c r="O20" s="198">
        <v>2609503</v>
      </c>
      <c r="P20" s="184">
        <v>2609503</v>
      </c>
      <c r="Q20" s="184">
        <v>2484960.34</v>
      </c>
      <c r="R20" s="185">
        <f t="shared" si="3"/>
        <v>95.227341758181538</v>
      </c>
      <c r="S20" s="199">
        <v>2364417</v>
      </c>
      <c r="T20" s="198"/>
      <c r="U20" s="184"/>
      <c r="V20" s="184"/>
      <c r="W20" s="185" t="e">
        <f t="shared" si="4"/>
        <v>#DIV/0!</v>
      </c>
      <c r="X20" s="199"/>
      <c r="Z20" s="315">
        <v>2586919</v>
      </c>
      <c r="AB20" s="315">
        <f>Z20-G20</f>
        <v>-0.61999999964609742</v>
      </c>
    </row>
    <row r="21" spans="1:28" s="315" customFormat="1" ht="9.75">
      <c r="A21" s="230" t="s">
        <v>18</v>
      </c>
      <c r="B21" s="1160" t="s">
        <v>48</v>
      </c>
      <c r="C21" s="1160"/>
      <c r="D21" s="245" t="s">
        <v>25</v>
      </c>
      <c r="E21" s="198">
        <f t="shared" si="6"/>
        <v>209506</v>
      </c>
      <c r="F21" s="78">
        <f t="shared" si="6"/>
        <v>216106.91</v>
      </c>
      <c r="G21" s="189">
        <f t="shared" si="6"/>
        <v>190424.68</v>
      </c>
      <c r="H21" s="185">
        <f t="shared" si="0"/>
        <v>88.115960752943991</v>
      </c>
      <c r="I21" s="199">
        <v>249646</v>
      </c>
      <c r="J21" s="207">
        <v>28000</v>
      </c>
      <c r="K21" s="184">
        <v>34600.910000000003</v>
      </c>
      <c r="L21" s="184">
        <v>43174.71</v>
      </c>
      <c r="M21" s="185">
        <f t="shared" si="2"/>
        <v>124.77911708102474</v>
      </c>
      <c r="N21" s="199">
        <v>42223</v>
      </c>
      <c r="O21" s="198">
        <v>181506</v>
      </c>
      <c r="P21" s="184">
        <v>181506</v>
      </c>
      <c r="Q21" s="184">
        <v>147249.97</v>
      </c>
      <c r="R21" s="185">
        <f t="shared" si="3"/>
        <v>81.126778178131858</v>
      </c>
      <c r="S21" s="199">
        <v>207423</v>
      </c>
      <c r="T21" s="198"/>
      <c r="U21" s="184"/>
      <c r="V21" s="184"/>
      <c r="W21" s="185" t="e">
        <f t="shared" si="4"/>
        <v>#DIV/0!</v>
      </c>
      <c r="X21" s="199"/>
      <c r="Z21" s="315">
        <v>190424.97</v>
      </c>
      <c r="AB21" s="315">
        <f>G21-Z21</f>
        <v>-0.29000000000814907</v>
      </c>
    </row>
    <row r="22" spans="1:28" s="315" customFormat="1" ht="9.75">
      <c r="A22" s="230" t="s">
        <v>19</v>
      </c>
      <c r="B22" s="1160" t="s">
        <v>63</v>
      </c>
      <c r="C22" s="1160"/>
      <c r="D22" s="245" t="s">
        <v>25</v>
      </c>
      <c r="E22" s="198">
        <f t="shared" si="6"/>
        <v>0</v>
      </c>
      <c r="F22" s="184">
        <f t="shared" si="6"/>
        <v>0</v>
      </c>
      <c r="G22" s="184">
        <f t="shared" si="6"/>
        <v>0</v>
      </c>
      <c r="H22" s="185" t="e">
        <f t="shared" si="0"/>
        <v>#DIV/0!</v>
      </c>
      <c r="I22" s="199">
        <f t="shared" si="6"/>
        <v>0</v>
      </c>
      <c r="J22" s="207"/>
      <c r="K22" s="184"/>
      <c r="L22" s="184"/>
      <c r="M22" s="185" t="e">
        <f t="shared" si="2"/>
        <v>#DIV/0!</v>
      </c>
      <c r="N22" s="199"/>
      <c r="O22" s="198"/>
      <c r="P22" s="184"/>
      <c r="Q22" s="184"/>
      <c r="R22" s="185" t="e">
        <f t="shared" si="3"/>
        <v>#DIV/0!</v>
      </c>
      <c r="S22" s="199"/>
      <c r="T22" s="198"/>
      <c r="U22" s="184"/>
      <c r="V22" s="184"/>
      <c r="W22" s="185" t="e">
        <f t="shared" si="4"/>
        <v>#DIV/0!</v>
      </c>
      <c r="X22" s="199"/>
    </row>
    <row r="23" spans="1:28" s="315" customFormat="1" ht="9.75">
      <c r="A23" s="230" t="s">
        <v>20</v>
      </c>
      <c r="B23" s="260" t="s">
        <v>64</v>
      </c>
      <c r="C23" s="260"/>
      <c r="D23" s="245" t="s">
        <v>25</v>
      </c>
      <c r="E23" s="198">
        <f t="shared" si="6"/>
        <v>0</v>
      </c>
      <c r="F23" s="184">
        <f t="shared" si="6"/>
        <v>0</v>
      </c>
      <c r="G23" s="184">
        <f t="shared" si="6"/>
        <v>0</v>
      </c>
      <c r="H23" s="185" t="e">
        <f t="shared" si="0"/>
        <v>#DIV/0!</v>
      </c>
      <c r="I23" s="199">
        <f t="shared" si="6"/>
        <v>0</v>
      </c>
      <c r="J23" s="207"/>
      <c r="K23" s="184"/>
      <c r="L23" s="184"/>
      <c r="M23" s="185" t="e">
        <f t="shared" si="2"/>
        <v>#DIV/0!</v>
      </c>
      <c r="N23" s="199"/>
      <c r="O23" s="198"/>
      <c r="P23" s="184"/>
      <c r="Q23" s="184"/>
      <c r="R23" s="185" t="e">
        <f t="shared" si="3"/>
        <v>#DIV/0!</v>
      </c>
      <c r="S23" s="199"/>
      <c r="T23" s="198"/>
      <c r="U23" s="184"/>
      <c r="V23" s="184"/>
      <c r="W23" s="185" t="e">
        <f t="shared" si="4"/>
        <v>#DIV/0!</v>
      </c>
      <c r="X23" s="199"/>
    </row>
    <row r="24" spans="1:28" s="315" customFormat="1" ht="9.75">
      <c r="A24" s="230" t="s">
        <v>21</v>
      </c>
      <c r="B24" s="260" t="s">
        <v>71</v>
      </c>
      <c r="C24" s="264"/>
      <c r="D24" s="245" t="s">
        <v>25</v>
      </c>
      <c r="E24" s="198">
        <f t="shared" si="6"/>
        <v>0</v>
      </c>
      <c r="F24" s="184">
        <f t="shared" si="6"/>
        <v>0</v>
      </c>
      <c r="G24" s="184">
        <f t="shared" si="6"/>
        <v>0</v>
      </c>
      <c r="H24" s="185" t="e">
        <f t="shared" si="0"/>
        <v>#DIV/0!</v>
      </c>
      <c r="I24" s="199">
        <f t="shared" si="6"/>
        <v>0</v>
      </c>
      <c r="J24" s="207"/>
      <c r="K24" s="184"/>
      <c r="L24" s="184"/>
      <c r="M24" s="185" t="e">
        <f t="shared" si="2"/>
        <v>#DIV/0!</v>
      </c>
      <c r="N24" s="199"/>
      <c r="O24" s="198"/>
      <c r="P24" s="184"/>
      <c r="Q24" s="184"/>
      <c r="R24" s="185" t="e">
        <f t="shared" si="3"/>
        <v>#DIV/0!</v>
      </c>
      <c r="S24" s="199"/>
      <c r="T24" s="198"/>
      <c r="U24" s="184"/>
      <c r="V24" s="184"/>
      <c r="W24" s="185" t="e">
        <f t="shared" si="4"/>
        <v>#DIV/0!</v>
      </c>
      <c r="X24" s="199"/>
    </row>
    <row r="25" spans="1:28" s="315" customFormat="1" ht="9.75">
      <c r="A25" s="232" t="s">
        <v>22</v>
      </c>
      <c r="B25" s="264" t="s">
        <v>66</v>
      </c>
      <c r="D25" s="245" t="s">
        <v>25</v>
      </c>
      <c r="E25" s="198">
        <f t="shared" si="6"/>
        <v>0</v>
      </c>
      <c r="F25" s="184">
        <f t="shared" si="6"/>
        <v>4027.28</v>
      </c>
      <c r="G25" s="184">
        <f t="shared" si="6"/>
        <v>4027</v>
      </c>
      <c r="H25" s="185">
        <f t="shared" si="0"/>
        <v>99.993047416618651</v>
      </c>
      <c r="I25" s="199">
        <v>10224</v>
      </c>
      <c r="J25" s="207">
        <v>0</v>
      </c>
      <c r="K25" s="188">
        <v>4027.28</v>
      </c>
      <c r="L25" s="188">
        <v>4027</v>
      </c>
      <c r="M25" s="185">
        <f t="shared" si="2"/>
        <v>99.993047416618651</v>
      </c>
      <c r="N25" s="208">
        <v>10224</v>
      </c>
      <c r="O25" s="220"/>
      <c r="P25" s="188"/>
      <c r="Q25" s="188"/>
      <c r="R25" s="185" t="e">
        <f t="shared" si="3"/>
        <v>#DIV/0!</v>
      </c>
      <c r="S25" s="221"/>
      <c r="T25" s="220"/>
      <c r="U25" s="188"/>
      <c r="V25" s="188"/>
      <c r="W25" s="185" t="e">
        <f t="shared" si="4"/>
        <v>#DIV/0!</v>
      </c>
      <c r="X25" s="221"/>
    </row>
    <row r="26" spans="1:28" s="319" customFormat="1" ht="9.75">
      <c r="A26" s="230" t="s">
        <v>23</v>
      </c>
      <c r="B26" s="1160" t="s">
        <v>67</v>
      </c>
      <c r="C26" s="1160"/>
      <c r="D26" s="245" t="s">
        <v>25</v>
      </c>
      <c r="E26" s="198">
        <f t="shared" si="6"/>
        <v>555132</v>
      </c>
      <c r="F26" s="184">
        <f t="shared" si="6"/>
        <v>590907</v>
      </c>
      <c r="G26" s="184">
        <f t="shared" si="6"/>
        <v>572019</v>
      </c>
      <c r="H26" s="191">
        <f t="shared" si="0"/>
        <v>96.803557920281875</v>
      </c>
      <c r="I26" s="199">
        <v>561867</v>
      </c>
      <c r="J26" s="207">
        <v>555132</v>
      </c>
      <c r="K26" s="189">
        <v>590907</v>
      </c>
      <c r="L26" s="189">
        <v>572019</v>
      </c>
      <c r="M26" s="185">
        <f t="shared" si="2"/>
        <v>96.803557920281875</v>
      </c>
      <c r="N26" s="199">
        <v>561867</v>
      </c>
      <c r="O26" s="222"/>
      <c r="P26" s="189"/>
      <c r="Q26" s="189"/>
      <c r="R26" s="185" t="e">
        <f t="shared" si="3"/>
        <v>#DIV/0!</v>
      </c>
      <c r="S26" s="208"/>
      <c r="T26" s="227">
        <v>5640</v>
      </c>
      <c r="U26" s="192">
        <v>5640</v>
      </c>
      <c r="V26" s="192">
        <v>5640</v>
      </c>
      <c r="W26" s="185">
        <f t="shared" si="4"/>
        <v>100</v>
      </c>
      <c r="X26" s="228">
        <v>5640</v>
      </c>
    </row>
    <row r="27" spans="1:28" s="320" customFormat="1" ht="9.75">
      <c r="A27" s="230" t="s">
        <v>43</v>
      </c>
      <c r="B27" s="260" t="s">
        <v>68</v>
      </c>
      <c r="C27" s="260"/>
      <c r="D27" s="245" t="s">
        <v>25</v>
      </c>
      <c r="E27" s="198">
        <f t="shared" si="6"/>
        <v>0</v>
      </c>
      <c r="F27" s="184">
        <f>SUM(K27,P27)</f>
        <v>0</v>
      </c>
      <c r="G27" s="184">
        <f t="shared" si="6"/>
        <v>0</v>
      </c>
      <c r="H27" s="191" t="e">
        <f t="shared" si="0"/>
        <v>#DIV/0!</v>
      </c>
      <c r="I27" s="199">
        <f t="shared" si="6"/>
        <v>0</v>
      </c>
      <c r="J27" s="207"/>
      <c r="K27" s="189"/>
      <c r="L27" s="189"/>
      <c r="M27" s="185" t="e">
        <f>L27/K27*100</f>
        <v>#DIV/0!</v>
      </c>
      <c r="N27" s="208"/>
      <c r="O27" s="222"/>
      <c r="P27" s="189"/>
      <c r="Q27" s="189"/>
      <c r="R27" s="185" t="e">
        <f t="shared" si="3"/>
        <v>#DIV/0!</v>
      </c>
      <c r="S27" s="208"/>
      <c r="T27" s="227"/>
      <c r="U27" s="192"/>
      <c r="V27" s="192"/>
      <c r="W27" s="185" t="e">
        <f t="shared" si="4"/>
        <v>#DIV/0!</v>
      </c>
      <c r="X27" s="228"/>
    </row>
    <row r="28" spans="1:28" s="320" customFormat="1" ht="9.75">
      <c r="A28" s="230" t="s">
        <v>49</v>
      </c>
      <c r="B28" s="260" t="s">
        <v>72</v>
      </c>
      <c r="C28" s="260"/>
      <c r="D28" s="245" t="s">
        <v>25</v>
      </c>
      <c r="E28" s="198">
        <f t="shared" si="6"/>
        <v>125267</v>
      </c>
      <c r="F28" s="184">
        <v>519224</v>
      </c>
      <c r="G28" s="184">
        <f t="shared" si="6"/>
        <v>325119.99</v>
      </c>
      <c r="H28" s="191">
        <f t="shared" si="0"/>
        <v>62.616518111643529</v>
      </c>
      <c r="I28" s="199">
        <v>241748</v>
      </c>
      <c r="J28" s="207">
        <v>77130</v>
      </c>
      <c r="K28" s="189">
        <v>471087.17</v>
      </c>
      <c r="L28" s="189">
        <v>276982.99</v>
      </c>
      <c r="M28" s="185">
        <f>L28/K28*100</f>
        <v>58.796547144342739</v>
      </c>
      <c r="N28" s="208">
        <v>237449</v>
      </c>
      <c r="O28" s="222">
        <v>48137</v>
      </c>
      <c r="P28" s="189">
        <v>48137</v>
      </c>
      <c r="Q28" s="189">
        <v>48137</v>
      </c>
      <c r="R28" s="185">
        <f t="shared" si="3"/>
        <v>100</v>
      </c>
      <c r="S28" s="208">
        <v>4299</v>
      </c>
      <c r="T28" s="227"/>
      <c r="U28" s="192"/>
      <c r="V28" s="192"/>
      <c r="W28" s="185" t="e">
        <f t="shared" si="4"/>
        <v>#DIV/0!</v>
      </c>
      <c r="X28" s="228"/>
    </row>
    <row r="29" spans="1:28" s="319" customFormat="1" ht="9.75">
      <c r="A29" s="230" t="s">
        <v>50</v>
      </c>
      <c r="B29" s="1160" t="s">
        <v>65</v>
      </c>
      <c r="C29" s="1160"/>
      <c r="D29" s="245" t="s">
        <v>25</v>
      </c>
      <c r="E29" s="198">
        <f t="shared" ref="E29:G31" si="7">SUM(J29,O29)</f>
        <v>738</v>
      </c>
      <c r="F29" s="184">
        <f t="shared" si="7"/>
        <v>4765</v>
      </c>
      <c r="G29" s="184">
        <f t="shared" si="7"/>
        <v>1186.76</v>
      </c>
      <c r="H29" s="191">
        <f t="shared" si="0"/>
        <v>24.905771248688353</v>
      </c>
      <c r="I29" s="199">
        <v>738</v>
      </c>
      <c r="J29" s="207">
        <v>738</v>
      </c>
      <c r="K29" s="189">
        <v>4765</v>
      </c>
      <c r="L29" s="189">
        <v>1186.76</v>
      </c>
      <c r="M29" s="185">
        <f t="shared" si="2"/>
        <v>24.905771248688353</v>
      </c>
      <c r="N29" s="208">
        <v>738</v>
      </c>
      <c r="O29" s="222"/>
      <c r="P29" s="189"/>
      <c r="Q29" s="189"/>
      <c r="R29" s="185" t="e">
        <f t="shared" si="3"/>
        <v>#DIV/0!</v>
      </c>
      <c r="S29" s="208"/>
      <c r="T29" s="227"/>
      <c r="U29" s="192"/>
      <c r="V29" s="192"/>
      <c r="W29" s="185" t="e">
        <f t="shared" si="4"/>
        <v>#DIV/0!</v>
      </c>
      <c r="X29" s="228"/>
    </row>
    <row r="30" spans="1:28" s="315" customFormat="1" ht="9.75">
      <c r="A30" s="230" t="s">
        <v>52</v>
      </c>
      <c r="B30" s="260" t="s">
        <v>51</v>
      </c>
      <c r="C30" s="260"/>
      <c r="D30" s="245" t="s">
        <v>25</v>
      </c>
      <c r="E30" s="198">
        <f t="shared" si="7"/>
        <v>0</v>
      </c>
      <c r="F30" s="184">
        <f t="shared" si="7"/>
        <v>0</v>
      </c>
      <c r="G30" s="184">
        <f t="shared" si="7"/>
        <v>0</v>
      </c>
      <c r="H30" s="191" t="e">
        <f t="shared" si="0"/>
        <v>#DIV/0!</v>
      </c>
      <c r="I30" s="199">
        <f>SUM(N30,S30)</f>
        <v>0</v>
      </c>
      <c r="J30" s="207"/>
      <c r="K30" s="189"/>
      <c r="L30" s="189"/>
      <c r="M30" s="185" t="e">
        <f t="shared" si="2"/>
        <v>#DIV/0!</v>
      </c>
      <c r="N30" s="208"/>
      <c r="O30" s="222"/>
      <c r="P30" s="189"/>
      <c r="Q30" s="189"/>
      <c r="R30" s="185" t="e">
        <f t="shared" si="3"/>
        <v>#DIV/0!</v>
      </c>
      <c r="S30" s="208"/>
      <c r="T30" s="227"/>
      <c r="U30" s="192"/>
      <c r="V30" s="192"/>
      <c r="W30" s="185" t="e">
        <f t="shared" si="4"/>
        <v>#DIV/0!</v>
      </c>
      <c r="X30" s="228"/>
    </row>
    <row r="31" spans="1:28" s="321" customFormat="1" ht="9.75">
      <c r="A31" s="230" t="s">
        <v>53</v>
      </c>
      <c r="B31" s="260" t="s">
        <v>69</v>
      </c>
      <c r="C31" s="260"/>
      <c r="D31" s="245" t="s">
        <v>25</v>
      </c>
      <c r="E31" s="198">
        <f t="shared" si="7"/>
        <v>0</v>
      </c>
      <c r="F31" s="184">
        <f t="shared" si="7"/>
        <v>0</v>
      </c>
      <c r="G31" s="184">
        <f t="shared" si="7"/>
        <v>0</v>
      </c>
      <c r="H31" s="191" t="e">
        <f t="shared" si="0"/>
        <v>#DIV/0!</v>
      </c>
      <c r="I31" s="199">
        <f>SUM(N31,S31)</f>
        <v>0</v>
      </c>
      <c r="J31" s="207"/>
      <c r="K31" s="193"/>
      <c r="L31" s="193"/>
      <c r="M31" s="185" t="e">
        <f t="shared" si="2"/>
        <v>#DIV/0!</v>
      </c>
      <c r="N31" s="210"/>
      <c r="O31" s="223"/>
      <c r="P31" s="193"/>
      <c r="Q31" s="193"/>
      <c r="R31" s="185" t="e">
        <f t="shared" si="3"/>
        <v>#DIV/0!</v>
      </c>
      <c r="S31" s="210"/>
      <c r="T31" s="224"/>
      <c r="U31" s="194"/>
      <c r="V31" s="194"/>
      <c r="W31" s="185" t="e">
        <f t="shared" si="4"/>
        <v>#DIV/0!</v>
      </c>
      <c r="X31" s="212"/>
    </row>
    <row r="32" spans="1:28" s="321" customFormat="1" ht="9.75">
      <c r="A32" s="232" t="s">
        <v>54</v>
      </c>
      <c r="B32" s="264" t="s">
        <v>70</v>
      </c>
      <c r="C32" s="264"/>
      <c r="D32" s="245" t="s">
        <v>25</v>
      </c>
      <c r="E32" s="198">
        <f>SUM(J32,O32)</f>
        <v>0</v>
      </c>
      <c r="F32" s="184">
        <f>SUM(K32,P32)</f>
        <v>0</v>
      </c>
      <c r="G32" s="184">
        <f>SUM(L32,Q32)</f>
        <v>0</v>
      </c>
      <c r="H32" s="191" t="e">
        <f t="shared" si="0"/>
        <v>#DIV/0!</v>
      </c>
      <c r="I32" s="199">
        <f>SUM(N32,S32)</f>
        <v>0</v>
      </c>
      <c r="J32" s="211"/>
      <c r="K32" s="194"/>
      <c r="L32" s="194"/>
      <c r="M32" s="185" t="e">
        <f t="shared" si="2"/>
        <v>#DIV/0!</v>
      </c>
      <c r="N32" s="212"/>
      <c r="O32" s="224"/>
      <c r="P32" s="194"/>
      <c r="Q32" s="194"/>
      <c r="R32" s="185" t="e">
        <f t="shared" si="3"/>
        <v>#DIV/0!</v>
      </c>
      <c r="S32" s="212"/>
      <c r="T32" s="224"/>
      <c r="U32" s="194"/>
      <c r="V32" s="194"/>
      <c r="W32" s="185" t="e">
        <f t="shared" si="4"/>
        <v>#DIV/0!</v>
      </c>
      <c r="X32" s="212"/>
    </row>
    <row r="33" spans="1:24" s="321" customFormat="1" ht="9.75">
      <c r="A33" s="229" t="s">
        <v>55</v>
      </c>
      <c r="B33" s="263" t="s">
        <v>56</v>
      </c>
      <c r="C33" s="263"/>
      <c r="D33" s="245" t="s">
        <v>25</v>
      </c>
      <c r="E33" s="196">
        <f>E6-E11</f>
        <v>0</v>
      </c>
      <c r="F33" s="181">
        <f t="shared" ref="F33:G33" si="8">F6-F11</f>
        <v>-7.0000000298023224E-2</v>
      </c>
      <c r="G33" s="181">
        <f t="shared" si="8"/>
        <v>229204.51000000164</v>
      </c>
      <c r="H33" s="195">
        <f t="shared" si="0"/>
        <v>-327435012.89167035</v>
      </c>
      <c r="I33" s="197">
        <f t="shared" ref="I33:L33" si="9">I6-I11</f>
        <v>142653</v>
      </c>
      <c r="J33" s="196">
        <f t="shared" si="9"/>
        <v>0</v>
      </c>
      <c r="K33" s="181">
        <f t="shared" si="9"/>
        <v>-0.14000000059604645</v>
      </c>
      <c r="L33" s="181">
        <f t="shared" si="9"/>
        <v>229204.39999999944</v>
      </c>
      <c r="M33" s="180">
        <f t="shared" si="2"/>
        <v>-163717427.87440538</v>
      </c>
      <c r="N33" s="197">
        <f t="shared" ref="N33:Q33" si="10">N6-N11</f>
        <v>142653</v>
      </c>
      <c r="O33" s="196">
        <f t="shared" si="10"/>
        <v>0</v>
      </c>
      <c r="P33" s="181">
        <f t="shared" si="10"/>
        <v>-9.999999962747097E-2</v>
      </c>
      <c r="Q33" s="181">
        <f t="shared" si="10"/>
        <v>0.10999999940395355</v>
      </c>
      <c r="R33" s="180">
        <f t="shared" si="3"/>
        <v>-109.9999998137355</v>
      </c>
      <c r="S33" s="197">
        <f t="shared" ref="S33:V33" si="11">S6-S11</f>
        <v>0</v>
      </c>
      <c r="T33" s="196">
        <f t="shared" si="11"/>
        <v>36422</v>
      </c>
      <c r="U33" s="181">
        <f t="shared" si="11"/>
        <v>36422</v>
      </c>
      <c r="V33" s="181">
        <f t="shared" si="11"/>
        <v>36206.5</v>
      </c>
      <c r="W33" s="180">
        <f t="shared" si="4"/>
        <v>99.408324638954483</v>
      </c>
      <c r="X33" s="197">
        <f>X6-X11</f>
        <v>41422</v>
      </c>
    </row>
    <row r="34" spans="1:24" s="322" customFormat="1" ht="9.75">
      <c r="A34" s="254" t="s">
        <v>57</v>
      </c>
      <c r="B34" s="1157" t="s">
        <v>237</v>
      </c>
      <c r="C34" s="1157"/>
      <c r="D34" s="258" t="s">
        <v>25</v>
      </c>
      <c r="E34" s="172">
        <v>28324</v>
      </c>
      <c r="F34" s="173">
        <v>28324</v>
      </c>
      <c r="G34" s="173">
        <v>33223</v>
      </c>
      <c r="H34" s="191" t="e">
        <f>#REF!/F34*100</f>
        <v>#REF!</v>
      </c>
      <c r="I34" s="237">
        <v>32223</v>
      </c>
      <c r="J34" s="213">
        <v>19168</v>
      </c>
      <c r="K34" s="183">
        <v>19168</v>
      </c>
      <c r="L34" s="183">
        <v>19000</v>
      </c>
      <c r="M34" s="185">
        <f t="shared" si="2"/>
        <v>99.123539232053432</v>
      </c>
      <c r="N34" s="214">
        <v>19046</v>
      </c>
      <c r="O34" s="239">
        <v>28324</v>
      </c>
      <c r="P34" s="240">
        <v>38324</v>
      </c>
      <c r="Q34" s="240">
        <v>33223</v>
      </c>
      <c r="R34" s="185">
        <f t="shared" si="3"/>
        <v>86.689802734578862</v>
      </c>
      <c r="S34" s="243">
        <v>32773</v>
      </c>
      <c r="T34" s="213"/>
      <c r="U34" s="183"/>
      <c r="V34" s="183"/>
      <c r="W34" s="185" t="e">
        <f t="shared" si="4"/>
        <v>#DIV/0!</v>
      </c>
      <c r="X34" s="214"/>
    </row>
    <row r="35" spans="1:24" s="322" customFormat="1" ht="9.75">
      <c r="A35" s="255" t="s">
        <v>58</v>
      </c>
      <c r="B35" s="1156" t="s">
        <v>238</v>
      </c>
      <c r="C35" s="1156"/>
      <c r="D35" s="259" t="s">
        <v>26</v>
      </c>
      <c r="E35" s="172">
        <v>21.55</v>
      </c>
      <c r="F35" s="173">
        <v>21.55</v>
      </c>
      <c r="G35" s="173">
        <v>22</v>
      </c>
      <c r="H35" s="191">
        <f>G34/F35*100</f>
        <v>154167.05336426914</v>
      </c>
      <c r="I35" s="237">
        <v>19</v>
      </c>
      <c r="J35" s="213">
        <v>1</v>
      </c>
      <c r="K35" s="183">
        <v>1</v>
      </c>
      <c r="L35" s="183">
        <v>1</v>
      </c>
      <c r="M35" s="185">
        <f t="shared" si="2"/>
        <v>100</v>
      </c>
      <c r="N35" s="322">
        <v>1</v>
      </c>
      <c r="O35" s="239">
        <v>20.55</v>
      </c>
      <c r="P35" s="240">
        <v>20.55</v>
      </c>
      <c r="Q35" s="240">
        <v>21</v>
      </c>
      <c r="R35" s="185">
        <f t="shared" si="3"/>
        <v>102.1897810218978</v>
      </c>
      <c r="S35" s="243">
        <v>18</v>
      </c>
      <c r="T35" s="213"/>
      <c r="U35" s="183"/>
      <c r="V35" s="183"/>
      <c r="W35" s="185" t="e">
        <f t="shared" si="4"/>
        <v>#DIV/0!</v>
      </c>
      <c r="X35" s="214"/>
    </row>
    <row r="36" spans="1:24" s="322" customFormat="1" ht="9.75">
      <c r="A36" s="255" t="s">
        <v>59</v>
      </c>
      <c r="B36" s="1156" t="s">
        <v>239</v>
      </c>
      <c r="C36" s="1156"/>
      <c r="D36" s="259" t="s">
        <v>26</v>
      </c>
      <c r="E36" s="172"/>
      <c r="F36" s="173"/>
      <c r="G36" s="1749"/>
      <c r="H36" s="191" t="e">
        <f>G35/F36*100</f>
        <v>#DIV/0!</v>
      </c>
      <c r="I36" s="237">
        <v>19</v>
      </c>
      <c r="J36" s="213"/>
      <c r="K36" s="183"/>
      <c r="L36" s="183"/>
      <c r="M36" s="185" t="e">
        <f t="shared" si="2"/>
        <v>#DIV/0!</v>
      </c>
      <c r="N36" s="214">
        <v>1</v>
      </c>
      <c r="O36" s="239"/>
      <c r="P36" s="240"/>
      <c r="Q36" s="240"/>
      <c r="R36" s="185" t="e">
        <f t="shared" si="3"/>
        <v>#DIV/0!</v>
      </c>
      <c r="S36" s="243">
        <v>18</v>
      </c>
      <c r="T36" s="213"/>
      <c r="U36" s="183"/>
      <c r="V36" s="183"/>
      <c r="W36" s="185" t="e">
        <f t="shared" si="4"/>
        <v>#DIV/0!</v>
      </c>
      <c r="X36" s="214"/>
    </row>
    <row r="37" spans="1:24" s="322" customFormat="1" ht="10.5" thickBot="1">
      <c r="A37" s="256" t="s">
        <v>240</v>
      </c>
      <c r="B37" s="1174" t="s">
        <v>241</v>
      </c>
      <c r="C37" s="1174"/>
      <c r="D37" s="257" t="s">
        <v>242</v>
      </c>
      <c r="E37" s="235"/>
      <c r="F37" s="236"/>
      <c r="G37" s="236"/>
      <c r="H37" s="202" t="e">
        <f t="shared" si="0"/>
        <v>#DIV/0!</v>
      </c>
      <c r="I37" s="238">
        <v>1</v>
      </c>
      <c r="J37" s="215"/>
      <c r="K37" s="216"/>
      <c r="L37" s="216"/>
      <c r="M37" s="217" t="e">
        <f t="shared" si="2"/>
        <v>#DIV/0!</v>
      </c>
      <c r="N37" s="218">
        <v>1</v>
      </c>
      <c r="O37" s="241"/>
      <c r="P37" s="242"/>
      <c r="Q37" s="242"/>
      <c r="R37" s="217" t="e">
        <f t="shared" si="3"/>
        <v>#DIV/0!</v>
      </c>
      <c r="S37" s="244">
        <v>0</v>
      </c>
      <c r="T37" s="215"/>
      <c r="U37" s="216"/>
      <c r="V37" s="216"/>
      <c r="W37" s="217" t="e">
        <f t="shared" si="4"/>
        <v>#DIV/0!</v>
      </c>
      <c r="X37" s="218"/>
    </row>
  </sheetData>
  <mergeCells count="40">
    <mergeCell ref="B37:C37"/>
    <mergeCell ref="T3:X3"/>
    <mergeCell ref="E4:E5"/>
    <mergeCell ref="F4:H4"/>
    <mergeCell ref="I4:I5"/>
    <mergeCell ref="J4:J5"/>
    <mergeCell ref="K4:M4"/>
    <mergeCell ref="N4:N5"/>
    <mergeCell ref="O4:O5"/>
    <mergeCell ref="P4:R4"/>
    <mergeCell ref="S4:S5"/>
    <mergeCell ref="T4:T5"/>
    <mergeCell ref="U4:W4"/>
    <mergeCell ref="B21:C21"/>
    <mergeCell ref="B16:C16"/>
    <mergeCell ref="B22:C22"/>
    <mergeCell ref="A3:A5"/>
    <mergeCell ref="B3:C5"/>
    <mergeCell ref="O3:S3"/>
    <mergeCell ref="A1:X1"/>
    <mergeCell ref="B35:C35"/>
    <mergeCell ref="B6:C6"/>
    <mergeCell ref="B7:C7"/>
    <mergeCell ref="B8:C8"/>
    <mergeCell ref="X4:X5"/>
    <mergeCell ref="B15:C15"/>
    <mergeCell ref="B18:C18"/>
    <mergeCell ref="D3:D5"/>
    <mergeCell ref="E3:I3"/>
    <mergeCell ref="J3:N3"/>
    <mergeCell ref="B36:C36"/>
    <mergeCell ref="B34:C34"/>
    <mergeCell ref="B10:C10"/>
    <mergeCell ref="B11:C11"/>
    <mergeCell ref="B12:C12"/>
    <mergeCell ref="B26:C26"/>
    <mergeCell ref="B29:C29"/>
    <mergeCell ref="B13:C13"/>
    <mergeCell ref="B19:C19"/>
    <mergeCell ref="B20:C20"/>
  </mergeCells>
  <pageMargins left="0.23622047244094491" right="0.23622047244094491" top="0.74803149606299213" bottom="0.74803149606299213" header="0.31496062992125984" footer="0.31496062992125984"/>
  <pageSetup paperSize="9" scale="95" firstPageNumber="128"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opLeftCell="A22" zoomScale="90" zoomScaleNormal="90" workbookViewId="0">
      <selection activeCell="D9" sqref="D9:I9"/>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278</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65184.6</v>
      </c>
      <c r="D6" s="1207"/>
      <c r="E6" s="1208"/>
      <c r="F6" s="1208"/>
      <c r="G6" s="1208"/>
      <c r="H6" s="1208"/>
      <c r="I6" s="1209"/>
    </row>
    <row r="7" spans="1:9" s="2" customFormat="1" ht="33.75" customHeight="1">
      <c r="A7" s="1199" t="s">
        <v>75</v>
      </c>
      <c r="B7" s="1200"/>
      <c r="C7" s="17">
        <v>60184.6</v>
      </c>
      <c r="D7" s="1205" t="s">
        <v>604</v>
      </c>
      <c r="E7" s="1205"/>
      <c r="F7" s="1205"/>
      <c r="G7" s="1205"/>
      <c r="H7" s="1205"/>
      <c r="I7" s="1206"/>
    </row>
    <row r="8" spans="1:9" s="281" customFormat="1" ht="27" customHeight="1">
      <c r="A8" s="1201" t="s">
        <v>76</v>
      </c>
      <c r="B8" s="1202"/>
      <c r="C8" s="18">
        <v>5000</v>
      </c>
      <c r="D8" s="1205" t="s">
        <v>605</v>
      </c>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65184.6</v>
      </c>
      <c r="D16" s="24"/>
      <c r="E16" s="24"/>
      <c r="F16" s="24"/>
      <c r="G16" s="24"/>
      <c r="H16" s="24"/>
      <c r="I16" s="24"/>
    </row>
    <row r="17" spans="1:9" s="2" customFormat="1" ht="15" customHeight="1">
      <c r="A17" s="1192"/>
      <c r="B17" s="6" t="s">
        <v>82</v>
      </c>
      <c r="C17" s="67"/>
      <c r="D17" s="25"/>
      <c r="E17" s="25"/>
      <c r="F17" s="25"/>
      <c r="G17" s="25"/>
      <c r="H17" s="25"/>
      <c r="I17" s="25"/>
    </row>
    <row r="18" spans="1:9" s="2" customFormat="1" ht="15" customHeight="1">
      <c r="A18" s="275" t="s">
        <v>414</v>
      </c>
      <c r="B18" s="7"/>
      <c r="C18" s="26">
        <f>SUM(C14:C17)</f>
        <v>65184.6</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31.5" customHeight="1">
      <c r="A23" s="68" t="s">
        <v>83</v>
      </c>
      <c r="B23" s="32">
        <v>456787.22</v>
      </c>
      <c r="C23" s="32">
        <v>136898.07999999999</v>
      </c>
      <c r="D23" s="32">
        <v>33000</v>
      </c>
      <c r="E23" s="32">
        <f>B23+C23-D23</f>
        <v>560685.29999999993</v>
      </c>
      <c r="F23" s="1194" t="s">
        <v>279</v>
      </c>
      <c r="G23" s="1195"/>
      <c r="H23" s="1195"/>
      <c r="I23" s="1196"/>
    </row>
    <row r="24" spans="1:9" s="2" customFormat="1" ht="31.5" customHeight="1">
      <c r="A24" s="69" t="s">
        <v>84</v>
      </c>
      <c r="B24" s="33">
        <v>486945.22</v>
      </c>
      <c r="C24" s="33">
        <v>932421.38</v>
      </c>
      <c r="D24" s="33">
        <v>1054346</v>
      </c>
      <c r="E24" s="33">
        <f t="shared" ref="E24:E26" si="0">B24+C24-D24</f>
        <v>365020.60000000009</v>
      </c>
      <c r="F24" s="1183" t="s">
        <v>606</v>
      </c>
      <c r="G24" s="1184"/>
      <c r="H24" s="1184"/>
      <c r="I24" s="1185"/>
    </row>
    <row r="25" spans="1:9" s="2" customFormat="1" ht="31.5" customHeight="1">
      <c r="A25" s="69" t="s">
        <v>82</v>
      </c>
      <c r="B25" s="33">
        <v>78310.67</v>
      </c>
      <c r="C25" s="33">
        <v>0</v>
      </c>
      <c r="D25" s="33">
        <v>500</v>
      </c>
      <c r="E25" s="33">
        <f t="shared" si="0"/>
        <v>77810.67</v>
      </c>
      <c r="F25" s="1183" t="s">
        <v>607</v>
      </c>
      <c r="G25" s="1184"/>
      <c r="H25" s="1184"/>
      <c r="I25" s="1185"/>
    </row>
    <row r="26" spans="1:9" s="2" customFormat="1" ht="31.5" customHeight="1">
      <c r="A26" s="70" t="s">
        <v>85</v>
      </c>
      <c r="B26" s="34">
        <v>665174.99</v>
      </c>
      <c r="C26" s="34">
        <v>385911.72</v>
      </c>
      <c r="D26" s="34">
        <v>282184</v>
      </c>
      <c r="E26" s="33">
        <f t="shared" si="0"/>
        <v>768902.71</v>
      </c>
      <c r="F26" s="1186" t="s">
        <v>608</v>
      </c>
      <c r="G26" s="1187"/>
      <c r="H26" s="1187"/>
      <c r="I26" s="1188"/>
    </row>
    <row r="27" spans="1:9" s="281" customFormat="1" ht="10.5">
      <c r="A27" s="3" t="s">
        <v>34</v>
      </c>
      <c r="B27" s="16">
        <f>SUM(B23:B26)</f>
        <v>1687218.1</v>
      </c>
      <c r="C27" s="16">
        <f t="shared" ref="C27:E27" si="1">SUM(C23:C26)</f>
        <v>1455231.18</v>
      </c>
      <c r="D27" s="16">
        <f t="shared" si="1"/>
        <v>1370030</v>
      </c>
      <c r="E27" s="16">
        <f t="shared" si="1"/>
        <v>1772419.28</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c r="B32" s="32"/>
      <c r="C32" s="8"/>
      <c r="D32" s="1215"/>
      <c r="E32" s="1216"/>
      <c r="F32" s="1216"/>
      <c r="G32" s="1216"/>
      <c r="H32" s="1216"/>
      <c r="I32" s="1217"/>
    </row>
    <row r="33" spans="1:9" s="2" customFormat="1" ht="15" customHeight="1">
      <c r="A33" s="80"/>
      <c r="B33" s="34"/>
      <c r="C33" s="13"/>
      <c r="D33" s="1218"/>
      <c r="E33" s="1219"/>
      <c r="F33" s="1219"/>
      <c r="G33" s="1219"/>
      <c r="H33" s="1219"/>
      <c r="I33" s="1220"/>
    </row>
    <row r="34" spans="1:9" s="2" customFormat="1" ht="15" customHeight="1">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c r="B40" s="32"/>
      <c r="C40" s="8"/>
      <c r="D40" s="1226"/>
      <c r="E40" s="1227"/>
      <c r="F40" s="1227"/>
      <c r="G40" s="1227"/>
      <c r="H40" s="1227"/>
      <c r="I40" s="1228"/>
    </row>
    <row r="41" spans="1:9" s="2" customFormat="1" ht="15" customHeight="1">
      <c r="A41" s="86"/>
      <c r="B41" s="33"/>
      <c r="C41" s="9"/>
      <c r="D41" s="1183"/>
      <c r="E41" s="1229"/>
      <c r="F41" s="1229"/>
      <c r="G41" s="1229"/>
      <c r="H41" s="1229"/>
      <c r="I41" s="1230"/>
    </row>
    <row r="42" spans="1:9" s="2" customFormat="1" ht="15" customHeight="1">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c r="B48" s="36"/>
      <c r="C48" s="1239"/>
      <c r="D48" s="1239"/>
      <c r="E48" s="1239"/>
      <c r="F48" s="1239"/>
      <c r="G48" s="1239"/>
      <c r="H48" s="1239"/>
      <c r="I48" s="1240"/>
    </row>
    <row r="49" spans="1:9" s="2" customFormat="1" ht="10.15" customHeight="1">
      <c r="A49" s="71"/>
      <c r="B49" s="33"/>
      <c r="C49" s="1241"/>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A51" s="16">
        <f>A48+A49+A50</f>
        <v>0</v>
      </c>
      <c r="B51" s="16">
        <f>B48+B49+B50</f>
        <v>0</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234" t="s">
        <v>259</v>
      </c>
      <c r="B55" s="1235"/>
      <c r="C55" s="56" t="s">
        <v>179</v>
      </c>
      <c r="D55" s="56" t="s">
        <v>118</v>
      </c>
      <c r="E55" s="56" t="s">
        <v>119</v>
      </c>
      <c r="F55" s="56" t="s">
        <v>244</v>
      </c>
      <c r="G55" s="56" t="s">
        <v>180</v>
      </c>
    </row>
    <row r="56" spans="1:9" s="2" customFormat="1" ht="15" customHeight="1">
      <c r="A56" s="1366" t="s">
        <v>609</v>
      </c>
      <c r="B56" s="1366"/>
      <c r="C56" s="428">
        <v>551</v>
      </c>
      <c r="D56" s="429">
        <v>32256</v>
      </c>
      <c r="E56" s="430"/>
      <c r="F56" s="431" t="s">
        <v>610</v>
      </c>
      <c r="G56" s="432"/>
    </row>
    <row r="57" spans="1:9" s="2" customFormat="1" ht="15" customHeight="1">
      <c r="A57" s="1366" t="s">
        <v>609</v>
      </c>
      <c r="B57" s="1366"/>
      <c r="C57" s="428">
        <v>551</v>
      </c>
      <c r="D57" s="433"/>
      <c r="E57" s="434">
        <v>32256</v>
      </c>
      <c r="F57" s="432"/>
      <c r="G57" s="435">
        <v>44212</v>
      </c>
    </row>
    <row r="58" spans="1:9" s="2" customFormat="1" ht="15" customHeight="1">
      <c r="A58" s="1366" t="s">
        <v>611</v>
      </c>
      <c r="B58" s="1366"/>
      <c r="C58" s="428">
        <v>672500</v>
      </c>
      <c r="D58" s="429">
        <v>380000</v>
      </c>
      <c r="E58" s="430"/>
      <c r="F58" s="432" t="s">
        <v>612</v>
      </c>
      <c r="G58" s="432"/>
    </row>
    <row r="59" spans="1:9" s="2" customFormat="1" ht="15" customHeight="1">
      <c r="A59" s="1366" t="s">
        <v>613</v>
      </c>
      <c r="B59" s="1366"/>
      <c r="C59" s="428">
        <v>511310</v>
      </c>
      <c r="D59" s="433"/>
      <c r="E59" s="434">
        <v>380000</v>
      </c>
      <c r="F59" s="432"/>
      <c r="G59" s="435">
        <v>44255</v>
      </c>
    </row>
    <row r="60" spans="1:9" s="2" customFormat="1" ht="15" customHeight="1">
      <c r="A60" s="1366" t="s">
        <v>614</v>
      </c>
      <c r="B60" s="1366"/>
      <c r="C60" s="428">
        <v>672500</v>
      </c>
      <c r="D60" s="429">
        <v>150000</v>
      </c>
      <c r="E60" s="430"/>
      <c r="F60" s="432" t="s">
        <v>612</v>
      </c>
      <c r="G60" s="432"/>
    </row>
    <row r="61" spans="1:9" s="2" customFormat="1" ht="15" customHeight="1">
      <c r="A61" s="1366" t="s">
        <v>614</v>
      </c>
      <c r="B61" s="1366"/>
      <c r="C61" s="428">
        <v>511310</v>
      </c>
      <c r="D61" s="429"/>
      <c r="E61" s="434">
        <v>150000</v>
      </c>
      <c r="F61" s="432"/>
      <c r="G61" s="435">
        <v>44255</v>
      </c>
    </row>
    <row r="62" spans="1:9" s="2" customFormat="1" ht="15" customHeight="1">
      <c r="A62" s="1366" t="s">
        <v>190</v>
      </c>
      <c r="B62" s="1366"/>
      <c r="C62" s="436"/>
      <c r="D62" s="429">
        <v>33000</v>
      </c>
      <c r="E62" s="434"/>
      <c r="F62" s="435">
        <v>44347</v>
      </c>
      <c r="G62" s="435"/>
    </row>
    <row r="63" spans="1:9" s="2" customFormat="1" ht="15" customHeight="1">
      <c r="A63" s="1366" t="s">
        <v>284</v>
      </c>
      <c r="B63" s="1366"/>
      <c r="C63" s="436">
        <v>558</v>
      </c>
      <c r="D63" s="433"/>
      <c r="E63" s="434">
        <v>33000</v>
      </c>
      <c r="F63" s="435"/>
      <c r="G63" s="435">
        <v>44347</v>
      </c>
    </row>
    <row r="64" spans="1:9" s="2" customFormat="1" ht="15" customHeight="1">
      <c r="A64" s="1366" t="s">
        <v>280</v>
      </c>
      <c r="B64" s="1366"/>
      <c r="C64" s="436">
        <v>648</v>
      </c>
      <c r="D64" s="429">
        <v>500</v>
      </c>
      <c r="E64" s="434"/>
      <c r="F64" s="432" t="s">
        <v>615</v>
      </c>
      <c r="G64" s="432"/>
    </row>
    <row r="65" spans="1:7" s="2" customFormat="1" ht="15" customHeight="1">
      <c r="A65" s="1366" t="s">
        <v>281</v>
      </c>
      <c r="B65" s="1366"/>
      <c r="C65" s="436">
        <v>521</v>
      </c>
      <c r="D65" s="433"/>
      <c r="E65" s="434">
        <v>500</v>
      </c>
      <c r="F65" s="432"/>
      <c r="G65" s="435">
        <v>44408</v>
      </c>
    </row>
    <row r="66" spans="1:7" s="2" customFormat="1" ht="15" customHeight="1">
      <c r="A66" s="1366" t="s">
        <v>282</v>
      </c>
      <c r="B66" s="1366"/>
      <c r="C66" s="436">
        <v>501</v>
      </c>
      <c r="D66" s="433"/>
      <c r="E66" s="434">
        <v>-169</v>
      </c>
      <c r="F66" s="435" t="s">
        <v>616</v>
      </c>
      <c r="G66" s="435"/>
    </row>
    <row r="67" spans="1:7" s="2" customFormat="1" ht="15" customHeight="1">
      <c r="A67" s="1366" t="s">
        <v>617</v>
      </c>
      <c r="B67" s="1366"/>
      <c r="C67" s="436">
        <v>524.52499999999998</v>
      </c>
      <c r="D67" s="433"/>
      <c r="E67" s="434">
        <v>169</v>
      </c>
      <c r="F67" s="432"/>
      <c r="G67" s="435">
        <v>44439</v>
      </c>
    </row>
    <row r="68" spans="1:7" s="2" customFormat="1" ht="15" customHeight="1">
      <c r="A68" s="1366" t="s">
        <v>283</v>
      </c>
      <c r="B68" s="1366"/>
      <c r="C68" s="436">
        <v>502</v>
      </c>
      <c r="D68" s="433"/>
      <c r="E68" s="434">
        <v>-5457.38</v>
      </c>
      <c r="F68" s="435" t="s">
        <v>618</v>
      </c>
      <c r="G68" s="435"/>
    </row>
    <row r="69" spans="1:7" s="2" customFormat="1" ht="15" customHeight="1">
      <c r="A69" s="1366" t="s">
        <v>619</v>
      </c>
      <c r="B69" s="1366"/>
      <c r="C69" s="436">
        <v>551</v>
      </c>
      <c r="D69" s="433"/>
      <c r="E69" s="434">
        <v>5457.38</v>
      </c>
      <c r="F69" s="435"/>
      <c r="G69" s="435">
        <v>44561</v>
      </c>
    </row>
    <row r="70" spans="1:7" s="2" customFormat="1" ht="15" customHeight="1">
      <c r="A70" s="1366" t="s">
        <v>283</v>
      </c>
      <c r="B70" s="1366"/>
      <c r="C70" s="436">
        <v>502</v>
      </c>
      <c r="D70" s="433"/>
      <c r="E70" s="434">
        <v>-300000</v>
      </c>
      <c r="F70" s="435">
        <v>44552</v>
      </c>
      <c r="G70" s="435"/>
    </row>
    <row r="71" spans="1:7" s="2" customFormat="1" ht="15" customHeight="1">
      <c r="A71" s="1366" t="s">
        <v>286</v>
      </c>
      <c r="B71" s="1366"/>
      <c r="C71" s="436">
        <v>511</v>
      </c>
      <c r="D71" s="433"/>
      <c r="E71" s="434">
        <v>300000</v>
      </c>
      <c r="F71" s="435"/>
      <c r="G71" s="435">
        <v>44552</v>
      </c>
    </row>
    <row r="72" spans="1:7" s="2" customFormat="1" ht="15" customHeight="1">
      <c r="A72" s="1365" t="s">
        <v>282</v>
      </c>
      <c r="B72" s="1302"/>
      <c r="C72" s="436">
        <v>501</v>
      </c>
      <c r="D72" s="433"/>
      <c r="E72" s="434">
        <v>-36207</v>
      </c>
      <c r="F72" s="435">
        <v>44561</v>
      </c>
      <c r="G72" s="435"/>
    </row>
    <row r="73" spans="1:7" s="2" customFormat="1" ht="15" customHeight="1">
      <c r="A73" s="1365" t="s">
        <v>285</v>
      </c>
      <c r="B73" s="1302"/>
      <c r="C73" s="436">
        <v>527.52800000000002</v>
      </c>
      <c r="D73" s="433"/>
      <c r="E73" s="434">
        <v>36207</v>
      </c>
      <c r="F73" s="435"/>
      <c r="G73" s="435">
        <v>44561</v>
      </c>
    </row>
    <row r="74" spans="1:7" s="2" customFormat="1" ht="15" customHeight="1">
      <c r="A74" s="1365" t="s">
        <v>620</v>
      </c>
      <c r="B74" s="1302"/>
      <c r="C74" s="436">
        <v>512</v>
      </c>
      <c r="D74" s="433"/>
      <c r="E74" s="434">
        <v>-2000</v>
      </c>
      <c r="F74" s="435">
        <v>44561</v>
      </c>
      <c r="G74" s="435"/>
    </row>
    <row r="75" spans="1:7" s="2" customFormat="1" ht="15" customHeight="1">
      <c r="A75" s="1365" t="s">
        <v>284</v>
      </c>
      <c r="B75" s="1302"/>
      <c r="C75" s="436">
        <v>511</v>
      </c>
      <c r="D75" s="433"/>
      <c r="E75" s="434">
        <v>2000</v>
      </c>
      <c r="F75" s="435"/>
      <c r="G75" s="435">
        <v>44561</v>
      </c>
    </row>
    <row r="76" spans="1:7" s="2" customFormat="1" ht="15" customHeight="1">
      <c r="A76" s="1366" t="s">
        <v>621</v>
      </c>
      <c r="B76" s="1366"/>
      <c r="C76" s="436">
        <v>513</v>
      </c>
      <c r="D76" s="433"/>
      <c r="E76" s="434">
        <v>-1000</v>
      </c>
      <c r="F76" s="435">
        <v>44561</v>
      </c>
      <c r="G76" s="435"/>
    </row>
    <row r="77" spans="1:7" s="2" customFormat="1" ht="15" customHeight="1">
      <c r="A77" s="1366" t="s">
        <v>284</v>
      </c>
      <c r="B77" s="1366"/>
      <c r="C77" s="436">
        <v>511</v>
      </c>
      <c r="D77" s="433"/>
      <c r="E77" s="434">
        <v>1000</v>
      </c>
      <c r="F77" s="435"/>
      <c r="G77" s="435">
        <v>44561</v>
      </c>
    </row>
    <row r="78" spans="1:7" s="2" customFormat="1" ht="15" customHeight="1">
      <c r="A78" s="1365" t="s">
        <v>622</v>
      </c>
      <c r="B78" s="1302"/>
      <c r="C78" s="436">
        <v>549</v>
      </c>
      <c r="D78" s="433"/>
      <c r="E78" s="434">
        <v>-8300</v>
      </c>
      <c r="F78" s="435">
        <v>44561</v>
      </c>
      <c r="G78" s="435"/>
    </row>
    <row r="79" spans="1:7" s="2" customFormat="1" ht="15" customHeight="1">
      <c r="A79" s="1365" t="s">
        <v>623</v>
      </c>
      <c r="B79" s="1302"/>
      <c r="C79" s="436">
        <v>558</v>
      </c>
      <c r="D79" s="433"/>
      <c r="E79" s="434">
        <v>8300</v>
      </c>
      <c r="F79" s="435"/>
      <c r="G79" s="435">
        <v>44561</v>
      </c>
    </row>
    <row r="80" spans="1:7" s="2" customFormat="1" ht="15" customHeight="1">
      <c r="A80" s="1365" t="s">
        <v>282</v>
      </c>
      <c r="B80" s="1302"/>
      <c r="C80" s="436">
        <v>501</v>
      </c>
      <c r="D80" s="433"/>
      <c r="E80" s="434">
        <v>-191700</v>
      </c>
      <c r="F80" s="435">
        <v>44561</v>
      </c>
      <c r="G80" s="435"/>
    </row>
    <row r="81" spans="1:9" s="2" customFormat="1" ht="15" customHeight="1">
      <c r="A81" s="1365" t="s">
        <v>284</v>
      </c>
      <c r="B81" s="1302"/>
      <c r="C81" s="436">
        <v>558</v>
      </c>
      <c r="D81" s="433"/>
      <c r="E81" s="434">
        <v>191700</v>
      </c>
      <c r="F81" s="435"/>
      <c r="G81" s="435">
        <v>44561</v>
      </c>
    </row>
    <row r="82" spans="1:9" s="2" customFormat="1" ht="15" customHeight="1">
      <c r="A82" s="1365" t="s">
        <v>282</v>
      </c>
      <c r="B82" s="1302"/>
      <c r="C82" s="436">
        <v>501</v>
      </c>
      <c r="D82" s="433"/>
      <c r="E82" s="434">
        <v>-97000</v>
      </c>
      <c r="F82" s="435">
        <v>44561</v>
      </c>
      <c r="G82" s="435"/>
    </row>
    <row r="83" spans="1:9" s="2" customFormat="1" ht="15" customHeight="1">
      <c r="A83" s="1365" t="s">
        <v>286</v>
      </c>
      <c r="B83" s="1302"/>
      <c r="C83" s="436">
        <v>511</v>
      </c>
      <c r="D83" s="433"/>
      <c r="E83" s="434">
        <v>97000</v>
      </c>
      <c r="F83" s="435"/>
      <c r="G83" s="435">
        <v>44561</v>
      </c>
    </row>
    <row r="84" spans="1:9" s="2" customFormat="1" ht="15" customHeight="1">
      <c r="A84" s="1367"/>
      <c r="B84" s="1368"/>
      <c r="C84" s="73"/>
      <c r="D84" s="73"/>
      <c r="E84" s="74"/>
      <c r="F84" s="437"/>
      <c r="G84" s="437"/>
    </row>
    <row r="85" spans="1:9" s="2" customFormat="1" ht="10.15" customHeight="1">
      <c r="A85" s="1254" t="s">
        <v>458</v>
      </c>
      <c r="B85" s="1255"/>
      <c r="C85" s="92"/>
      <c r="D85" s="93">
        <f>SUM(D56:D84)</f>
        <v>595756</v>
      </c>
      <c r="E85" s="93">
        <f>SUM(E56:E84)</f>
        <v>595756</v>
      </c>
      <c r="F85" s="1256"/>
      <c r="G85" s="1257"/>
    </row>
    <row r="86" spans="1:9" s="2" customFormat="1" ht="11.25">
      <c r="A86" s="76"/>
      <c r="B86" s="76"/>
      <c r="C86" s="37"/>
      <c r="D86" s="37"/>
      <c r="E86" s="38"/>
    </row>
    <row r="87" spans="1:9" s="2" customFormat="1" ht="11.25">
      <c r="A87" s="1261" t="s">
        <v>459</v>
      </c>
      <c r="B87" s="1261"/>
      <c r="C87" s="1261"/>
      <c r="D87" s="1261"/>
      <c r="E87" s="1261"/>
      <c r="F87" s="1261"/>
      <c r="G87" s="1261"/>
      <c r="H87" s="1261"/>
      <c r="I87" s="1261"/>
    </row>
    <row r="88" spans="1:9" s="2" customFormat="1" ht="11.25">
      <c r="A88" s="2" t="s">
        <v>90</v>
      </c>
    </row>
    <row r="89" spans="1:9" s="2" customFormat="1" ht="11.25">
      <c r="A89" s="1258" t="s">
        <v>624</v>
      </c>
      <c r="B89" s="1259"/>
      <c r="C89" s="1259"/>
      <c r="D89" s="1259"/>
      <c r="E89" s="1259"/>
      <c r="F89" s="1259"/>
      <c r="G89" s="1259"/>
      <c r="H89" s="1259"/>
      <c r="I89" s="1260"/>
    </row>
    <row r="90" spans="1:9" s="2" customFormat="1" ht="11.25">
      <c r="A90" s="1258"/>
      <c r="B90" s="1259"/>
      <c r="C90" s="1259"/>
      <c r="D90" s="1259"/>
      <c r="E90" s="1259"/>
      <c r="F90" s="1259"/>
      <c r="G90" s="1259"/>
      <c r="H90" s="1259"/>
      <c r="I90" s="1260"/>
    </row>
    <row r="91" spans="1:9" s="2" customFormat="1" ht="0.75" customHeight="1">
      <c r="A91" s="1258"/>
      <c r="B91" s="1259"/>
      <c r="C91" s="1259"/>
      <c r="D91" s="1259"/>
      <c r="E91" s="1259"/>
      <c r="F91" s="1259"/>
      <c r="G91" s="1259"/>
      <c r="H91" s="1259"/>
      <c r="I91" s="1260"/>
    </row>
    <row r="92" spans="1:9" s="2" customFormat="1" ht="11.25" hidden="1"/>
    <row r="93" spans="1:9" s="281" customFormat="1" ht="10.5">
      <c r="A93" s="1189" t="s">
        <v>461</v>
      </c>
      <c r="B93" s="1189"/>
      <c r="C93" s="1189"/>
      <c r="D93" s="1189"/>
      <c r="E93" s="1189"/>
      <c r="F93" s="1189"/>
      <c r="G93" s="1189"/>
      <c r="H93" s="1189"/>
      <c r="I93" s="1189"/>
    </row>
    <row r="94" spans="1:9" s="2" customFormat="1" ht="11.25">
      <c r="A94" s="2" t="s">
        <v>90</v>
      </c>
    </row>
    <row r="95" spans="1:9" s="2" customFormat="1" ht="50.1" customHeight="1">
      <c r="A95" s="1258" t="s">
        <v>625</v>
      </c>
      <c r="B95" s="1259"/>
      <c r="C95" s="1259"/>
      <c r="D95" s="1259"/>
      <c r="E95" s="1259"/>
      <c r="F95" s="1259"/>
      <c r="G95" s="1259"/>
      <c r="H95" s="1259"/>
      <c r="I95" s="1260"/>
    </row>
    <row r="96" spans="1:9" s="2" customFormat="1" ht="16.149999999999999" customHeight="1">
      <c r="A96" s="1258"/>
      <c r="B96" s="1259"/>
      <c r="C96" s="1259"/>
      <c r="D96" s="1259"/>
      <c r="E96" s="1259"/>
      <c r="F96" s="1259"/>
      <c r="G96" s="1259"/>
      <c r="H96" s="1259"/>
      <c r="I96" s="1260"/>
    </row>
    <row r="97" spans="1:9" s="2" customFormat="1" ht="16.149999999999999" customHeight="1">
      <c r="A97" s="76"/>
      <c r="B97" s="76"/>
      <c r="C97" s="76"/>
      <c r="D97" s="76"/>
      <c r="E97" s="76"/>
      <c r="F97" s="76"/>
      <c r="G97" s="76"/>
      <c r="H97" s="76"/>
      <c r="I97" s="76"/>
    </row>
    <row r="98" spans="1:9">
      <c r="A98" s="2" t="s">
        <v>287</v>
      </c>
    </row>
    <row r="99" spans="1:9">
      <c r="A99" s="2" t="s">
        <v>288</v>
      </c>
    </row>
    <row r="100" spans="1:9">
      <c r="A100" s="2"/>
    </row>
    <row r="101" spans="1:9">
      <c r="A101" s="2" t="s">
        <v>626</v>
      </c>
    </row>
  </sheetData>
  <mergeCells count="76">
    <mergeCell ref="A95:I95"/>
    <mergeCell ref="A96:I96"/>
    <mergeCell ref="F85:G85"/>
    <mergeCell ref="A87:I87"/>
    <mergeCell ref="A90:I90"/>
    <mergeCell ref="A91:I91"/>
    <mergeCell ref="A93:I93"/>
    <mergeCell ref="A89:I89"/>
    <mergeCell ref="A81:B81"/>
    <mergeCell ref="A82:B82"/>
    <mergeCell ref="A83:B83"/>
    <mergeCell ref="A84:B84"/>
    <mergeCell ref="A85:B85"/>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A45:I45"/>
    <mergeCell ref="F27:I27"/>
    <mergeCell ref="A29:I29"/>
    <mergeCell ref="D31:I31"/>
    <mergeCell ref="D32:I34"/>
    <mergeCell ref="C35:I35"/>
    <mergeCell ref="A37:I37"/>
    <mergeCell ref="D39:I39"/>
    <mergeCell ref="D40:I40"/>
    <mergeCell ref="D41:I41"/>
    <mergeCell ref="D42:I42"/>
    <mergeCell ref="C43:I43"/>
    <mergeCell ref="A60:B60"/>
    <mergeCell ref="C47:I47"/>
    <mergeCell ref="C48:I48"/>
    <mergeCell ref="C49:I49"/>
    <mergeCell ref="C50:I50"/>
    <mergeCell ref="C51:I51"/>
    <mergeCell ref="A53:I53"/>
    <mergeCell ref="A55:B55"/>
    <mergeCell ref="A56:B56"/>
    <mergeCell ref="A57:B57"/>
    <mergeCell ref="A58:B58"/>
    <mergeCell ref="A59:B59"/>
    <mergeCell ref="A72:B72"/>
    <mergeCell ref="A61:B61"/>
    <mergeCell ref="A62:B62"/>
    <mergeCell ref="A63:B63"/>
    <mergeCell ref="A64:B64"/>
    <mergeCell ref="A65:B65"/>
    <mergeCell ref="A66:B66"/>
    <mergeCell ref="A67:B67"/>
    <mergeCell ref="A68:B68"/>
    <mergeCell ref="A69:B69"/>
    <mergeCell ref="A70:B70"/>
    <mergeCell ref="A71:B71"/>
    <mergeCell ref="A79:B79"/>
    <mergeCell ref="A80:B80"/>
    <mergeCell ref="A73:B73"/>
    <mergeCell ref="A76:B76"/>
    <mergeCell ref="A78:B78"/>
    <mergeCell ref="A74:B74"/>
    <mergeCell ref="A75:B75"/>
    <mergeCell ref="A77:B77"/>
  </mergeCells>
  <pageMargins left="0.23622047244094491" right="0.23622047244094491" top="0.74803149606299213" bottom="0.74803149606299213" header="0.31496062992125984" footer="0.31496062992125984"/>
  <pageSetup paperSize="9" firstPageNumber="146" fitToHeight="4"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opLeftCell="H1" zoomScale="130" zoomScaleNormal="130" workbookViewId="0">
      <selection activeCell="E10" sqref="E10"/>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26" width="6.5" style="114"/>
    <col min="27" max="27" width="10.5" style="114" bestFit="1" customWidth="1"/>
    <col min="28" max="16384" width="6.5" style="114"/>
  </cols>
  <sheetData>
    <row r="1" spans="1:24" s="72" customFormat="1" ht="15.75">
      <c r="A1" s="1262" t="s">
        <v>112</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317"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315" customFormat="1" ht="9.75" customHeight="1">
      <c r="A6" s="247" t="s">
        <v>0</v>
      </c>
      <c r="B6" s="1172" t="s">
        <v>1</v>
      </c>
      <c r="C6" s="1172"/>
      <c r="D6" s="248" t="s">
        <v>25</v>
      </c>
      <c r="E6" s="249">
        <f>SUM(E7:E9)</f>
        <v>51371284</v>
      </c>
      <c r="F6" s="250">
        <f>SUM(F7:F9)</f>
        <v>52175052</v>
      </c>
      <c r="G6" s="250">
        <f>SUM(G7:G9)</f>
        <v>51691100.850000001</v>
      </c>
      <c r="H6" s="251">
        <f t="shared" ref="H6:H37" si="0">G6/F6*100</f>
        <v>99.072447210977387</v>
      </c>
      <c r="I6" s="252">
        <f>SUM(I7:I9)</f>
        <v>46405061.419999994</v>
      </c>
      <c r="J6" s="249">
        <f>SUM(J7:J9)</f>
        <v>7345955</v>
      </c>
      <c r="K6" s="250">
        <f t="shared" ref="K6:X6" si="1">SUM(K7:K9)</f>
        <v>8471710</v>
      </c>
      <c r="L6" s="250">
        <f t="shared" si="1"/>
        <v>7987758.8799999999</v>
      </c>
      <c r="M6" s="251">
        <f t="shared" ref="M6:M37" si="2">L6/K6*100</f>
        <v>94.287444683540869</v>
      </c>
      <c r="N6" s="252">
        <f t="shared" si="1"/>
        <v>7480551.9399999995</v>
      </c>
      <c r="O6" s="249">
        <f t="shared" si="1"/>
        <v>44025329</v>
      </c>
      <c r="P6" s="250">
        <f t="shared" si="1"/>
        <v>43703342</v>
      </c>
      <c r="Q6" s="250">
        <f t="shared" si="1"/>
        <v>43703341.970000006</v>
      </c>
      <c r="R6" s="251">
        <f t="shared" ref="R6:R37" si="3">Q6/P6*100</f>
        <v>99.999999931355376</v>
      </c>
      <c r="S6" s="252">
        <f t="shared" si="1"/>
        <v>38924509.479999997</v>
      </c>
      <c r="T6" s="249">
        <f t="shared" si="1"/>
        <v>600000</v>
      </c>
      <c r="U6" s="250">
        <f t="shared" si="1"/>
        <v>510000</v>
      </c>
      <c r="V6" s="250">
        <f t="shared" si="1"/>
        <v>492004.69</v>
      </c>
      <c r="W6" s="251">
        <f t="shared" ref="W6:W37" si="4">V6/U6*100</f>
        <v>96.47150784313726</v>
      </c>
      <c r="X6" s="252">
        <f t="shared" si="1"/>
        <v>435250.5</v>
      </c>
    </row>
    <row r="7" spans="1:24" s="315" customFormat="1" ht="9.75">
      <c r="A7" s="230" t="s">
        <v>2</v>
      </c>
      <c r="B7" s="1160" t="s">
        <v>44</v>
      </c>
      <c r="C7" s="1160"/>
      <c r="D7" s="245" t="s">
        <v>25</v>
      </c>
      <c r="E7" s="198">
        <f t="shared" ref="E7:G10" si="5">SUM(J7,O7)</f>
        <v>2894955</v>
      </c>
      <c r="F7" s="184">
        <f t="shared" si="5"/>
        <v>3078280.4</v>
      </c>
      <c r="G7" s="184">
        <f t="shared" si="5"/>
        <v>2594390.77</v>
      </c>
      <c r="H7" s="185">
        <f t="shared" si="0"/>
        <v>84.280521358613086</v>
      </c>
      <c r="I7" s="199">
        <f>SUM(N7,S7)</f>
        <v>1538930.81</v>
      </c>
      <c r="J7" s="203">
        <v>2894955</v>
      </c>
      <c r="K7" s="186">
        <v>2843555</v>
      </c>
      <c r="L7" s="186">
        <f>2244923.2+59743+55000</f>
        <v>2359666.2000000002</v>
      </c>
      <c r="M7" s="185">
        <f t="shared" si="2"/>
        <v>82.982963227368572</v>
      </c>
      <c r="N7" s="186">
        <f>[1]List2!$F$279-[1]List2!$F$294-[1]List2!$F$295</f>
        <v>1534850.81</v>
      </c>
      <c r="O7" s="154">
        <v>0</v>
      </c>
      <c r="P7" s="186">
        <v>234725.4</v>
      </c>
      <c r="Q7" s="186">
        <v>234724.57</v>
      </c>
      <c r="R7" s="185">
        <f t="shared" si="3"/>
        <v>99.999646395319814</v>
      </c>
      <c r="S7" s="186">
        <v>4080</v>
      </c>
      <c r="T7" s="219">
        <v>600000</v>
      </c>
      <c r="U7" s="186">
        <v>423000</v>
      </c>
      <c r="V7" s="186">
        <f>366030+39856</f>
        <v>405886</v>
      </c>
      <c r="W7" s="185">
        <f t="shared" si="4"/>
        <v>95.954137115839245</v>
      </c>
      <c r="X7" s="186">
        <v>400093</v>
      </c>
    </row>
    <row r="8" spans="1:24" s="315" customFormat="1" ht="9.75">
      <c r="A8" s="231" t="s">
        <v>3</v>
      </c>
      <c r="B8" s="1173" t="s">
        <v>45</v>
      </c>
      <c r="C8" s="1173"/>
      <c r="D8" s="245" t="s">
        <v>25</v>
      </c>
      <c r="E8" s="198">
        <f t="shared" si="5"/>
        <v>1000</v>
      </c>
      <c r="F8" s="184">
        <f t="shared" si="5"/>
        <v>2400</v>
      </c>
      <c r="G8" s="184">
        <f t="shared" si="5"/>
        <v>2337.88</v>
      </c>
      <c r="H8" s="185">
        <f t="shared" si="0"/>
        <v>97.411666666666676</v>
      </c>
      <c r="I8" s="199">
        <f>SUM(N8,S8)</f>
        <v>2721.13</v>
      </c>
      <c r="J8" s="205">
        <v>1000</v>
      </c>
      <c r="K8" s="184">
        <v>2400</v>
      </c>
      <c r="L8" s="184">
        <v>2337.88</v>
      </c>
      <c r="M8" s="185">
        <f t="shared" si="2"/>
        <v>97.411666666666676</v>
      </c>
      <c r="N8" s="184">
        <f>[1]List2!$F$294+[1]List2!$F$295</f>
        <v>2721.13</v>
      </c>
      <c r="O8" s="155">
        <v>0</v>
      </c>
      <c r="P8" s="184"/>
      <c r="Q8" s="184"/>
      <c r="R8" s="185" t="e">
        <f t="shared" si="3"/>
        <v>#DIV/0!</v>
      </c>
      <c r="S8" s="184">
        <v>0</v>
      </c>
      <c r="T8" s="198">
        <v>0</v>
      </c>
      <c r="U8" s="184">
        <v>0</v>
      </c>
      <c r="V8" s="184">
        <v>0</v>
      </c>
      <c r="W8" s="185" t="e">
        <f t="shared" si="4"/>
        <v>#DIV/0!</v>
      </c>
      <c r="X8" s="184">
        <v>0</v>
      </c>
    </row>
    <row r="9" spans="1:24" s="315" customFormat="1" ht="9.75">
      <c r="A9" s="231" t="s">
        <v>4</v>
      </c>
      <c r="B9" s="187" t="s">
        <v>60</v>
      </c>
      <c r="C9" s="262"/>
      <c r="D9" s="245" t="s">
        <v>25</v>
      </c>
      <c r="E9" s="198">
        <f t="shared" si="5"/>
        <v>48475329</v>
      </c>
      <c r="F9" s="184">
        <f t="shared" si="5"/>
        <v>49094371.600000001</v>
      </c>
      <c r="G9" s="184">
        <f t="shared" si="5"/>
        <v>49094372.200000003</v>
      </c>
      <c r="H9" s="185">
        <f t="shared" si="0"/>
        <v>100.00000122213602</v>
      </c>
      <c r="I9" s="199">
        <f>SUM(N9,S9)</f>
        <v>44863409.479999997</v>
      </c>
      <c r="J9" s="205">
        <v>4450000</v>
      </c>
      <c r="K9" s="184">
        <v>5625755</v>
      </c>
      <c r="L9" s="184">
        <v>5625754.7999999998</v>
      </c>
      <c r="M9" s="185">
        <f t="shared" si="2"/>
        <v>99.999996444921607</v>
      </c>
      <c r="N9" s="184">
        <f>[1]List2!$F$226</f>
        <v>5942980</v>
      </c>
      <c r="O9" s="155">
        <v>44025329</v>
      </c>
      <c r="P9" s="184">
        <v>43468616.600000001</v>
      </c>
      <c r="Q9" s="184">
        <f>1056092.41+225785.68+42106799+79940.31</f>
        <v>43468617.400000006</v>
      </c>
      <c r="R9" s="185">
        <f t="shared" si="3"/>
        <v>100.00000184040825</v>
      </c>
      <c r="S9" s="184">
        <f>35157.5+37936330+896816.98+17948+8785+25392</f>
        <v>38920429.479999997</v>
      </c>
      <c r="T9" s="198">
        <v>0</v>
      </c>
      <c r="U9" s="184">
        <v>87000</v>
      </c>
      <c r="V9" s="184">
        <v>86118.69</v>
      </c>
      <c r="W9" s="185">
        <f t="shared" si="4"/>
        <v>98.987000000000009</v>
      </c>
      <c r="X9" s="184">
        <f>35157.5</f>
        <v>35157.5</v>
      </c>
    </row>
    <row r="10" spans="1:24" s="315" customFormat="1" ht="9.75">
      <c r="A10" s="229" t="s">
        <v>5</v>
      </c>
      <c r="B10" s="1158" t="s">
        <v>7</v>
      </c>
      <c r="C10" s="1158"/>
      <c r="D10" s="245" t="s">
        <v>25</v>
      </c>
      <c r="E10" s="200">
        <f t="shared" si="5"/>
        <v>0</v>
      </c>
      <c r="F10" s="182">
        <f t="shared" si="5"/>
        <v>0</v>
      </c>
      <c r="G10" s="182">
        <f t="shared" si="5"/>
        <v>0</v>
      </c>
      <c r="H10" s="180" t="e">
        <f t="shared" si="0"/>
        <v>#DIV/0!</v>
      </c>
      <c r="I10" s="201">
        <f>SUM(N10,S10)</f>
        <v>0</v>
      </c>
      <c r="J10" s="206"/>
      <c r="K10" s="182"/>
      <c r="L10" s="182"/>
      <c r="M10" s="180" t="e">
        <f t="shared" si="2"/>
        <v>#DIV/0!</v>
      </c>
      <c r="N10" s="201"/>
      <c r="O10" s="200"/>
      <c r="P10" s="182"/>
      <c r="Q10" s="182"/>
      <c r="R10" s="180" t="e">
        <f t="shared" si="3"/>
        <v>#DIV/0!</v>
      </c>
      <c r="S10" s="201"/>
      <c r="T10" s="200"/>
      <c r="U10" s="182"/>
      <c r="V10" s="182"/>
      <c r="W10" s="180" t="e">
        <f t="shared" si="4"/>
        <v>#DIV/0!</v>
      </c>
      <c r="X10" s="201"/>
    </row>
    <row r="11" spans="1:24" s="315" customFormat="1" ht="9.75">
      <c r="A11" s="229" t="s">
        <v>6</v>
      </c>
      <c r="B11" s="1158" t="s">
        <v>9</v>
      </c>
      <c r="C11" s="1158"/>
      <c r="D11" s="245" t="s">
        <v>25</v>
      </c>
      <c r="E11" s="196">
        <f>SUM(E12:E31)</f>
        <v>51371284</v>
      </c>
      <c r="F11" s="181">
        <f>SUM(F12:F31)</f>
        <v>52175051.800000004</v>
      </c>
      <c r="G11" s="181">
        <f>SUM(G12:G31)</f>
        <v>51603839.640000001</v>
      </c>
      <c r="H11" s="180">
        <f t="shared" si="0"/>
        <v>98.905200588607741</v>
      </c>
      <c r="I11" s="197">
        <f>SUM(I12:I31)</f>
        <v>46402850.480000004</v>
      </c>
      <c r="J11" s="196">
        <f>SUM(J12:J31)</f>
        <v>7345955</v>
      </c>
      <c r="K11" s="181">
        <f>SUM(K12:K31)</f>
        <v>8471710.1999999993</v>
      </c>
      <c r="L11" s="181">
        <f>SUM(L12:L31)</f>
        <v>7900497.6699999999</v>
      </c>
      <c r="M11" s="180">
        <f t="shared" si="2"/>
        <v>93.257411826953202</v>
      </c>
      <c r="N11" s="197">
        <f>SUM(N12:N31)</f>
        <v>7478340.9999999991</v>
      </c>
      <c r="O11" s="196">
        <f>SUM(O12:O31)</f>
        <v>44025329</v>
      </c>
      <c r="P11" s="181">
        <f>SUM(P12:P31)</f>
        <v>43703341.600000001</v>
      </c>
      <c r="Q11" s="181">
        <f>SUM(Q12:Q31)</f>
        <v>43703341.969999999</v>
      </c>
      <c r="R11" s="180">
        <f t="shared" si="3"/>
        <v>100.00000084661718</v>
      </c>
      <c r="S11" s="197">
        <f>SUM(S12:S31)</f>
        <v>38924509.479999997</v>
      </c>
      <c r="T11" s="196">
        <f>SUM(T12:T31)</f>
        <v>451745</v>
      </c>
      <c r="U11" s="181">
        <f>SUM(U12:U31)</f>
        <v>497357</v>
      </c>
      <c r="V11" s="181">
        <f>SUM(V12:V31)</f>
        <v>486018.99000000005</v>
      </c>
      <c r="W11" s="180">
        <f t="shared" si="4"/>
        <v>97.720347758250114</v>
      </c>
      <c r="X11" s="197">
        <f>SUM(X12:X31)</f>
        <v>311485.58</v>
      </c>
    </row>
    <row r="12" spans="1:24" s="315" customFormat="1" ht="9.75">
      <c r="A12" s="232" t="s">
        <v>8</v>
      </c>
      <c r="B12" s="1159" t="s">
        <v>28</v>
      </c>
      <c r="C12" s="1159"/>
      <c r="D12" s="245" t="s">
        <v>25</v>
      </c>
      <c r="E12" s="198">
        <f>SUM(J12,O12)</f>
        <v>3279373</v>
      </c>
      <c r="F12" s="184">
        <f t="shared" ref="E12:I27" si="6">SUM(K12,P12)</f>
        <v>3191119.9</v>
      </c>
      <c r="G12" s="184">
        <f t="shared" si="6"/>
        <v>2740478.9</v>
      </c>
      <c r="H12" s="185">
        <f t="shared" si="0"/>
        <v>85.878280537186953</v>
      </c>
      <c r="I12" s="199">
        <f t="shared" si="6"/>
        <v>2033215.3800000004</v>
      </c>
      <c r="J12" s="207">
        <v>2605000</v>
      </c>
      <c r="K12" s="188">
        <f>2482861-4000</f>
        <v>2478861</v>
      </c>
      <c r="L12" s="188">
        <f>2028219.48</f>
        <v>2028219.48</v>
      </c>
      <c r="M12" s="185">
        <f t="shared" si="2"/>
        <v>81.820621648410295</v>
      </c>
      <c r="N12" s="188">
        <f>[1]List2!$F$22</f>
        <v>1726673.4800000002</v>
      </c>
      <c r="O12" s="157">
        <f>474373+200000</f>
        <v>674373</v>
      </c>
      <c r="P12" s="188">
        <v>712258.9</v>
      </c>
      <c r="Q12" s="188">
        <f>428661.13+64649.72+218948.57</f>
        <v>712259.41999999993</v>
      </c>
      <c r="R12" s="185">
        <f t="shared" si="3"/>
        <v>100.00007300716072</v>
      </c>
      <c r="S12" s="188">
        <f>254266.42+48963.48+3312</f>
        <v>306541.90000000002</v>
      </c>
      <c r="T12" s="220">
        <v>28300</v>
      </c>
      <c r="U12" s="188">
        <v>28300</v>
      </c>
      <c r="V12" s="188">
        <v>19345.93</v>
      </c>
      <c r="W12" s="185">
        <f t="shared" si="4"/>
        <v>68.360176678445228</v>
      </c>
      <c r="X12" s="188">
        <v>17119.32</v>
      </c>
    </row>
    <row r="13" spans="1:24" s="315" customFormat="1" ht="9.75">
      <c r="A13" s="230" t="s">
        <v>10</v>
      </c>
      <c r="B13" s="1160" t="s">
        <v>29</v>
      </c>
      <c r="C13" s="1160"/>
      <c r="D13" s="245" t="s">
        <v>25</v>
      </c>
      <c r="E13" s="198">
        <f t="shared" si="6"/>
        <v>2035800</v>
      </c>
      <c r="F13" s="184">
        <f t="shared" si="6"/>
        <v>1800000</v>
      </c>
      <c r="G13" s="184">
        <f t="shared" si="6"/>
        <v>1799802.15</v>
      </c>
      <c r="H13" s="185">
        <f t="shared" si="0"/>
        <v>99.989008333333331</v>
      </c>
      <c r="I13" s="199">
        <f t="shared" si="6"/>
        <v>1368619.81</v>
      </c>
      <c r="J13" s="207">
        <v>2035800</v>
      </c>
      <c r="K13" s="184">
        <f>2035800-235800</f>
        <v>1800000</v>
      </c>
      <c r="L13" s="184">
        <f>1799802.15</f>
        <v>1799802.15</v>
      </c>
      <c r="M13" s="185">
        <f t="shared" si="2"/>
        <v>99.989008333333331</v>
      </c>
      <c r="N13" s="184">
        <f>1545105.77-X13</f>
        <v>1368619.81</v>
      </c>
      <c r="O13" s="155">
        <v>0</v>
      </c>
      <c r="P13" s="184">
        <v>0</v>
      </c>
      <c r="Q13" s="184">
        <v>0</v>
      </c>
      <c r="R13" s="185" t="e">
        <f t="shared" si="3"/>
        <v>#DIV/0!</v>
      </c>
      <c r="S13" s="184">
        <v>0</v>
      </c>
      <c r="T13" s="198">
        <v>244200</v>
      </c>
      <c r="U13" s="184">
        <v>244200</v>
      </c>
      <c r="V13" s="184">
        <f>241486.78+2570</f>
        <v>244056.78</v>
      </c>
      <c r="W13" s="185">
        <f t="shared" si="4"/>
        <v>99.941351351351344</v>
      </c>
      <c r="X13" s="184">
        <f>53971.24+87956.77+34557.95</f>
        <v>176485.96000000002</v>
      </c>
    </row>
    <row r="14" spans="1:24" s="315" customFormat="1" ht="9.75">
      <c r="A14" s="230" t="s">
        <v>11</v>
      </c>
      <c r="B14" s="260" t="s">
        <v>61</v>
      </c>
      <c r="C14" s="260"/>
      <c r="D14" s="245" t="s">
        <v>25</v>
      </c>
      <c r="E14" s="198">
        <f t="shared" si="6"/>
        <v>13500</v>
      </c>
      <c r="F14" s="184">
        <f t="shared" si="6"/>
        <v>13500</v>
      </c>
      <c r="G14" s="184">
        <f t="shared" si="6"/>
        <v>8040</v>
      </c>
      <c r="H14" s="185">
        <f t="shared" si="0"/>
        <v>59.55555555555555</v>
      </c>
      <c r="I14" s="199">
        <f t="shared" si="6"/>
        <v>10980</v>
      </c>
      <c r="J14" s="207">
        <v>13500</v>
      </c>
      <c r="K14" s="184">
        <v>13500</v>
      </c>
      <c r="L14" s="184">
        <v>8040</v>
      </c>
      <c r="M14" s="185">
        <f t="shared" si="2"/>
        <v>59.55555555555555</v>
      </c>
      <c r="N14" s="184">
        <f>[1]List2!$F$87</f>
        <v>10980</v>
      </c>
      <c r="O14" s="155">
        <v>0</v>
      </c>
      <c r="P14" s="184">
        <v>0</v>
      </c>
      <c r="Q14" s="184">
        <v>0</v>
      </c>
      <c r="R14" s="185" t="e">
        <f t="shared" si="3"/>
        <v>#DIV/0!</v>
      </c>
      <c r="S14" s="184">
        <v>0</v>
      </c>
      <c r="T14" s="198">
        <v>0</v>
      </c>
      <c r="U14" s="184"/>
      <c r="V14" s="184">
        <v>0</v>
      </c>
      <c r="W14" s="185" t="e">
        <f t="shared" si="4"/>
        <v>#DIV/0!</v>
      </c>
      <c r="X14" s="184">
        <v>0</v>
      </c>
    </row>
    <row r="15" spans="1:24" s="315" customFormat="1" ht="9.75">
      <c r="A15" s="230" t="s">
        <v>12</v>
      </c>
      <c r="B15" s="1160" t="s">
        <v>62</v>
      </c>
      <c r="C15" s="1160"/>
      <c r="D15" s="245" t="s">
        <v>25</v>
      </c>
      <c r="E15" s="198">
        <f t="shared" si="6"/>
        <v>540000</v>
      </c>
      <c r="F15" s="184">
        <f t="shared" si="6"/>
        <v>1238632</v>
      </c>
      <c r="G15" s="184">
        <f t="shared" si="6"/>
        <v>1191785.3899999999</v>
      </c>
      <c r="H15" s="185">
        <f t="shared" si="0"/>
        <v>96.217875042789132</v>
      </c>
      <c r="I15" s="199">
        <f t="shared" si="6"/>
        <v>1762708.2999999998</v>
      </c>
      <c r="J15" s="207">
        <v>535000</v>
      </c>
      <c r="K15" s="184">
        <f>J15+350000+37632+161000+155000</f>
        <v>1238632</v>
      </c>
      <c r="L15" s="184">
        <v>1191785.3899999999</v>
      </c>
      <c r="M15" s="185">
        <f t="shared" si="2"/>
        <v>96.217875042789132</v>
      </c>
      <c r="N15" s="184">
        <f>[1]List2!$F$94</f>
        <v>1762708.2999999998</v>
      </c>
      <c r="O15" s="155">
        <v>5000</v>
      </c>
      <c r="P15" s="184">
        <v>0</v>
      </c>
      <c r="Q15" s="184">
        <v>0</v>
      </c>
      <c r="R15" s="185" t="e">
        <f t="shared" si="3"/>
        <v>#DIV/0!</v>
      </c>
      <c r="S15" s="184">
        <v>0</v>
      </c>
      <c r="T15" s="198">
        <v>10000</v>
      </c>
      <c r="U15" s="184"/>
      <c r="V15" s="184">
        <v>0</v>
      </c>
      <c r="W15" s="185" t="e">
        <f t="shared" si="4"/>
        <v>#DIV/0!</v>
      </c>
      <c r="X15" s="184">
        <v>0</v>
      </c>
    </row>
    <row r="16" spans="1:24" s="315" customFormat="1" ht="9.75">
      <c r="A16" s="230" t="s">
        <v>13</v>
      </c>
      <c r="B16" s="1160" t="s">
        <v>30</v>
      </c>
      <c r="C16" s="1160"/>
      <c r="D16" s="245" t="s">
        <v>25</v>
      </c>
      <c r="E16" s="198">
        <f t="shared" si="6"/>
        <v>9000</v>
      </c>
      <c r="F16" s="184">
        <f t="shared" si="6"/>
        <v>8328.9</v>
      </c>
      <c r="G16" s="184">
        <f t="shared" si="6"/>
        <v>8329</v>
      </c>
      <c r="H16" s="185">
        <f t="shared" si="0"/>
        <v>100.0012006387398</v>
      </c>
      <c r="I16" s="199">
        <f t="shared" si="6"/>
        <v>18466</v>
      </c>
      <c r="J16" s="207">
        <v>4000</v>
      </c>
      <c r="K16" s="184">
        <v>0</v>
      </c>
      <c r="L16" s="184">
        <v>0</v>
      </c>
      <c r="M16" s="185" t="e">
        <f t="shared" si="2"/>
        <v>#DIV/0!</v>
      </c>
      <c r="N16" s="184">
        <f>[1]List2!$F$104</f>
        <v>0</v>
      </c>
      <c r="O16" s="155">
        <v>5000</v>
      </c>
      <c r="P16" s="184">
        <v>8328.9</v>
      </c>
      <c r="Q16" s="184">
        <f>8329</f>
        <v>8329</v>
      </c>
      <c r="R16" s="185">
        <f t="shared" si="3"/>
        <v>100.0012006387398</v>
      </c>
      <c r="S16" s="184">
        <f>18466</f>
        <v>18466</v>
      </c>
      <c r="T16" s="198">
        <v>0</v>
      </c>
      <c r="U16" s="184"/>
      <c r="V16" s="184">
        <v>0</v>
      </c>
      <c r="W16" s="185" t="e">
        <f t="shared" si="4"/>
        <v>#DIV/0!</v>
      </c>
      <c r="X16" s="184">
        <v>0</v>
      </c>
    </row>
    <row r="17" spans="1:24" s="315" customFormat="1" ht="9.75">
      <c r="A17" s="230" t="s">
        <v>14</v>
      </c>
      <c r="B17" s="260" t="s">
        <v>46</v>
      </c>
      <c r="C17" s="260"/>
      <c r="D17" s="245" t="s">
        <v>25</v>
      </c>
      <c r="E17" s="198">
        <f t="shared" si="6"/>
        <v>2500</v>
      </c>
      <c r="F17" s="184">
        <f t="shared" si="6"/>
        <v>2600</v>
      </c>
      <c r="G17" s="184">
        <f t="shared" si="6"/>
        <v>2565</v>
      </c>
      <c r="H17" s="185">
        <f t="shared" si="0"/>
        <v>98.65384615384616</v>
      </c>
      <c r="I17" s="199">
        <f t="shared" si="6"/>
        <v>1573</v>
      </c>
      <c r="J17" s="207">
        <v>2500</v>
      </c>
      <c r="K17" s="184">
        <v>2600</v>
      </c>
      <c r="L17" s="184">
        <v>2565</v>
      </c>
      <c r="M17" s="185">
        <f t="shared" si="2"/>
        <v>98.65384615384616</v>
      </c>
      <c r="N17" s="184">
        <f>[1]List2!$F$112</f>
        <v>1573</v>
      </c>
      <c r="O17" s="155">
        <v>0</v>
      </c>
      <c r="P17" s="184">
        <v>0</v>
      </c>
      <c r="Q17" s="184">
        <v>0</v>
      </c>
      <c r="R17" s="185" t="e">
        <f t="shared" si="3"/>
        <v>#DIV/0!</v>
      </c>
      <c r="S17" s="184">
        <v>0</v>
      </c>
      <c r="T17" s="198">
        <v>0</v>
      </c>
      <c r="U17" s="184"/>
      <c r="V17" s="184">
        <v>0</v>
      </c>
      <c r="W17" s="185" t="e">
        <f t="shared" si="4"/>
        <v>#DIV/0!</v>
      </c>
      <c r="X17" s="184">
        <v>0</v>
      </c>
    </row>
    <row r="18" spans="1:24" s="315" customFormat="1" ht="9.75">
      <c r="A18" s="230" t="s">
        <v>15</v>
      </c>
      <c r="B18" s="1160" t="s">
        <v>31</v>
      </c>
      <c r="C18" s="1160"/>
      <c r="D18" s="245" t="s">
        <v>25</v>
      </c>
      <c r="E18" s="198">
        <f t="shared" si="6"/>
        <v>814454</v>
      </c>
      <c r="F18" s="184">
        <f t="shared" si="6"/>
        <v>738597.4</v>
      </c>
      <c r="G18" s="184">
        <f t="shared" si="6"/>
        <v>731855.90999999992</v>
      </c>
      <c r="H18" s="185">
        <f t="shared" si="0"/>
        <v>99.087257821378728</v>
      </c>
      <c r="I18" s="199">
        <f t="shared" si="6"/>
        <v>650882.29</v>
      </c>
      <c r="J18" s="207">
        <v>524689</v>
      </c>
      <c r="K18" s="184">
        <v>473589</v>
      </c>
      <c r="L18" s="184">
        <f>466581.6+266</f>
        <v>466847.6</v>
      </c>
      <c r="M18" s="185">
        <f t="shared" si="2"/>
        <v>98.576529437972582</v>
      </c>
      <c r="N18" s="184">
        <f>[1]List2!$F$118</f>
        <v>565418.29</v>
      </c>
      <c r="O18" s="155">
        <f>180000+109765</f>
        <v>289765</v>
      </c>
      <c r="P18" s="184">
        <v>265008.40000000002</v>
      </c>
      <c r="Q18" s="184">
        <f>114455.31+150553</f>
        <v>265008.31</v>
      </c>
      <c r="R18" s="185">
        <f t="shared" si="3"/>
        <v>99.999966038812346</v>
      </c>
      <c r="S18" s="184">
        <f>66328+10351+8785</f>
        <v>85464</v>
      </c>
      <c r="T18" s="198">
        <v>5250</v>
      </c>
      <c r="U18" s="184">
        <v>5250</v>
      </c>
      <c r="V18" s="184">
        <v>3487.62</v>
      </c>
      <c r="W18" s="185">
        <f t="shared" si="4"/>
        <v>66.430857142857135</v>
      </c>
      <c r="X18" s="184">
        <v>5102.78</v>
      </c>
    </row>
    <row r="19" spans="1:24" s="318" customFormat="1" ht="9.75">
      <c r="A19" s="230" t="s">
        <v>16</v>
      </c>
      <c r="B19" s="1160" t="s">
        <v>32</v>
      </c>
      <c r="C19" s="1160"/>
      <c r="D19" s="245" t="s">
        <v>25</v>
      </c>
      <c r="E19" s="198">
        <f t="shared" si="6"/>
        <v>31382347</v>
      </c>
      <c r="F19" s="184">
        <f t="shared" si="6"/>
        <v>31339125</v>
      </c>
      <c r="G19" s="184">
        <f t="shared" si="6"/>
        <v>31339125</v>
      </c>
      <c r="H19" s="185">
        <f t="shared" si="0"/>
        <v>100</v>
      </c>
      <c r="I19" s="199">
        <f t="shared" si="6"/>
        <v>28049249</v>
      </c>
      <c r="J19" s="209">
        <v>173812</v>
      </c>
      <c r="K19" s="184">
        <f>J19-37632-10050+12400</f>
        <v>138530</v>
      </c>
      <c r="L19" s="184">
        <v>138530</v>
      </c>
      <c r="M19" s="185">
        <f t="shared" si="2"/>
        <v>100</v>
      </c>
      <c r="N19" s="184">
        <f>[1]List2!$F$158</f>
        <v>139774.68</v>
      </c>
      <c r="O19" s="155">
        <f>29708535+1500000</f>
        <v>31208535</v>
      </c>
      <c r="P19" s="184">
        <v>31200595</v>
      </c>
      <c r="Q19" s="184">
        <f>30359588+190296+589558+55579+5574</f>
        <v>31200595</v>
      </c>
      <c r="R19" s="185">
        <f t="shared" si="3"/>
        <v>100</v>
      </c>
      <c r="S19" s="184">
        <f>26567.32+27172857+674754+13216+22080</f>
        <v>27909474.32</v>
      </c>
      <c r="T19" s="225">
        <v>20000</v>
      </c>
      <c r="U19" s="190">
        <v>86769</v>
      </c>
      <c r="V19" s="190">
        <v>86769</v>
      </c>
      <c r="W19" s="185">
        <f t="shared" si="4"/>
        <v>100</v>
      </c>
      <c r="X19" s="190">
        <v>32214</v>
      </c>
    </row>
    <row r="20" spans="1:24" s="315" customFormat="1" ht="9.75">
      <c r="A20" s="230" t="s">
        <v>17</v>
      </c>
      <c r="B20" s="1160" t="s">
        <v>47</v>
      </c>
      <c r="C20" s="1160"/>
      <c r="D20" s="245" t="s">
        <v>25</v>
      </c>
      <c r="E20" s="198">
        <f t="shared" si="6"/>
        <v>10548485</v>
      </c>
      <c r="F20" s="184">
        <f t="shared" si="6"/>
        <v>10456071.199999999</v>
      </c>
      <c r="G20" s="184">
        <f t="shared" si="6"/>
        <v>10456071.069999998</v>
      </c>
      <c r="H20" s="185">
        <f t="shared" si="0"/>
        <v>99.999998756703178</v>
      </c>
      <c r="I20" s="199">
        <f t="shared" si="6"/>
        <v>9404438.6300000008</v>
      </c>
      <c r="J20" s="207">
        <v>0</v>
      </c>
      <c r="K20" s="184">
        <v>4191.2</v>
      </c>
      <c r="L20" s="184">
        <v>4191.2</v>
      </c>
      <c r="M20" s="185">
        <f t="shared" si="2"/>
        <v>100</v>
      </c>
      <c r="N20" s="184">
        <f>[1]List2!$F$170</f>
        <v>6615.0999999999995</v>
      </c>
      <c r="O20" s="155">
        <f>10041485+507000</f>
        <v>10548485</v>
      </c>
      <c r="P20" s="184">
        <v>10451880</v>
      </c>
      <c r="Q20" s="184">
        <f>10157019.02+115411.64+33098.49+125718.03+1434.11+411.27+18787.31</f>
        <v>10451879.869999999</v>
      </c>
      <c r="R20" s="185">
        <f t="shared" si="3"/>
        <v>99.999998756204619</v>
      </c>
      <c r="S20" s="184">
        <f>8590.18+9124921.4+113442.01+144604.97+1796.97+4468</f>
        <v>9397823.5300000012</v>
      </c>
      <c r="T20" s="198">
        <v>6800</v>
      </c>
      <c r="U20" s="184">
        <v>31100</v>
      </c>
      <c r="V20" s="184">
        <f>29325.34+1337.92</f>
        <v>30663.260000000002</v>
      </c>
      <c r="W20" s="185">
        <f t="shared" si="4"/>
        <v>98.59569131832798</v>
      </c>
      <c r="X20" s="184">
        <f>10489.97+130.37</f>
        <v>10620.34</v>
      </c>
    </row>
    <row r="21" spans="1:24" s="315" customFormat="1" ht="9.75">
      <c r="A21" s="230" t="s">
        <v>18</v>
      </c>
      <c r="B21" s="1160" t="s">
        <v>48</v>
      </c>
      <c r="C21" s="1160"/>
      <c r="D21" s="245" t="s">
        <v>25</v>
      </c>
      <c r="E21" s="198">
        <f t="shared" si="6"/>
        <v>594171</v>
      </c>
      <c r="F21" s="184">
        <f t="shared" si="6"/>
        <v>676879</v>
      </c>
      <c r="G21" s="184">
        <f t="shared" si="6"/>
        <v>676878.93</v>
      </c>
      <c r="H21" s="185">
        <f t="shared" si="0"/>
        <v>99.999989658417547</v>
      </c>
      <c r="I21" s="199">
        <f t="shared" si="6"/>
        <v>589263.78</v>
      </c>
      <c r="J21" s="207">
        <v>0</v>
      </c>
      <c r="K21" s="184">
        <v>0</v>
      </c>
      <c r="L21" s="184">
        <v>0</v>
      </c>
      <c r="M21" s="185" t="e">
        <f t="shared" si="2"/>
        <v>#DIV/0!</v>
      </c>
      <c r="N21" s="184">
        <f>[1]List2!$F$184</f>
        <v>912.24</v>
      </c>
      <c r="O21" s="155">
        <v>594171</v>
      </c>
      <c r="P21" s="184">
        <v>676879</v>
      </c>
      <c r="Q21" s="184">
        <f>652293.85+1979.92+6829.16+15776</f>
        <v>676878.93</v>
      </c>
      <c r="R21" s="185">
        <f t="shared" si="3"/>
        <v>99.999989658417547</v>
      </c>
      <c r="S21" s="184">
        <f>575240.98+8766.56+264+4080</f>
        <v>588351.54</v>
      </c>
      <c r="T21" s="198">
        <v>400</v>
      </c>
      <c r="U21" s="184">
        <v>3000</v>
      </c>
      <c r="V21" s="184">
        <v>2958.44</v>
      </c>
      <c r="W21" s="185">
        <f t="shared" si="4"/>
        <v>98.614666666666679</v>
      </c>
      <c r="X21" s="184">
        <v>644.28</v>
      </c>
    </row>
    <row r="22" spans="1:24" s="315" customFormat="1" ht="9.75">
      <c r="A22" s="230" t="s">
        <v>19</v>
      </c>
      <c r="B22" s="1160" t="s">
        <v>63</v>
      </c>
      <c r="C22" s="1160"/>
      <c r="D22" s="245" t="s">
        <v>25</v>
      </c>
      <c r="E22" s="198">
        <f t="shared" si="6"/>
        <v>0</v>
      </c>
      <c r="F22" s="184">
        <f t="shared" si="6"/>
        <v>500</v>
      </c>
      <c r="G22" s="184">
        <f t="shared" si="6"/>
        <v>500</v>
      </c>
      <c r="H22" s="185">
        <f t="shared" si="0"/>
        <v>100</v>
      </c>
      <c r="I22" s="199">
        <f t="shared" si="6"/>
        <v>0</v>
      </c>
      <c r="J22" s="207">
        <v>0</v>
      </c>
      <c r="K22" s="184">
        <v>500</v>
      </c>
      <c r="L22" s="184">
        <v>500</v>
      </c>
      <c r="M22" s="185">
        <f t="shared" si="2"/>
        <v>100</v>
      </c>
      <c r="N22" s="184">
        <v>0</v>
      </c>
      <c r="O22" s="155">
        <v>0</v>
      </c>
      <c r="P22" s="184">
        <v>0</v>
      </c>
      <c r="Q22" s="184">
        <v>0</v>
      </c>
      <c r="R22" s="185" t="e">
        <f t="shared" si="3"/>
        <v>#DIV/0!</v>
      </c>
      <c r="S22" s="184">
        <v>0</v>
      </c>
      <c r="T22" s="198">
        <v>0</v>
      </c>
      <c r="U22" s="184"/>
      <c r="V22" s="184">
        <v>0</v>
      </c>
      <c r="W22" s="185" t="e">
        <f t="shared" si="4"/>
        <v>#DIV/0!</v>
      </c>
      <c r="X22" s="184">
        <v>0</v>
      </c>
    </row>
    <row r="23" spans="1:24" s="315" customFormat="1" ht="9.75">
      <c r="A23" s="230" t="s">
        <v>20</v>
      </c>
      <c r="B23" s="260" t="s">
        <v>64</v>
      </c>
      <c r="C23" s="260"/>
      <c r="D23" s="245" t="s">
        <v>25</v>
      </c>
      <c r="E23" s="198">
        <f t="shared" si="6"/>
        <v>0</v>
      </c>
      <c r="F23" s="184">
        <f t="shared" si="6"/>
        <v>0</v>
      </c>
      <c r="G23" s="184">
        <f t="shared" si="6"/>
        <v>0</v>
      </c>
      <c r="H23" s="185" t="e">
        <f t="shared" si="0"/>
        <v>#DIV/0!</v>
      </c>
      <c r="I23" s="199">
        <f t="shared" si="6"/>
        <v>0</v>
      </c>
      <c r="J23" s="207">
        <v>0</v>
      </c>
      <c r="K23" s="184">
        <v>0</v>
      </c>
      <c r="L23" s="184">
        <v>0</v>
      </c>
      <c r="M23" s="185" t="e">
        <f t="shared" si="2"/>
        <v>#DIV/0!</v>
      </c>
      <c r="N23" s="184">
        <v>0</v>
      </c>
      <c r="O23" s="155">
        <v>0</v>
      </c>
      <c r="P23" s="184">
        <v>0</v>
      </c>
      <c r="Q23" s="184">
        <v>0</v>
      </c>
      <c r="R23" s="185" t="e">
        <f t="shared" si="3"/>
        <v>#DIV/0!</v>
      </c>
      <c r="S23" s="184">
        <v>0</v>
      </c>
      <c r="T23" s="198">
        <v>0</v>
      </c>
      <c r="U23" s="184"/>
      <c r="V23" s="184">
        <v>0</v>
      </c>
      <c r="W23" s="185" t="e">
        <f t="shared" si="4"/>
        <v>#DIV/0!</v>
      </c>
      <c r="X23" s="184">
        <v>0</v>
      </c>
    </row>
    <row r="24" spans="1:24" s="315" customFormat="1" ht="9.75">
      <c r="A24" s="230" t="s">
        <v>21</v>
      </c>
      <c r="B24" s="260" t="s">
        <v>71</v>
      </c>
      <c r="C24" s="260"/>
      <c r="D24" s="245" t="s">
        <v>25</v>
      </c>
      <c r="E24" s="198">
        <f t="shared" si="6"/>
        <v>0</v>
      </c>
      <c r="F24" s="184">
        <f t="shared" si="6"/>
        <v>0</v>
      </c>
      <c r="G24" s="184">
        <f t="shared" si="6"/>
        <v>0</v>
      </c>
      <c r="H24" s="185" t="e">
        <f t="shared" si="0"/>
        <v>#DIV/0!</v>
      </c>
      <c r="I24" s="199">
        <f t="shared" si="6"/>
        <v>0</v>
      </c>
      <c r="J24" s="207">
        <v>0</v>
      </c>
      <c r="K24" s="184">
        <v>0</v>
      </c>
      <c r="L24" s="184">
        <v>0</v>
      </c>
      <c r="M24" s="185" t="e">
        <f t="shared" si="2"/>
        <v>#DIV/0!</v>
      </c>
      <c r="N24" s="184">
        <v>0</v>
      </c>
      <c r="O24" s="155">
        <v>0</v>
      </c>
      <c r="P24" s="184">
        <v>0</v>
      </c>
      <c r="Q24" s="184">
        <v>0</v>
      </c>
      <c r="R24" s="185" t="e">
        <f t="shared" si="3"/>
        <v>#DIV/0!</v>
      </c>
      <c r="S24" s="184">
        <v>0</v>
      </c>
      <c r="T24" s="198">
        <v>0</v>
      </c>
      <c r="U24" s="184"/>
      <c r="V24" s="184">
        <v>0</v>
      </c>
      <c r="W24" s="185" t="e">
        <f t="shared" si="4"/>
        <v>#DIV/0!</v>
      </c>
      <c r="X24" s="184">
        <v>0</v>
      </c>
    </row>
    <row r="25" spans="1:24" s="315" customFormat="1" ht="9.75">
      <c r="A25" s="232" t="s">
        <v>22</v>
      </c>
      <c r="B25" s="264" t="s">
        <v>66</v>
      </c>
      <c r="C25" s="264"/>
      <c r="D25" s="245" t="s">
        <v>25</v>
      </c>
      <c r="E25" s="198">
        <f t="shared" si="6"/>
        <v>0</v>
      </c>
      <c r="F25" s="184">
        <f t="shared" si="6"/>
        <v>0</v>
      </c>
      <c r="G25" s="184">
        <f t="shared" si="6"/>
        <v>0</v>
      </c>
      <c r="H25" s="185" t="e">
        <f t="shared" si="0"/>
        <v>#DIV/0!</v>
      </c>
      <c r="I25" s="199">
        <f t="shared" si="6"/>
        <v>6377.05</v>
      </c>
      <c r="J25" s="207">
        <v>0</v>
      </c>
      <c r="K25" s="188">
        <v>0</v>
      </c>
      <c r="L25" s="188">
        <v>0</v>
      </c>
      <c r="M25" s="185" t="e">
        <f t="shared" si="2"/>
        <v>#DIV/0!</v>
      </c>
      <c r="N25" s="188">
        <f>[1]List2!$F$192</f>
        <v>6377.05</v>
      </c>
      <c r="O25" s="157">
        <v>0</v>
      </c>
      <c r="P25" s="188">
        <v>0</v>
      </c>
      <c r="Q25" s="188">
        <v>0</v>
      </c>
      <c r="R25" s="185" t="e">
        <f t="shared" si="3"/>
        <v>#DIV/0!</v>
      </c>
      <c r="S25" s="188">
        <v>0</v>
      </c>
      <c r="T25" s="220">
        <v>0</v>
      </c>
      <c r="U25" s="184"/>
      <c r="V25" s="188">
        <v>0</v>
      </c>
      <c r="W25" s="185" t="e">
        <f t="shared" si="4"/>
        <v>#DIV/0!</v>
      </c>
      <c r="X25" s="157">
        <v>0</v>
      </c>
    </row>
    <row r="26" spans="1:24" s="319" customFormat="1" ht="9.75">
      <c r="A26" s="230" t="s">
        <v>23</v>
      </c>
      <c r="B26" s="1160" t="s">
        <v>67</v>
      </c>
      <c r="C26" s="1160"/>
      <c r="D26" s="245" t="s">
        <v>25</v>
      </c>
      <c r="E26" s="198">
        <f t="shared" si="6"/>
        <v>1249654</v>
      </c>
      <c r="F26" s="184">
        <f t="shared" si="6"/>
        <v>1524000</v>
      </c>
      <c r="G26" s="184">
        <f t="shared" si="6"/>
        <v>1463114.04</v>
      </c>
      <c r="H26" s="191">
        <f t="shared" si="0"/>
        <v>96.004858267716543</v>
      </c>
      <c r="I26" s="199">
        <f t="shared" si="6"/>
        <v>1336296</v>
      </c>
      <c r="J26" s="207">
        <v>1249654</v>
      </c>
      <c r="K26" s="189">
        <f>J26+291468-17122</f>
        <v>1524000</v>
      </c>
      <c r="L26" s="189">
        <v>1463114.04</v>
      </c>
      <c r="M26" s="185">
        <f t="shared" si="2"/>
        <v>96.004858267716543</v>
      </c>
      <c r="N26" s="189">
        <f>[1]List2!$F$79</f>
        <v>1336296</v>
      </c>
      <c r="O26" s="158">
        <v>0</v>
      </c>
      <c r="P26" s="189">
        <v>0</v>
      </c>
      <c r="Q26" s="189">
        <v>0</v>
      </c>
      <c r="R26" s="185" t="e">
        <f t="shared" si="3"/>
        <v>#DIV/0!</v>
      </c>
      <c r="S26" s="189">
        <v>0</v>
      </c>
      <c r="T26" s="222">
        <v>136795</v>
      </c>
      <c r="U26" s="184">
        <v>98738</v>
      </c>
      <c r="V26" s="189">
        <v>98737.96</v>
      </c>
      <c r="W26" s="185">
        <f t="shared" si="4"/>
        <v>99.999959488748004</v>
      </c>
      <c r="X26" s="155">
        <v>69298.899999999994</v>
      </c>
    </row>
    <row r="27" spans="1:24" s="320" customFormat="1" ht="9.75">
      <c r="A27" s="230" t="s">
        <v>43</v>
      </c>
      <c r="B27" s="260" t="s">
        <v>68</v>
      </c>
      <c r="C27" s="260"/>
      <c r="D27" s="245" t="s">
        <v>25</v>
      </c>
      <c r="E27" s="198">
        <f t="shared" si="6"/>
        <v>0</v>
      </c>
      <c r="F27" s="184">
        <f t="shared" si="6"/>
        <v>0</v>
      </c>
      <c r="G27" s="184">
        <f t="shared" si="6"/>
        <v>0</v>
      </c>
      <c r="H27" s="191" t="e">
        <f t="shared" si="0"/>
        <v>#DIV/0!</v>
      </c>
      <c r="I27" s="199">
        <f t="shared" si="6"/>
        <v>0</v>
      </c>
      <c r="J27" s="207">
        <v>0</v>
      </c>
      <c r="K27" s="189">
        <v>0</v>
      </c>
      <c r="L27" s="189">
        <v>0</v>
      </c>
      <c r="M27" s="185" t="e">
        <f t="shared" si="2"/>
        <v>#DIV/0!</v>
      </c>
      <c r="N27" s="189">
        <v>0</v>
      </c>
      <c r="O27" s="158">
        <v>0</v>
      </c>
      <c r="P27" s="189">
        <v>0</v>
      </c>
      <c r="Q27" s="189">
        <v>0</v>
      </c>
      <c r="R27" s="185" t="e">
        <f t="shared" si="3"/>
        <v>#DIV/0!</v>
      </c>
      <c r="S27" s="189">
        <v>0</v>
      </c>
      <c r="T27" s="222">
        <v>0</v>
      </c>
      <c r="U27" s="184"/>
      <c r="V27" s="189">
        <v>0</v>
      </c>
      <c r="W27" s="185" t="e">
        <f t="shared" si="4"/>
        <v>#DIV/0!</v>
      </c>
      <c r="X27" s="155">
        <v>0</v>
      </c>
    </row>
    <row r="28" spans="1:24" s="320" customFormat="1" ht="9.75">
      <c r="A28" s="230" t="s">
        <v>49</v>
      </c>
      <c r="B28" s="260" t="s">
        <v>72</v>
      </c>
      <c r="C28" s="260"/>
      <c r="D28" s="245" t="s">
        <v>25</v>
      </c>
      <c r="E28" s="198">
        <f t="shared" ref="E28:G32" si="7">SUM(J28,O28)</f>
        <v>900000</v>
      </c>
      <c r="F28" s="184">
        <f t="shared" si="7"/>
        <v>1183563.3999999999</v>
      </c>
      <c r="G28" s="184">
        <f t="shared" si="7"/>
        <v>1183159.25</v>
      </c>
      <c r="H28" s="191">
        <f t="shared" si="0"/>
        <v>99.965853117796655</v>
      </c>
      <c r="I28" s="199">
        <f t="shared" ref="I28:I32" si="8">SUM(N28,S28)</f>
        <v>1149147.8899999999</v>
      </c>
      <c r="J28" s="207">
        <v>200000</v>
      </c>
      <c r="K28" s="189">
        <f>J28+200000+40000+10050+17122+328000</f>
        <v>795172</v>
      </c>
      <c r="L28" s="189">
        <v>794767.81</v>
      </c>
      <c r="M28" s="185">
        <f t="shared" si="2"/>
        <v>99.949169487859237</v>
      </c>
      <c r="N28" s="189">
        <f>[1]List2!$F$200</f>
        <v>530759.69999999995</v>
      </c>
      <c r="O28" s="158">
        <f>500000+200000</f>
        <v>700000</v>
      </c>
      <c r="P28" s="189">
        <v>388391.4</v>
      </c>
      <c r="Q28" s="189">
        <f>260734.66+127656.78</f>
        <v>388391.44</v>
      </c>
      <c r="R28" s="185">
        <f t="shared" si="3"/>
        <v>100.00001029888921</v>
      </c>
      <c r="S28" s="189">
        <f>610808.19+7580</f>
        <v>618388.18999999994</v>
      </c>
      <c r="T28" s="222">
        <v>0</v>
      </c>
      <c r="U28" s="184"/>
      <c r="V28" s="189">
        <v>0</v>
      </c>
      <c r="W28" s="185" t="e">
        <f t="shared" si="4"/>
        <v>#DIV/0!</v>
      </c>
      <c r="X28" s="155">
        <v>0</v>
      </c>
    </row>
    <row r="29" spans="1:24" s="319" customFormat="1" ht="9.75">
      <c r="A29" s="230" t="s">
        <v>50</v>
      </c>
      <c r="B29" s="1160" t="s">
        <v>65</v>
      </c>
      <c r="C29" s="1160"/>
      <c r="D29" s="245" t="s">
        <v>25</v>
      </c>
      <c r="E29" s="198">
        <f t="shared" si="7"/>
        <v>2000</v>
      </c>
      <c r="F29" s="184">
        <f t="shared" si="7"/>
        <v>2135</v>
      </c>
      <c r="G29" s="184">
        <f t="shared" si="7"/>
        <v>2135</v>
      </c>
      <c r="H29" s="191">
        <f t="shared" si="0"/>
        <v>100</v>
      </c>
      <c r="I29" s="199">
        <f t="shared" si="8"/>
        <v>20781.5</v>
      </c>
      <c r="J29" s="207">
        <v>2000</v>
      </c>
      <c r="K29" s="189">
        <v>2135</v>
      </c>
      <c r="L29" s="189">
        <v>2135</v>
      </c>
      <c r="M29" s="185">
        <f t="shared" si="2"/>
        <v>100</v>
      </c>
      <c r="N29" s="189">
        <f>[1]List2!$F$206</f>
        <v>20781.5</v>
      </c>
      <c r="O29" s="158">
        <v>0</v>
      </c>
      <c r="P29" s="189">
        <v>0</v>
      </c>
      <c r="Q29" s="189"/>
      <c r="R29" s="185" t="e">
        <f t="shared" si="3"/>
        <v>#DIV/0!</v>
      </c>
      <c r="S29" s="189">
        <v>0</v>
      </c>
      <c r="T29" s="222">
        <v>0</v>
      </c>
      <c r="U29" s="184"/>
      <c r="V29" s="189">
        <v>0</v>
      </c>
      <c r="W29" s="185" t="e">
        <f t="shared" si="4"/>
        <v>#DIV/0!</v>
      </c>
      <c r="X29" s="155">
        <v>0</v>
      </c>
    </row>
    <row r="30" spans="1:24" s="315" customFormat="1" ht="9.75">
      <c r="A30" s="230" t="s">
        <v>52</v>
      </c>
      <c r="B30" s="260" t="s">
        <v>51</v>
      </c>
      <c r="C30" s="260"/>
      <c r="D30" s="245" t="s">
        <v>25</v>
      </c>
      <c r="E30" s="198">
        <f t="shared" si="7"/>
        <v>0</v>
      </c>
      <c r="F30" s="184">
        <f t="shared" si="7"/>
        <v>0</v>
      </c>
      <c r="G30" s="184">
        <f t="shared" si="7"/>
        <v>0</v>
      </c>
      <c r="H30" s="191" t="e">
        <f t="shared" si="0"/>
        <v>#DIV/0!</v>
      </c>
      <c r="I30" s="199">
        <f t="shared" si="8"/>
        <v>851.85</v>
      </c>
      <c r="J30" s="207">
        <v>0</v>
      </c>
      <c r="K30" s="189">
        <v>0</v>
      </c>
      <c r="L30" s="189">
        <v>0</v>
      </c>
      <c r="M30" s="185" t="e">
        <f t="shared" si="2"/>
        <v>#DIV/0!</v>
      </c>
      <c r="N30" s="189">
        <f>[1]List2!$F$216</f>
        <v>851.85</v>
      </c>
      <c r="O30" s="158">
        <v>0</v>
      </c>
      <c r="P30" s="189">
        <v>0</v>
      </c>
      <c r="Q30" s="189"/>
      <c r="R30" s="185" t="e">
        <f t="shared" si="3"/>
        <v>#DIV/0!</v>
      </c>
      <c r="S30" s="189">
        <v>0</v>
      </c>
      <c r="T30" s="222">
        <v>0</v>
      </c>
      <c r="U30" s="184"/>
      <c r="V30" s="189">
        <v>0</v>
      </c>
      <c r="W30" s="185" t="e">
        <f t="shared" si="4"/>
        <v>#DIV/0!</v>
      </c>
      <c r="X30" s="155">
        <v>0</v>
      </c>
    </row>
    <row r="31" spans="1:24" s="321" customFormat="1" ht="9.75">
      <c r="A31" s="230" t="s">
        <v>53</v>
      </c>
      <c r="B31" s="260" t="s">
        <v>69</v>
      </c>
      <c r="C31" s="260"/>
      <c r="D31" s="245" t="s">
        <v>25</v>
      </c>
      <c r="E31" s="198">
        <f t="shared" si="7"/>
        <v>0</v>
      </c>
      <c r="F31" s="184">
        <f t="shared" si="7"/>
        <v>0</v>
      </c>
      <c r="G31" s="184">
        <f t="shared" si="7"/>
        <v>0</v>
      </c>
      <c r="H31" s="191" t="e">
        <f t="shared" si="0"/>
        <v>#DIV/0!</v>
      </c>
      <c r="I31" s="199">
        <f t="shared" si="8"/>
        <v>0</v>
      </c>
      <c r="J31" s="207">
        <v>0</v>
      </c>
      <c r="K31" s="193">
        <v>0</v>
      </c>
      <c r="L31" s="193">
        <v>0</v>
      </c>
      <c r="M31" s="185" t="e">
        <f t="shared" si="2"/>
        <v>#DIV/0!</v>
      </c>
      <c r="N31" s="193">
        <v>0</v>
      </c>
      <c r="O31" s="159">
        <v>0</v>
      </c>
      <c r="P31" s="193">
        <v>0</v>
      </c>
      <c r="Q31" s="193"/>
      <c r="R31" s="185" t="e">
        <f t="shared" si="3"/>
        <v>#DIV/0!</v>
      </c>
      <c r="S31" s="193">
        <v>0</v>
      </c>
      <c r="T31" s="224">
        <v>0</v>
      </c>
      <c r="U31" s="184"/>
      <c r="V31" s="194">
        <v>0</v>
      </c>
      <c r="W31" s="185" t="e">
        <f t="shared" si="4"/>
        <v>#DIV/0!</v>
      </c>
      <c r="X31" s="155">
        <v>0</v>
      </c>
    </row>
    <row r="32" spans="1:24" s="321" customFormat="1" ht="9.75">
      <c r="A32" s="232" t="s">
        <v>54</v>
      </c>
      <c r="B32" s="264" t="s">
        <v>70</v>
      </c>
      <c r="C32" s="264"/>
      <c r="D32" s="245" t="s">
        <v>25</v>
      </c>
      <c r="E32" s="198">
        <f t="shared" si="7"/>
        <v>0</v>
      </c>
      <c r="F32" s="184">
        <f t="shared" si="7"/>
        <v>0</v>
      </c>
      <c r="G32" s="184">
        <f t="shared" si="7"/>
        <v>0</v>
      </c>
      <c r="H32" s="191" t="e">
        <f t="shared" si="0"/>
        <v>#DIV/0!</v>
      </c>
      <c r="I32" s="199">
        <f t="shared" si="8"/>
        <v>0</v>
      </c>
      <c r="J32" s="211">
        <v>0</v>
      </c>
      <c r="K32" s="194">
        <v>0</v>
      </c>
      <c r="L32" s="194">
        <v>0</v>
      </c>
      <c r="M32" s="185" t="e">
        <f t="shared" si="2"/>
        <v>#DIV/0!</v>
      </c>
      <c r="N32" s="194">
        <v>0</v>
      </c>
      <c r="O32" s="160">
        <v>0</v>
      </c>
      <c r="P32" s="194">
        <v>0</v>
      </c>
      <c r="Q32" s="194"/>
      <c r="R32" s="185" t="e">
        <f t="shared" si="3"/>
        <v>#DIV/0!</v>
      </c>
      <c r="S32" s="194">
        <v>0</v>
      </c>
      <c r="T32" s="224">
        <v>0</v>
      </c>
      <c r="U32" s="194"/>
      <c r="V32" s="194">
        <v>0</v>
      </c>
      <c r="W32" s="185" t="e">
        <f t="shared" si="4"/>
        <v>#DIV/0!</v>
      </c>
      <c r="X32" s="194">
        <v>0</v>
      </c>
    </row>
    <row r="33" spans="1:24" s="321" customFormat="1" ht="9.75">
      <c r="A33" s="229" t="s">
        <v>55</v>
      </c>
      <c r="B33" s="263" t="s">
        <v>56</v>
      </c>
      <c r="C33" s="263"/>
      <c r="D33" s="245" t="s">
        <v>25</v>
      </c>
      <c r="E33" s="196">
        <f>E6-E11</f>
        <v>0</v>
      </c>
      <c r="F33" s="181">
        <f t="shared" ref="F33:G33" si="9">F6-F11</f>
        <v>0.19999999552965164</v>
      </c>
      <c r="G33" s="181">
        <f t="shared" si="9"/>
        <v>87261.210000000894</v>
      </c>
      <c r="H33" s="195">
        <f t="shared" si="0"/>
        <v>43630605.975220487</v>
      </c>
      <c r="I33" s="197">
        <f t="shared" ref="I33:L33" si="10">I6-I11</f>
        <v>2210.9399999901652</v>
      </c>
      <c r="J33" s="196">
        <f t="shared" si="10"/>
        <v>0</v>
      </c>
      <c r="K33" s="181">
        <f t="shared" si="10"/>
        <v>-0.19999999925494194</v>
      </c>
      <c r="L33" s="181">
        <f t="shared" si="10"/>
        <v>87261.209999999963</v>
      </c>
      <c r="M33" s="180">
        <f t="shared" si="2"/>
        <v>-43630605.162536651</v>
      </c>
      <c r="N33" s="197">
        <f t="shared" ref="N33:Q33" si="11">N6-N11</f>
        <v>2210.9400000004098</v>
      </c>
      <c r="O33" s="196">
        <f t="shared" si="11"/>
        <v>0</v>
      </c>
      <c r="P33" s="181">
        <f t="shared" si="11"/>
        <v>0.39999999850988388</v>
      </c>
      <c r="Q33" s="181">
        <f t="shared" si="11"/>
        <v>0</v>
      </c>
      <c r="R33" s="180">
        <f t="shared" si="3"/>
        <v>0</v>
      </c>
      <c r="S33" s="197">
        <f t="shared" ref="S33:V33" si="12">S6-S11</f>
        <v>0</v>
      </c>
      <c r="T33" s="196">
        <f t="shared" si="12"/>
        <v>148255</v>
      </c>
      <c r="U33" s="181">
        <f t="shared" si="12"/>
        <v>12643</v>
      </c>
      <c r="V33" s="181">
        <f t="shared" si="12"/>
        <v>5985.6999999999534</v>
      </c>
      <c r="W33" s="180">
        <f t="shared" si="4"/>
        <v>47.34398481373055</v>
      </c>
      <c r="X33" s="197">
        <f>X6-X11</f>
        <v>123764.91999999998</v>
      </c>
    </row>
    <row r="34" spans="1:24" s="322" customFormat="1" ht="9.75">
      <c r="A34" s="254" t="s">
        <v>57</v>
      </c>
      <c r="B34" s="1157" t="s">
        <v>237</v>
      </c>
      <c r="C34" s="1157"/>
      <c r="D34" s="258" t="s">
        <v>25</v>
      </c>
      <c r="E34" s="233"/>
      <c r="F34" s="234"/>
      <c r="G34" s="234"/>
      <c r="H34" s="191" t="e">
        <f t="shared" si="0"/>
        <v>#DIV/0!</v>
      </c>
      <c r="I34" s="237"/>
      <c r="J34" s="213">
        <v>0</v>
      </c>
      <c r="K34" s="183">
        <v>0</v>
      </c>
      <c r="L34" s="183">
        <v>0</v>
      </c>
      <c r="M34" s="185" t="e">
        <f t="shared" si="2"/>
        <v>#DIV/0!</v>
      </c>
      <c r="N34" s="214">
        <v>0</v>
      </c>
      <c r="O34" s="239"/>
      <c r="P34" s="240"/>
      <c r="Q34" s="240"/>
      <c r="R34" s="185" t="e">
        <f t="shared" si="3"/>
        <v>#DIV/0!</v>
      </c>
      <c r="S34" s="243"/>
      <c r="T34" s="213"/>
      <c r="U34" s="183"/>
      <c r="V34" s="183"/>
      <c r="W34" s="185" t="e">
        <f t="shared" si="4"/>
        <v>#DIV/0!</v>
      </c>
      <c r="X34" s="214"/>
    </row>
    <row r="35" spans="1:24" s="322" customFormat="1" ht="9.75">
      <c r="A35" s="255" t="s">
        <v>58</v>
      </c>
      <c r="B35" s="1156" t="s">
        <v>238</v>
      </c>
      <c r="C35" s="1156"/>
      <c r="D35" s="259" t="s">
        <v>26</v>
      </c>
      <c r="E35" s="233"/>
      <c r="F35" s="234"/>
      <c r="G35" s="234"/>
      <c r="H35" s="191" t="e">
        <f t="shared" si="0"/>
        <v>#DIV/0!</v>
      </c>
      <c r="I35" s="237"/>
      <c r="J35" s="213">
        <v>0</v>
      </c>
      <c r="K35" s="183">
        <v>0</v>
      </c>
      <c r="L35" s="183">
        <v>0</v>
      </c>
      <c r="M35" s="185" t="e">
        <f t="shared" si="2"/>
        <v>#DIV/0!</v>
      </c>
      <c r="N35" s="214">
        <v>0</v>
      </c>
      <c r="O35" s="239"/>
      <c r="P35" s="240"/>
      <c r="Q35" s="240"/>
      <c r="R35" s="185" t="e">
        <f t="shared" si="3"/>
        <v>#DIV/0!</v>
      </c>
      <c r="S35" s="243"/>
      <c r="T35" s="213"/>
      <c r="U35" s="183"/>
      <c r="V35" s="183"/>
      <c r="W35" s="185" t="e">
        <f t="shared" si="4"/>
        <v>#DIV/0!</v>
      </c>
      <c r="X35" s="214"/>
    </row>
    <row r="36" spans="1:24" s="322" customFormat="1" ht="9.75">
      <c r="A36" s="255" t="s">
        <v>59</v>
      </c>
      <c r="B36" s="1156" t="s">
        <v>239</v>
      </c>
      <c r="C36" s="1156"/>
      <c r="D36" s="259" t="s">
        <v>26</v>
      </c>
      <c r="E36" s="233"/>
      <c r="F36" s="234"/>
      <c r="G36" s="234"/>
      <c r="H36" s="191" t="e">
        <f t="shared" si="0"/>
        <v>#DIV/0!</v>
      </c>
      <c r="I36" s="237"/>
      <c r="J36" s="213">
        <v>0</v>
      </c>
      <c r="K36" s="183">
        <v>0</v>
      </c>
      <c r="L36" s="183">
        <v>0</v>
      </c>
      <c r="M36" s="185" t="e">
        <f t="shared" si="2"/>
        <v>#DIV/0!</v>
      </c>
      <c r="N36" s="214">
        <v>0</v>
      </c>
      <c r="O36" s="239"/>
      <c r="P36" s="240"/>
      <c r="Q36" s="240"/>
      <c r="R36" s="185" t="e">
        <f t="shared" si="3"/>
        <v>#DIV/0!</v>
      </c>
      <c r="S36" s="243"/>
      <c r="T36" s="213"/>
      <c r="U36" s="183"/>
      <c r="V36" s="183"/>
      <c r="W36" s="185" t="e">
        <f t="shared" si="4"/>
        <v>#DIV/0!</v>
      </c>
      <c r="X36" s="214"/>
    </row>
    <row r="37" spans="1:24" s="322" customFormat="1" ht="10.5" thickBot="1">
      <c r="A37" s="256" t="s">
        <v>240</v>
      </c>
      <c r="B37" s="1174" t="s">
        <v>241</v>
      </c>
      <c r="C37" s="1174"/>
      <c r="D37" s="257" t="s">
        <v>242</v>
      </c>
      <c r="E37" s="235"/>
      <c r="F37" s="236"/>
      <c r="G37" s="236"/>
      <c r="H37" s="202" t="e">
        <f t="shared" si="0"/>
        <v>#DIV/0!</v>
      </c>
      <c r="I37" s="238"/>
      <c r="J37" s="215">
        <v>14</v>
      </c>
      <c r="K37" s="216">
        <v>14</v>
      </c>
      <c r="L37" s="216">
        <v>14</v>
      </c>
      <c r="M37" s="217">
        <f t="shared" si="2"/>
        <v>100</v>
      </c>
      <c r="N37" s="218">
        <v>17</v>
      </c>
      <c r="O37" s="241"/>
      <c r="P37" s="242"/>
      <c r="Q37" s="242"/>
      <c r="R37" s="217" t="e">
        <f t="shared" si="3"/>
        <v>#DIV/0!</v>
      </c>
      <c r="S37" s="244"/>
      <c r="T37" s="215"/>
      <c r="U37" s="216"/>
      <c r="V37" s="216"/>
      <c r="W37" s="217" t="e">
        <f t="shared" si="4"/>
        <v>#DIV/0!</v>
      </c>
      <c r="X37" s="218"/>
    </row>
  </sheetData>
  <mergeCells count="40">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 ref="A1:X1"/>
    <mergeCell ref="B7:C7"/>
    <mergeCell ref="I4:I5"/>
    <mergeCell ref="J4:J5"/>
    <mergeCell ref="K4:M4"/>
    <mergeCell ref="N4:N5"/>
    <mergeCell ref="B6:C6"/>
    <mergeCell ref="A3:A5"/>
    <mergeCell ref="B3:C5"/>
    <mergeCell ref="D3:D5"/>
    <mergeCell ref="E3:I3"/>
    <mergeCell ref="J3:N3"/>
    <mergeCell ref="B13:C13"/>
    <mergeCell ref="B15:C15"/>
    <mergeCell ref="B16:C16"/>
    <mergeCell ref="B18:C18"/>
    <mergeCell ref="B19:C19"/>
    <mergeCell ref="B35:C35"/>
    <mergeCell ref="B36:C36"/>
    <mergeCell ref="B20:C20"/>
    <mergeCell ref="B21:C21"/>
    <mergeCell ref="B26:C26"/>
    <mergeCell ref="B29:C29"/>
    <mergeCell ref="B34:C34"/>
  </mergeCells>
  <pageMargins left="0.23622047244094491" right="0.23622047244094491" top="0.74803149606299213" bottom="0.74803149606299213" header="0.31496062992125984" footer="0.31496062992125984"/>
  <pageSetup paperSize="9" scale="95" firstPageNumber="14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Normal="100" workbookViewId="0">
      <selection activeCell="C14" sqref="C14"/>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277" t="s">
        <v>112</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93246.91</v>
      </c>
      <c r="D6" s="1207"/>
      <c r="E6" s="1208"/>
      <c r="F6" s="1208"/>
      <c r="G6" s="1208"/>
      <c r="H6" s="1208"/>
      <c r="I6" s="1209"/>
    </row>
    <row r="7" spans="1:9" s="2" customFormat="1" ht="33.75" customHeight="1">
      <c r="A7" s="1199" t="s">
        <v>75</v>
      </c>
      <c r="B7" s="1200"/>
      <c r="C7" s="17">
        <v>87261.21</v>
      </c>
      <c r="D7" s="1205" t="s">
        <v>627</v>
      </c>
      <c r="E7" s="1205"/>
      <c r="F7" s="1205"/>
      <c r="G7" s="1205"/>
      <c r="H7" s="1205"/>
      <c r="I7" s="1206"/>
    </row>
    <row r="8" spans="1:9" s="281" customFormat="1" ht="27" customHeight="1">
      <c r="A8" s="1201" t="s">
        <v>76</v>
      </c>
      <c r="B8" s="1202"/>
      <c r="C8" s="18">
        <v>5985.7</v>
      </c>
      <c r="D8" s="1205" t="s">
        <v>628</v>
      </c>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60885.96</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f>C6-C14</f>
        <v>32360.950000000004</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93246.91</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57" customHeight="1">
      <c r="A23" s="68" t="s">
        <v>83</v>
      </c>
      <c r="B23" s="32">
        <f>255268.15+1056092.41</f>
        <v>1311360.5599999998</v>
      </c>
      <c r="C23" s="32">
        <f>125975.86+1087949.32</f>
        <v>1213925.1800000002</v>
      </c>
      <c r="D23" s="32">
        <f>91311.2+1110981.41</f>
        <v>1202292.6099999999</v>
      </c>
      <c r="E23" s="32">
        <f>B23+C23-D23</f>
        <v>1322993.1300000004</v>
      </c>
      <c r="F23" s="1194" t="s">
        <v>629</v>
      </c>
      <c r="G23" s="1195"/>
      <c r="H23" s="1195"/>
      <c r="I23" s="1196"/>
    </row>
    <row r="24" spans="1:9" s="2" customFormat="1" ht="31.5" customHeight="1">
      <c r="A24" s="69" t="s">
        <v>84</v>
      </c>
      <c r="B24" s="33">
        <v>441407.95</v>
      </c>
      <c r="C24" s="33">
        <v>1563820</v>
      </c>
      <c r="D24" s="33">
        <v>1809045</v>
      </c>
      <c r="E24" s="33">
        <f t="shared" ref="E24:E26" si="0">B24+C24-D24</f>
        <v>196182.94999999995</v>
      </c>
      <c r="F24" s="1183" t="s">
        <v>630</v>
      </c>
      <c r="G24" s="1184"/>
      <c r="H24" s="1184"/>
      <c r="I24" s="1185"/>
    </row>
    <row r="25" spans="1:9" s="2" customFormat="1" ht="31.5" customHeight="1">
      <c r="A25" s="69" t="s">
        <v>82</v>
      </c>
      <c r="B25" s="33">
        <v>53163.72</v>
      </c>
      <c r="C25" s="33">
        <v>0</v>
      </c>
      <c r="D25" s="33">
        <v>12400</v>
      </c>
      <c r="E25" s="33">
        <f t="shared" si="0"/>
        <v>40763.72</v>
      </c>
      <c r="F25" s="1183" t="s">
        <v>631</v>
      </c>
      <c r="G25" s="1184"/>
      <c r="H25" s="1184"/>
      <c r="I25" s="1185"/>
    </row>
    <row r="26" spans="1:9" s="2" customFormat="1" ht="31.5" customHeight="1">
      <c r="A26" s="70" t="s">
        <v>85</v>
      </c>
      <c r="B26" s="34">
        <v>814149.67</v>
      </c>
      <c r="C26" s="34">
        <v>617459.42000000004</v>
      </c>
      <c r="D26" s="34">
        <v>572570</v>
      </c>
      <c r="E26" s="33">
        <f t="shared" si="0"/>
        <v>859039.09000000008</v>
      </c>
      <c r="F26" s="1186" t="s">
        <v>632</v>
      </c>
      <c r="G26" s="1187"/>
      <c r="H26" s="1187"/>
      <c r="I26" s="1188"/>
    </row>
    <row r="27" spans="1:9" s="281" customFormat="1" ht="10.5">
      <c r="A27" s="3" t="s">
        <v>34</v>
      </c>
      <c r="B27" s="16">
        <f>SUM(B23:B26)</f>
        <v>2620081.9</v>
      </c>
      <c r="C27" s="16">
        <f t="shared" ref="C27:E27" si="1">SUM(C23:C26)</f>
        <v>3395204.6</v>
      </c>
      <c r="D27" s="16">
        <f t="shared" si="1"/>
        <v>3596307.61</v>
      </c>
      <c r="E27" s="16">
        <f t="shared" si="1"/>
        <v>2418978.8900000006</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t="s">
        <v>189</v>
      </c>
      <c r="B32" s="32"/>
      <c r="C32" s="8"/>
      <c r="D32" s="1215"/>
      <c r="E32" s="1216"/>
      <c r="F32" s="1216"/>
      <c r="G32" s="1216"/>
      <c r="H32" s="1216"/>
      <c r="I32" s="1217"/>
    </row>
    <row r="33" spans="1:9" s="2" customFormat="1" ht="15" customHeight="1">
      <c r="A33" s="80"/>
      <c r="B33" s="34"/>
      <c r="C33" s="13"/>
      <c r="D33" s="1218"/>
      <c r="E33" s="1219"/>
      <c r="F33" s="1219"/>
      <c r="G33" s="1219"/>
      <c r="H33" s="1219"/>
      <c r="I33" s="1220"/>
    </row>
    <row r="34" spans="1:9" s="2" customFormat="1" ht="15" customHeight="1">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t="s">
        <v>189</v>
      </c>
      <c r="B40" s="32"/>
      <c r="C40" s="8"/>
      <c r="D40" s="1226"/>
      <c r="E40" s="1227"/>
      <c r="F40" s="1227"/>
      <c r="G40" s="1227"/>
      <c r="H40" s="1227"/>
      <c r="I40" s="1228"/>
    </row>
    <row r="41" spans="1:9" s="2" customFormat="1" ht="15" customHeight="1">
      <c r="A41" s="86"/>
      <c r="B41" s="33"/>
      <c r="C41" s="9"/>
      <c r="D41" s="1183"/>
      <c r="E41" s="1229"/>
      <c r="F41" s="1229"/>
      <c r="G41" s="1229"/>
      <c r="H41" s="1229"/>
      <c r="I41" s="1230"/>
    </row>
    <row r="42" spans="1:9" s="2" customFormat="1" ht="15" customHeight="1">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t="s">
        <v>633</v>
      </c>
      <c r="B48" s="36">
        <v>50738</v>
      </c>
      <c r="C48" s="1239" t="s">
        <v>634</v>
      </c>
      <c r="D48" s="1239"/>
      <c r="E48" s="1239"/>
      <c r="F48" s="1239"/>
      <c r="G48" s="1239"/>
      <c r="H48" s="1239"/>
      <c r="I48" s="1240"/>
    </row>
    <row r="49" spans="1:9" s="2" customFormat="1" ht="10.15" customHeight="1">
      <c r="A49" s="71"/>
      <c r="B49" s="33"/>
      <c r="C49" s="1241"/>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A51" s="16" t="e">
        <f>A48+A49+A50</f>
        <v>#VALUE!</v>
      </c>
      <c r="B51" s="16">
        <f>B48+B49+B50</f>
        <v>50738</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377" t="s">
        <v>259</v>
      </c>
      <c r="B55" s="1378"/>
      <c r="C55" s="179" t="s">
        <v>179</v>
      </c>
      <c r="D55" s="179" t="s">
        <v>118</v>
      </c>
      <c r="E55" s="179" t="s">
        <v>119</v>
      </c>
      <c r="F55" s="179" t="s">
        <v>244</v>
      </c>
      <c r="G55" s="179" t="s">
        <v>180</v>
      </c>
    </row>
    <row r="56" spans="1:9" s="2" customFormat="1" ht="25.5" customHeight="1">
      <c r="A56" s="1369" t="s">
        <v>289</v>
      </c>
      <c r="B56" s="1370"/>
      <c r="C56" s="438" t="s">
        <v>290</v>
      </c>
      <c r="D56" s="439"/>
      <c r="E56" s="440">
        <v>51000</v>
      </c>
      <c r="F56" s="441">
        <v>44352</v>
      </c>
      <c r="G56" s="442">
        <v>44377</v>
      </c>
    </row>
    <row r="57" spans="1:9" s="2" customFormat="1" ht="26.25" customHeight="1">
      <c r="A57" s="1369" t="s">
        <v>291</v>
      </c>
      <c r="B57" s="1370"/>
      <c r="C57" s="438" t="s">
        <v>260</v>
      </c>
      <c r="D57" s="440">
        <v>51000</v>
      </c>
      <c r="E57" s="443"/>
      <c r="F57" s="441">
        <v>44352</v>
      </c>
      <c r="G57" s="442">
        <v>44377</v>
      </c>
    </row>
    <row r="58" spans="1:9" s="2" customFormat="1" ht="12" customHeight="1">
      <c r="A58" s="1369" t="s">
        <v>635</v>
      </c>
      <c r="B58" s="1370"/>
      <c r="C58" s="438" t="s">
        <v>297</v>
      </c>
      <c r="D58" s="440"/>
      <c r="E58" s="440">
        <v>291468</v>
      </c>
      <c r="F58" s="441">
        <v>44377</v>
      </c>
      <c r="G58" s="442">
        <v>44377</v>
      </c>
    </row>
    <row r="59" spans="1:9" s="2" customFormat="1" ht="12" customHeight="1">
      <c r="A59" s="1369" t="s">
        <v>636</v>
      </c>
      <c r="B59" s="1370"/>
      <c r="C59" s="438" t="s">
        <v>260</v>
      </c>
      <c r="D59" s="440">
        <v>291468</v>
      </c>
      <c r="E59" s="440"/>
      <c r="F59" s="441">
        <v>44377</v>
      </c>
      <c r="G59" s="442">
        <v>44377</v>
      </c>
    </row>
    <row r="60" spans="1:9" s="2" customFormat="1" ht="26.25" customHeight="1">
      <c r="A60" s="1369" t="s">
        <v>637</v>
      </c>
      <c r="B60" s="1370"/>
      <c r="C60" s="438" t="s">
        <v>222</v>
      </c>
      <c r="D60" s="440"/>
      <c r="E60" s="440">
        <v>350000</v>
      </c>
      <c r="F60" s="441">
        <v>44377</v>
      </c>
      <c r="G60" s="442">
        <v>44377</v>
      </c>
    </row>
    <row r="61" spans="1:9" s="2" customFormat="1" ht="12" customHeight="1">
      <c r="A61" s="1369" t="s">
        <v>638</v>
      </c>
      <c r="B61" s="1370"/>
      <c r="C61" s="438" t="s">
        <v>260</v>
      </c>
      <c r="D61" s="440">
        <v>350000</v>
      </c>
      <c r="E61" s="440"/>
      <c r="F61" s="441">
        <v>44377</v>
      </c>
      <c r="G61" s="442">
        <v>44377</v>
      </c>
    </row>
    <row r="62" spans="1:9" s="2" customFormat="1" ht="12" customHeight="1">
      <c r="A62" s="1369" t="s">
        <v>639</v>
      </c>
      <c r="B62" s="1370"/>
      <c r="C62" s="438" t="s">
        <v>640</v>
      </c>
      <c r="D62" s="440"/>
      <c r="E62" s="440">
        <v>500</v>
      </c>
      <c r="F62" s="441">
        <v>44377</v>
      </c>
      <c r="G62" s="442">
        <v>44377</v>
      </c>
    </row>
    <row r="63" spans="1:9" s="2" customFormat="1" ht="12" customHeight="1">
      <c r="A63" s="1369" t="s">
        <v>641</v>
      </c>
      <c r="B63" s="1370"/>
      <c r="C63" s="438" t="s">
        <v>267</v>
      </c>
      <c r="D63" s="440"/>
      <c r="E63" s="440">
        <v>-500</v>
      </c>
      <c r="F63" s="441">
        <v>44377</v>
      </c>
      <c r="G63" s="442">
        <v>44377</v>
      </c>
    </row>
    <row r="64" spans="1:9" s="2" customFormat="1" ht="12" customHeight="1">
      <c r="A64" s="1369" t="s">
        <v>642</v>
      </c>
      <c r="B64" s="1371"/>
      <c r="C64" s="438" t="s">
        <v>260</v>
      </c>
      <c r="D64" s="440">
        <v>300000</v>
      </c>
      <c r="E64" s="440"/>
      <c r="F64" s="441" t="s">
        <v>643</v>
      </c>
      <c r="G64" s="442">
        <v>44377</v>
      </c>
    </row>
    <row r="65" spans="1:7" s="2" customFormat="1" ht="12" customHeight="1">
      <c r="A65" s="1369" t="s">
        <v>644</v>
      </c>
      <c r="B65" s="1371"/>
      <c r="C65" s="438" t="s">
        <v>225</v>
      </c>
      <c r="D65" s="440"/>
      <c r="E65" s="440">
        <v>300000</v>
      </c>
      <c r="F65" s="441">
        <v>44377</v>
      </c>
      <c r="G65" s="442">
        <v>44377</v>
      </c>
    </row>
    <row r="66" spans="1:7" s="2" customFormat="1" ht="12" customHeight="1">
      <c r="A66" s="1369" t="s">
        <v>645</v>
      </c>
      <c r="B66" s="1370"/>
      <c r="C66" s="438" t="s">
        <v>646</v>
      </c>
      <c r="D66" s="440"/>
      <c r="E66" s="440">
        <v>-235800</v>
      </c>
      <c r="F66" s="441">
        <v>44552</v>
      </c>
      <c r="G66" s="442">
        <v>44561</v>
      </c>
    </row>
    <row r="67" spans="1:7" s="2" customFormat="1" ht="12" customHeight="1">
      <c r="A67" s="1369" t="s">
        <v>647</v>
      </c>
      <c r="B67" s="1370"/>
      <c r="C67" s="438" t="s">
        <v>225</v>
      </c>
      <c r="D67" s="440"/>
      <c r="E67" s="440">
        <v>26000</v>
      </c>
      <c r="F67" s="441">
        <v>44552</v>
      </c>
      <c r="G67" s="442">
        <v>44561</v>
      </c>
    </row>
    <row r="68" spans="1:7" s="2" customFormat="1" ht="12" customHeight="1">
      <c r="A68" s="1369" t="s">
        <v>648</v>
      </c>
      <c r="B68" s="1370"/>
      <c r="C68" s="438" t="s">
        <v>224</v>
      </c>
      <c r="D68" s="440"/>
      <c r="E68" s="440">
        <v>48800</v>
      </c>
      <c r="F68" s="441">
        <v>44552</v>
      </c>
      <c r="G68" s="442">
        <v>44561</v>
      </c>
    </row>
    <row r="69" spans="1:7" s="2" customFormat="1" ht="12" customHeight="1">
      <c r="A69" s="1369" t="s">
        <v>649</v>
      </c>
      <c r="B69" s="1370"/>
      <c r="C69" s="438" t="s">
        <v>650</v>
      </c>
      <c r="D69" s="440"/>
      <c r="E69" s="440">
        <v>161000</v>
      </c>
      <c r="F69" s="441">
        <v>44552</v>
      </c>
      <c r="G69" s="442">
        <v>44561</v>
      </c>
    </row>
    <row r="70" spans="1:7" s="2" customFormat="1" ht="12" customHeight="1">
      <c r="A70" s="1369" t="s">
        <v>651</v>
      </c>
      <c r="B70" s="1370"/>
      <c r="C70" s="438">
        <v>521</v>
      </c>
      <c r="D70" s="440"/>
      <c r="E70" s="440">
        <v>-10050</v>
      </c>
      <c r="F70" s="441">
        <v>44544</v>
      </c>
      <c r="G70" s="442">
        <v>44561</v>
      </c>
    </row>
    <row r="71" spans="1:7" s="2" customFormat="1" ht="12" customHeight="1">
      <c r="A71" s="1369" t="s">
        <v>652</v>
      </c>
      <c r="B71" s="1370"/>
      <c r="C71" s="438">
        <v>551</v>
      </c>
      <c r="D71" s="440"/>
      <c r="E71" s="440">
        <v>-17122</v>
      </c>
      <c r="F71" s="441">
        <v>44544</v>
      </c>
      <c r="G71" s="442">
        <v>44561</v>
      </c>
    </row>
    <row r="72" spans="1:7" s="2" customFormat="1" ht="12" customHeight="1">
      <c r="A72" s="1369" t="s">
        <v>653</v>
      </c>
      <c r="B72" s="1370"/>
      <c r="C72" s="438" t="s">
        <v>225</v>
      </c>
      <c r="D72" s="440"/>
      <c r="E72" s="440">
        <v>27172</v>
      </c>
      <c r="F72" s="441">
        <v>44544</v>
      </c>
      <c r="G72" s="442">
        <v>44561</v>
      </c>
    </row>
    <row r="73" spans="1:7" s="2" customFormat="1" ht="12" customHeight="1">
      <c r="A73" s="1369" t="s">
        <v>654</v>
      </c>
      <c r="B73" s="1370"/>
      <c r="C73" s="438">
        <v>521</v>
      </c>
      <c r="D73" s="440"/>
      <c r="E73" s="440">
        <v>-37632</v>
      </c>
      <c r="F73" s="441">
        <v>44502</v>
      </c>
      <c r="G73" s="442">
        <v>44561</v>
      </c>
    </row>
    <row r="74" spans="1:7" s="2" customFormat="1" ht="12" customHeight="1">
      <c r="A74" s="1369" t="s">
        <v>655</v>
      </c>
      <c r="B74" s="1370"/>
      <c r="C74" s="438">
        <v>511</v>
      </c>
      <c r="D74" s="440"/>
      <c r="E74" s="440">
        <v>37632</v>
      </c>
      <c r="F74" s="441">
        <v>44502</v>
      </c>
      <c r="G74" s="442">
        <v>44561</v>
      </c>
    </row>
    <row r="75" spans="1:7" s="2" customFormat="1" ht="12" customHeight="1">
      <c r="A75" s="1369" t="s">
        <v>656</v>
      </c>
      <c r="B75" s="1370"/>
      <c r="C75" s="438">
        <v>558</v>
      </c>
      <c r="D75" s="440"/>
      <c r="E75" s="440">
        <v>40000</v>
      </c>
      <c r="F75" s="441">
        <v>44488</v>
      </c>
      <c r="G75" s="442">
        <v>44561</v>
      </c>
    </row>
    <row r="76" spans="1:7" s="2" customFormat="1" ht="12" customHeight="1">
      <c r="A76" s="1369" t="s">
        <v>657</v>
      </c>
      <c r="B76" s="1370"/>
      <c r="C76" s="438">
        <v>672</v>
      </c>
      <c r="D76" s="440">
        <v>40000</v>
      </c>
      <c r="E76" s="440"/>
      <c r="F76" s="441">
        <v>44488</v>
      </c>
      <c r="G76" s="442">
        <v>44561</v>
      </c>
    </row>
    <row r="77" spans="1:7" s="2" customFormat="1" ht="12" customHeight="1">
      <c r="A77" s="1369" t="s">
        <v>658</v>
      </c>
      <c r="B77" s="1374"/>
      <c r="C77" s="438" t="s">
        <v>218</v>
      </c>
      <c r="D77" s="440"/>
      <c r="E77" s="440">
        <v>93287</v>
      </c>
      <c r="F77" s="441">
        <v>44561</v>
      </c>
      <c r="G77" s="442">
        <v>44561</v>
      </c>
    </row>
    <row r="78" spans="1:7" s="2" customFormat="1" ht="12" customHeight="1">
      <c r="A78" s="1369" t="s">
        <v>659</v>
      </c>
      <c r="B78" s="1374"/>
      <c r="C78" s="438" t="s">
        <v>269</v>
      </c>
      <c r="D78" s="440">
        <v>93287</v>
      </c>
      <c r="E78" s="440"/>
      <c r="F78" s="441">
        <v>44561</v>
      </c>
      <c r="G78" s="442">
        <v>44561</v>
      </c>
    </row>
    <row r="79" spans="1:7" s="2" customFormat="1" ht="10.15" customHeight="1">
      <c r="A79" s="1372" t="s">
        <v>458</v>
      </c>
      <c r="B79" s="1373"/>
      <c r="C79" s="444"/>
      <c r="D79" s="445">
        <f>SUM(D56:D78)</f>
        <v>1125755</v>
      </c>
      <c r="E79" s="445">
        <f>SUM(E56:E78)</f>
        <v>1125755</v>
      </c>
      <c r="F79" s="1375"/>
      <c r="G79" s="1376"/>
    </row>
    <row r="80" spans="1:7" s="2" customFormat="1" ht="11.25">
      <c r="A80" s="76"/>
      <c r="B80" s="76"/>
      <c r="C80" s="37"/>
      <c r="D80" s="37"/>
      <c r="E80" s="38"/>
    </row>
    <row r="81" spans="1:9" s="2" customFormat="1" ht="11.25">
      <c r="A81" s="1261" t="s">
        <v>459</v>
      </c>
      <c r="B81" s="1261"/>
      <c r="C81" s="1261"/>
      <c r="D81" s="1261"/>
      <c r="E81" s="1261"/>
      <c r="F81" s="1261"/>
      <c r="G81" s="1261"/>
      <c r="H81" s="1261"/>
      <c r="I81" s="1261"/>
    </row>
    <row r="82" spans="1:9" s="2" customFormat="1" ht="11.25">
      <c r="A82" s="2" t="s">
        <v>90</v>
      </c>
    </row>
    <row r="83" spans="1:9" s="2" customFormat="1" ht="11.25">
      <c r="A83" s="1258" t="s">
        <v>301</v>
      </c>
      <c r="B83" s="1259"/>
      <c r="C83" s="1259"/>
      <c r="D83" s="1259"/>
      <c r="E83" s="1259"/>
      <c r="F83" s="1259"/>
      <c r="G83" s="1259"/>
      <c r="H83" s="1259"/>
      <c r="I83" s="1260"/>
    </row>
    <row r="84" spans="1:9" s="2" customFormat="1" ht="11.25">
      <c r="A84" s="1258"/>
      <c r="B84" s="1259"/>
      <c r="C84" s="1259"/>
      <c r="D84" s="1259"/>
      <c r="E84" s="1259"/>
      <c r="F84" s="1259"/>
      <c r="G84" s="1259"/>
      <c r="H84" s="1259"/>
      <c r="I84" s="1260"/>
    </row>
    <row r="85" spans="1:9" s="2" customFormat="1" ht="0.75" customHeight="1">
      <c r="A85" s="1258"/>
      <c r="B85" s="1259"/>
      <c r="C85" s="1259"/>
      <c r="D85" s="1259"/>
      <c r="E85" s="1259"/>
      <c r="F85" s="1259"/>
      <c r="G85" s="1259"/>
      <c r="H85" s="1259"/>
      <c r="I85" s="1260"/>
    </row>
    <row r="86" spans="1:9" s="2" customFormat="1" ht="11.25" hidden="1"/>
    <row r="87" spans="1:9" s="281" customFormat="1" ht="10.5">
      <c r="A87" s="1189" t="s">
        <v>461</v>
      </c>
      <c r="B87" s="1189"/>
      <c r="C87" s="1189"/>
      <c r="D87" s="1189"/>
      <c r="E87" s="1189"/>
      <c r="F87" s="1189"/>
      <c r="G87" s="1189"/>
      <c r="H87" s="1189"/>
      <c r="I87" s="1189"/>
    </row>
    <row r="88" spans="1:9" s="2" customFormat="1" ht="11.25">
      <c r="A88" s="2" t="s">
        <v>90</v>
      </c>
    </row>
    <row r="89" spans="1:9" s="2" customFormat="1" ht="12.6" customHeight="1">
      <c r="A89" s="1258" t="s">
        <v>660</v>
      </c>
      <c r="B89" s="1259"/>
      <c r="C89" s="1259"/>
      <c r="D89" s="1259"/>
      <c r="E89" s="1259"/>
      <c r="F89" s="1259"/>
      <c r="G89" s="1259"/>
      <c r="H89" s="1259"/>
      <c r="I89" s="1260"/>
    </row>
    <row r="90" spans="1:9" s="2" customFormat="1" ht="16.149999999999999" customHeight="1">
      <c r="A90" s="1258"/>
      <c r="B90" s="1259"/>
      <c r="C90" s="1259"/>
      <c r="D90" s="1259"/>
      <c r="E90" s="1259"/>
      <c r="F90" s="1259"/>
      <c r="G90" s="1259"/>
      <c r="H90" s="1259"/>
      <c r="I90" s="1260"/>
    </row>
    <row r="91" spans="1:9" s="2" customFormat="1" ht="16.149999999999999" customHeight="1">
      <c r="A91" s="76"/>
      <c r="B91" s="76"/>
      <c r="C91" s="76"/>
      <c r="D91" s="76"/>
      <c r="E91" s="76"/>
      <c r="F91" s="76"/>
      <c r="G91" s="76"/>
      <c r="H91" s="76"/>
      <c r="I91" s="76"/>
    </row>
    <row r="92" spans="1:9">
      <c r="A92" s="2" t="s">
        <v>302</v>
      </c>
    </row>
    <row r="93" spans="1:9">
      <c r="A93" s="2" t="s">
        <v>303</v>
      </c>
    </row>
    <row r="94" spans="1:9">
      <c r="A94" s="2"/>
    </row>
    <row r="95" spans="1:9">
      <c r="A95" s="2" t="s">
        <v>661</v>
      </c>
    </row>
  </sheetData>
  <mergeCells count="70">
    <mergeCell ref="A15:A17"/>
    <mergeCell ref="D32:I34"/>
    <mergeCell ref="A20:I20"/>
    <mergeCell ref="F22:I22"/>
    <mergeCell ref="F23:I23"/>
    <mergeCell ref="F24:I24"/>
    <mergeCell ref="F25:I25"/>
    <mergeCell ref="F26:I26"/>
    <mergeCell ref="F27:I27"/>
    <mergeCell ref="D31:I31"/>
    <mergeCell ref="C35:I35"/>
    <mergeCell ref="A29:I29"/>
    <mergeCell ref="C49:I49"/>
    <mergeCell ref="C50:I50"/>
    <mergeCell ref="C48:I48"/>
    <mergeCell ref="D39:I39"/>
    <mergeCell ref="C43:I43"/>
    <mergeCell ref="A37:I37"/>
    <mergeCell ref="D42:I42"/>
    <mergeCell ref="A3:I3"/>
    <mergeCell ref="A11:I11"/>
    <mergeCell ref="A5:B5"/>
    <mergeCell ref="A6:B6"/>
    <mergeCell ref="A7:B7"/>
    <mergeCell ref="A8:B8"/>
    <mergeCell ref="D5:I5"/>
    <mergeCell ref="D6:I6"/>
    <mergeCell ref="D7:I7"/>
    <mergeCell ref="D8:I8"/>
    <mergeCell ref="A9:B9"/>
    <mergeCell ref="D9:I9"/>
    <mergeCell ref="A59:B59"/>
    <mergeCell ref="D40:I40"/>
    <mergeCell ref="F79:G79"/>
    <mergeCell ref="A81:I81"/>
    <mergeCell ref="A83:I83"/>
    <mergeCell ref="A78:B78"/>
    <mergeCell ref="A58:B58"/>
    <mergeCell ref="A45:I45"/>
    <mergeCell ref="C47:I47"/>
    <mergeCell ref="D41:I41"/>
    <mergeCell ref="C51:I51"/>
    <mergeCell ref="A53:I53"/>
    <mergeCell ref="A55:B55"/>
    <mergeCell ref="A56:B56"/>
    <mergeCell ref="A57:B57"/>
    <mergeCell ref="A69:B69"/>
    <mergeCell ref="A71:B71"/>
    <mergeCell ref="A72:B72"/>
    <mergeCell ref="A73:B73"/>
    <mergeCell ref="A79:B79"/>
    <mergeCell ref="A74:B74"/>
    <mergeCell ref="A75:B75"/>
    <mergeCell ref="A76:B76"/>
    <mergeCell ref="A77:B77"/>
    <mergeCell ref="A60:B60"/>
    <mergeCell ref="A61:B61"/>
    <mergeCell ref="A62:B62"/>
    <mergeCell ref="A63:B63"/>
    <mergeCell ref="A70:B70"/>
    <mergeCell ref="A64:B64"/>
    <mergeCell ref="A65:B65"/>
    <mergeCell ref="A66:B66"/>
    <mergeCell ref="A67:B67"/>
    <mergeCell ref="A68:B68"/>
    <mergeCell ref="A89:I89"/>
    <mergeCell ref="A90:I90"/>
    <mergeCell ref="A84:I84"/>
    <mergeCell ref="A85:I85"/>
    <mergeCell ref="A87:I87"/>
  </mergeCells>
  <pageMargins left="0.23622047244094491" right="0.23622047244094491" top="0.74803149606299213" bottom="0.74803149606299213" header="0.31496062992125984" footer="0.31496062992125984"/>
  <pageSetup paperSize="9" firstPageNumber="150" fitToHeight="4"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opLeftCell="A16" zoomScale="130" zoomScaleNormal="130" workbookViewId="0">
      <selection sqref="A1:XFD1048576"/>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28" width="6.5" style="114"/>
    <col min="29" max="29" width="21" style="114" customWidth="1"/>
    <col min="30" max="16384" width="6.5" style="114"/>
  </cols>
  <sheetData>
    <row r="1" spans="1:24" s="72" customFormat="1" ht="15.75">
      <c r="A1" s="1262" t="s">
        <v>662</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 r="A3" s="1384" t="s">
        <v>39</v>
      </c>
      <c r="B3" s="1394" t="s">
        <v>40</v>
      </c>
      <c r="C3" s="1395"/>
      <c r="D3" s="1400" t="s">
        <v>41</v>
      </c>
      <c r="E3" s="1387" t="s">
        <v>34</v>
      </c>
      <c r="F3" s="1388"/>
      <c r="G3" s="1388"/>
      <c r="H3" s="1388"/>
      <c r="I3" s="1389"/>
      <c r="J3" s="1387" t="s">
        <v>38</v>
      </c>
      <c r="K3" s="1388"/>
      <c r="L3" s="1388"/>
      <c r="M3" s="1388"/>
      <c r="N3" s="1389"/>
      <c r="O3" s="1387" t="s">
        <v>42</v>
      </c>
      <c r="P3" s="1388"/>
      <c r="Q3" s="1388"/>
      <c r="R3" s="1388"/>
      <c r="S3" s="1389"/>
      <c r="T3" s="1387" t="s">
        <v>37</v>
      </c>
      <c r="U3" s="1388"/>
      <c r="V3" s="1388"/>
      <c r="W3" s="1388"/>
      <c r="X3" s="1389"/>
    </row>
    <row r="4" spans="1:24" s="316" customFormat="1" ht="9.75">
      <c r="A4" s="1385"/>
      <c r="B4" s="1396"/>
      <c r="C4" s="1397"/>
      <c r="D4" s="1401"/>
      <c r="E4" s="1379" t="s">
        <v>235</v>
      </c>
      <c r="F4" s="1381" t="s">
        <v>465</v>
      </c>
      <c r="G4" s="1382"/>
      <c r="H4" s="1383"/>
      <c r="I4" s="1392" t="s">
        <v>466</v>
      </c>
      <c r="J4" s="1379" t="s">
        <v>235</v>
      </c>
      <c r="K4" s="1381" t="s">
        <v>465</v>
      </c>
      <c r="L4" s="1382"/>
      <c r="M4" s="1383"/>
      <c r="N4" s="1392" t="s">
        <v>466</v>
      </c>
      <c r="O4" s="1379" t="s">
        <v>235</v>
      </c>
      <c r="P4" s="1381" t="s">
        <v>465</v>
      </c>
      <c r="Q4" s="1382"/>
      <c r="R4" s="1383"/>
      <c r="S4" s="1392" t="s">
        <v>466</v>
      </c>
      <c r="T4" s="1379" t="s">
        <v>235</v>
      </c>
      <c r="U4" s="1381" t="s">
        <v>465</v>
      </c>
      <c r="V4" s="1382"/>
      <c r="W4" s="1383"/>
      <c r="X4" s="1392" t="s">
        <v>466</v>
      </c>
    </row>
    <row r="5" spans="1:24" s="317" customFormat="1" ht="10.5" thickBot="1">
      <c r="A5" s="1386"/>
      <c r="B5" s="1398"/>
      <c r="C5" s="1399"/>
      <c r="D5" s="1402"/>
      <c r="E5" s="1380"/>
      <c r="F5" s="246" t="s">
        <v>97</v>
      </c>
      <c r="G5" s="246" t="s">
        <v>35</v>
      </c>
      <c r="H5" s="246" t="s">
        <v>236</v>
      </c>
      <c r="I5" s="1393"/>
      <c r="J5" s="1380"/>
      <c r="K5" s="246" t="s">
        <v>97</v>
      </c>
      <c r="L5" s="246" t="s">
        <v>35</v>
      </c>
      <c r="M5" s="246" t="s">
        <v>236</v>
      </c>
      <c r="N5" s="1393"/>
      <c r="O5" s="1380"/>
      <c r="P5" s="246" t="s">
        <v>97</v>
      </c>
      <c r="Q5" s="246" t="s">
        <v>35</v>
      </c>
      <c r="R5" s="246" t="s">
        <v>236</v>
      </c>
      <c r="S5" s="1393"/>
      <c r="T5" s="1380"/>
      <c r="U5" s="246" t="s">
        <v>97</v>
      </c>
      <c r="V5" s="246" t="s">
        <v>35</v>
      </c>
      <c r="W5" s="246" t="s">
        <v>236</v>
      </c>
      <c r="X5" s="1393"/>
    </row>
    <row r="6" spans="1:24" s="315" customFormat="1" ht="15" customHeight="1">
      <c r="A6" s="247" t="s">
        <v>0</v>
      </c>
      <c r="B6" s="1409" t="s">
        <v>1</v>
      </c>
      <c r="C6" s="1410"/>
      <c r="D6" s="248" t="s">
        <v>25</v>
      </c>
      <c r="E6" s="249">
        <f>SUM(E7:E9)</f>
        <v>53626192</v>
      </c>
      <c r="F6" s="250">
        <f>SUM(F7:F9)</f>
        <v>63045148.100000001</v>
      </c>
      <c r="G6" s="250">
        <f>SUM(G7:G9)</f>
        <v>58873720.469999999</v>
      </c>
      <c r="H6" s="251">
        <f t="shared" ref="H6:H37" si="0">G6/F6*100</f>
        <v>93.383427978655192</v>
      </c>
      <c r="I6" s="252">
        <f>SUM(I7:I9)</f>
        <v>52865802.080000006</v>
      </c>
      <c r="J6" s="249">
        <f>SUM(J7:J9)</f>
        <v>8930000</v>
      </c>
      <c r="K6" s="250">
        <f t="shared" ref="K6:X6" si="1">SUM(K7:K9)</f>
        <v>11433901</v>
      </c>
      <c r="L6" s="250">
        <f t="shared" si="1"/>
        <v>9221915.2599999998</v>
      </c>
      <c r="M6" s="251">
        <f t="shared" ref="M6:M37" si="2">L6/K6*100</f>
        <v>80.654146471969625</v>
      </c>
      <c r="N6" s="252">
        <f t="shared" si="1"/>
        <v>7761653.9900000002</v>
      </c>
      <c r="O6" s="249">
        <f t="shared" si="1"/>
        <v>44696192</v>
      </c>
      <c r="P6" s="250">
        <f t="shared" si="1"/>
        <v>51611247.100000001</v>
      </c>
      <c r="Q6" s="250">
        <f t="shared" si="1"/>
        <v>49651805.210000001</v>
      </c>
      <c r="R6" s="251">
        <f t="shared" ref="R6:R37" si="3">Q6/P6*100</f>
        <v>96.203459516869529</v>
      </c>
      <c r="S6" s="252">
        <f t="shared" si="1"/>
        <v>45104148.090000004</v>
      </c>
      <c r="T6" s="249">
        <f t="shared" si="1"/>
        <v>732804</v>
      </c>
      <c r="U6" s="250">
        <f t="shared" si="1"/>
        <v>732804</v>
      </c>
      <c r="V6" s="250">
        <f t="shared" si="1"/>
        <v>530862</v>
      </c>
      <c r="W6" s="251">
        <f t="shared" ref="W6:W37" si="4">V6/U6*100</f>
        <v>72.442563086446029</v>
      </c>
      <c r="X6" s="252">
        <f t="shared" si="1"/>
        <v>443008</v>
      </c>
    </row>
    <row r="7" spans="1:24" s="315" customFormat="1" ht="33.75" customHeight="1">
      <c r="A7" s="230" t="s">
        <v>2</v>
      </c>
      <c r="B7" s="1390" t="s">
        <v>44</v>
      </c>
      <c r="C7" s="1391"/>
      <c r="D7" s="245" t="s">
        <v>25</v>
      </c>
      <c r="E7" s="198">
        <f t="shared" ref="E7:G10" si="5">SUM(J7,O7)</f>
        <v>4830000</v>
      </c>
      <c r="F7" s="184">
        <f t="shared" si="5"/>
        <v>5003565.95</v>
      </c>
      <c r="G7" s="184">
        <f t="shared" si="5"/>
        <v>4103734</v>
      </c>
      <c r="H7" s="185">
        <f t="shared" si="0"/>
        <v>82.016186875682124</v>
      </c>
      <c r="I7" s="199">
        <f>SUM(N7,S7)</f>
        <v>2589724</v>
      </c>
      <c r="J7" s="203">
        <v>4830000</v>
      </c>
      <c r="K7" s="186">
        <f>J7-219689</f>
        <v>4610311</v>
      </c>
      <c r="L7" s="186">
        <f>787543.05+2922936</f>
        <v>3710479.05</v>
      </c>
      <c r="M7" s="185">
        <f t="shared" si="2"/>
        <v>80.482185475123032</v>
      </c>
      <c r="N7" s="123">
        <v>2583604</v>
      </c>
      <c r="O7" s="219">
        <v>0</v>
      </c>
      <c r="P7" s="186">
        <f>108009.2+285245.75</f>
        <v>393254.95</v>
      </c>
      <c r="Q7" s="186">
        <f>108009.2+285245.75</f>
        <v>393254.95</v>
      </c>
      <c r="R7" s="185">
        <f t="shared" si="3"/>
        <v>100</v>
      </c>
      <c r="S7" s="123">
        <v>6120</v>
      </c>
      <c r="T7" s="219">
        <v>732804</v>
      </c>
      <c r="U7" s="186">
        <v>732804</v>
      </c>
      <c r="V7" s="186">
        <v>530862</v>
      </c>
      <c r="W7" s="185">
        <f t="shared" si="4"/>
        <v>72.442563086446029</v>
      </c>
      <c r="X7" s="123">
        <v>443008</v>
      </c>
    </row>
    <row r="8" spans="1:24" s="315" customFormat="1" ht="27" customHeight="1">
      <c r="A8" s="231" t="s">
        <v>3</v>
      </c>
      <c r="B8" s="1407" t="s">
        <v>45</v>
      </c>
      <c r="C8" s="1408"/>
      <c r="D8" s="245" t="s">
        <v>25</v>
      </c>
      <c r="E8" s="198">
        <f t="shared" si="5"/>
        <v>0</v>
      </c>
      <c r="F8" s="184">
        <f t="shared" si="5"/>
        <v>0</v>
      </c>
      <c r="G8" s="184">
        <f t="shared" si="5"/>
        <v>0</v>
      </c>
      <c r="H8" s="185" t="e">
        <f t="shared" si="0"/>
        <v>#DIV/0!</v>
      </c>
      <c r="I8" s="199">
        <f>SUM(N8,S8)</f>
        <v>0</v>
      </c>
      <c r="J8" s="205">
        <v>0</v>
      </c>
      <c r="K8" s="184">
        <v>0</v>
      </c>
      <c r="L8" s="184">
        <v>0</v>
      </c>
      <c r="M8" s="185" t="e">
        <f t="shared" si="2"/>
        <v>#DIV/0!</v>
      </c>
      <c r="N8" s="122"/>
      <c r="O8" s="198">
        <v>0</v>
      </c>
      <c r="P8" s="184">
        <v>0</v>
      </c>
      <c r="Q8" s="184">
        <v>0</v>
      </c>
      <c r="R8" s="185" t="e">
        <f t="shared" si="3"/>
        <v>#DIV/0!</v>
      </c>
      <c r="S8" s="122">
        <v>0</v>
      </c>
      <c r="T8" s="198">
        <v>0</v>
      </c>
      <c r="U8" s="184">
        <v>0</v>
      </c>
      <c r="V8" s="184">
        <v>0</v>
      </c>
      <c r="W8" s="185" t="e">
        <f t="shared" si="4"/>
        <v>#DIV/0!</v>
      </c>
      <c r="X8" s="122">
        <v>0</v>
      </c>
    </row>
    <row r="9" spans="1:24" s="315" customFormat="1" ht="15" customHeight="1">
      <c r="A9" s="231" t="s">
        <v>4</v>
      </c>
      <c r="B9" s="187" t="s">
        <v>60</v>
      </c>
      <c r="C9" s="262"/>
      <c r="D9" s="245" t="s">
        <v>25</v>
      </c>
      <c r="E9" s="198">
        <f t="shared" si="5"/>
        <v>48796192</v>
      </c>
      <c r="F9" s="184">
        <f t="shared" si="5"/>
        <v>58041582.149999999</v>
      </c>
      <c r="G9" s="184">
        <f t="shared" si="5"/>
        <v>54769986.469999999</v>
      </c>
      <c r="H9" s="185">
        <f t="shared" si="0"/>
        <v>94.363358890622521</v>
      </c>
      <c r="I9" s="199">
        <f>SUM(N9,S9)</f>
        <v>50276078.080000006</v>
      </c>
      <c r="J9" s="205">
        <v>4100000</v>
      </c>
      <c r="K9" s="184">
        <f>J9+2723590</f>
        <v>6823590</v>
      </c>
      <c r="L9" s="184">
        <v>5511436.21</v>
      </c>
      <c r="M9" s="185">
        <f t="shared" si="2"/>
        <v>80.770330720339288</v>
      </c>
      <c r="N9" s="122">
        <v>5178049.99</v>
      </c>
      <c r="O9" s="198">
        <v>44696192</v>
      </c>
      <c r="P9" s="184">
        <v>51217992.149999999</v>
      </c>
      <c r="Q9" s="184">
        <v>49258550.259999998</v>
      </c>
      <c r="R9" s="185">
        <f t="shared" si="3"/>
        <v>96.174309441374689</v>
      </c>
      <c r="S9" s="184">
        <v>45098028.090000004</v>
      </c>
      <c r="T9" s="198">
        <v>0</v>
      </c>
      <c r="U9" s="184">
        <v>0</v>
      </c>
      <c r="V9" s="184">
        <v>0</v>
      </c>
      <c r="W9" s="185" t="e">
        <f t="shared" si="4"/>
        <v>#DIV/0!</v>
      </c>
      <c r="X9" s="122">
        <v>0</v>
      </c>
    </row>
    <row r="10" spans="1:24" s="315" customFormat="1" ht="9.75">
      <c r="A10" s="229" t="s">
        <v>5</v>
      </c>
      <c r="B10" s="1403" t="s">
        <v>7</v>
      </c>
      <c r="C10" s="1404"/>
      <c r="D10" s="245" t="s">
        <v>25</v>
      </c>
      <c r="E10" s="200">
        <f t="shared" si="5"/>
        <v>0</v>
      </c>
      <c r="F10" s="182">
        <f t="shared" si="5"/>
        <v>0</v>
      </c>
      <c r="G10" s="182">
        <f t="shared" si="5"/>
        <v>0</v>
      </c>
      <c r="H10" s="180" t="e">
        <f t="shared" si="0"/>
        <v>#DIV/0!</v>
      </c>
      <c r="I10" s="201">
        <f>SUM(N10,S10)</f>
        <v>0</v>
      </c>
      <c r="J10" s="206"/>
      <c r="K10" s="182"/>
      <c r="L10" s="182"/>
      <c r="M10" s="180" t="e">
        <f t="shared" si="2"/>
        <v>#DIV/0!</v>
      </c>
      <c r="N10" s="201"/>
      <c r="O10" s="200"/>
      <c r="P10" s="182"/>
      <c r="Q10" s="182"/>
      <c r="R10" s="180" t="e">
        <f t="shared" si="3"/>
        <v>#DIV/0!</v>
      </c>
      <c r="S10" s="201"/>
      <c r="T10" s="200"/>
      <c r="U10" s="182"/>
      <c r="V10" s="182"/>
      <c r="W10" s="180" t="e">
        <f t="shared" si="4"/>
        <v>#DIV/0!</v>
      </c>
      <c r="X10" s="201"/>
    </row>
    <row r="11" spans="1:24" s="315" customFormat="1" ht="9.75">
      <c r="A11" s="229" t="s">
        <v>6</v>
      </c>
      <c r="B11" s="1403" t="s">
        <v>9</v>
      </c>
      <c r="C11" s="1404"/>
      <c r="D11" s="245" t="s">
        <v>25</v>
      </c>
      <c r="E11" s="196">
        <f>SUM(E12:E31)</f>
        <v>53626192</v>
      </c>
      <c r="F11" s="181">
        <f>SUM(F12:F31)</f>
        <v>63045147.519999996</v>
      </c>
      <c r="G11" s="181">
        <f>SUM(G12:G31)</f>
        <v>58859935.549999997</v>
      </c>
      <c r="H11" s="180">
        <f t="shared" si="0"/>
        <v>93.361563681531052</v>
      </c>
      <c r="I11" s="197">
        <f>SUM(I12:I31)</f>
        <v>52820149.600000001</v>
      </c>
      <c r="J11" s="196">
        <f>SUM(J12:J31)</f>
        <v>8930000</v>
      </c>
      <c r="K11" s="181">
        <f>SUM(K12:K31)</f>
        <v>11433900.52</v>
      </c>
      <c r="L11" s="181">
        <f>SUM(L12:L31)</f>
        <v>9208130.3399999999</v>
      </c>
      <c r="M11" s="180">
        <f t="shared" si="2"/>
        <v>80.533588025304951</v>
      </c>
      <c r="N11" s="197">
        <f>SUM(N12:N31)</f>
        <v>7716001.5100000007</v>
      </c>
      <c r="O11" s="196">
        <f>SUM(O12:O31)</f>
        <v>44696192</v>
      </c>
      <c r="P11" s="181">
        <f>SUM(P12:P31)</f>
        <v>51611247</v>
      </c>
      <c r="Q11" s="181">
        <f>SUM(Q12:Q31)</f>
        <v>49651805.210000001</v>
      </c>
      <c r="R11" s="180">
        <f t="shared" si="3"/>
        <v>96.203459703269729</v>
      </c>
      <c r="S11" s="197">
        <f>SUM(S12:S31)</f>
        <v>45104148.089999996</v>
      </c>
      <c r="T11" s="196">
        <f>SUM(T12:T31)</f>
        <v>589818</v>
      </c>
      <c r="U11" s="181">
        <f>SUM(U12:U31)</f>
        <v>589818</v>
      </c>
      <c r="V11" s="181">
        <f>SUM(V12:V31)</f>
        <v>386820.6</v>
      </c>
      <c r="W11" s="180">
        <f t="shared" si="4"/>
        <v>65.583044261111041</v>
      </c>
      <c r="X11" s="197">
        <f>SUM(X12:X31)</f>
        <v>375428.57</v>
      </c>
    </row>
    <row r="12" spans="1:24" s="315" customFormat="1" ht="9.75">
      <c r="A12" s="232" t="s">
        <v>8</v>
      </c>
      <c r="B12" s="1405" t="s">
        <v>28</v>
      </c>
      <c r="C12" s="1406"/>
      <c r="D12" s="245" t="s">
        <v>25</v>
      </c>
      <c r="E12" s="198">
        <f>SUM(J12,O12)</f>
        <v>6035692</v>
      </c>
      <c r="F12" s="184">
        <f t="shared" ref="E12:I27" si="6">SUM(K12,P12)</f>
        <v>6792379</v>
      </c>
      <c r="G12" s="184">
        <f t="shared" si="6"/>
        <v>4647911.17</v>
      </c>
      <c r="H12" s="185">
        <f t="shared" si="0"/>
        <v>68.428324891764731</v>
      </c>
      <c r="I12" s="199">
        <f t="shared" si="6"/>
        <v>3467467.48</v>
      </c>
      <c r="J12" s="207">
        <v>4867500</v>
      </c>
      <c r="K12" s="188">
        <f>J12+328632</f>
        <v>5196132</v>
      </c>
      <c r="L12" s="188">
        <v>3431163.08</v>
      </c>
      <c r="M12" s="185">
        <f t="shared" si="2"/>
        <v>66.033023795392424</v>
      </c>
      <c r="N12" s="124">
        <v>2868123.31</v>
      </c>
      <c r="O12" s="220">
        <v>1168192</v>
      </c>
      <c r="P12" s="188">
        <v>1596247</v>
      </c>
      <c r="Q12" s="188">
        <f>4647911.17-L12</f>
        <v>1216748.0899999999</v>
      </c>
      <c r="R12" s="185">
        <f t="shared" si="3"/>
        <v>76.225552185845913</v>
      </c>
      <c r="S12" s="188">
        <v>599344.17000000004</v>
      </c>
      <c r="T12" s="220">
        <v>260200</v>
      </c>
      <c r="U12" s="188">
        <v>253200</v>
      </c>
      <c r="V12" s="188">
        <v>212209.1</v>
      </c>
      <c r="W12" s="185">
        <f t="shared" si="4"/>
        <v>83.810860979462873</v>
      </c>
      <c r="X12" s="124">
        <v>163035.9</v>
      </c>
    </row>
    <row r="13" spans="1:24" s="315" customFormat="1" ht="9.75">
      <c r="A13" s="230" t="s">
        <v>10</v>
      </c>
      <c r="B13" s="1390" t="s">
        <v>29</v>
      </c>
      <c r="C13" s="1391"/>
      <c r="D13" s="245" t="s">
        <v>25</v>
      </c>
      <c r="E13" s="198">
        <f t="shared" si="6"/>
        <v>1790000</v>
      </c>
      <c r="F13" s="184">
        <f t="shared" si="6"/>
        <v>1590000</v>
      </c>
      <c r="G13" s="184">
        <f t="shared" si="6"/>
        <v>1318609.6299999999</v>
      </c>
      <c r="H13" s="185">
        <f t="shared" si="0"/>
        <v>82.931423270440234</v>
      </c>
      <c r="I13" s="199">
        <f t="shared" si="6"/>
        <v>1365888.05</v>
      </c>
      <c r="J13" s="207">
        <v>1790000</v>
      </c>
      <c r="K13" s="184">
        <f>J13-200000</f>
        <v>1590000</v>
      </c>
      <c r="L13" s="184">
        <v>1318609.6299999999</v>
      </c>
      <c r="M13" s="185">
        <f t="shared" si="2"/>
        <v>82.931423270440234</v>
      </c>
      <c r="N13" s="122">
        <v>1365888.05</v>
      </c>
      <c r="O13" s="198">
        <v>0</v>
      </c>
      <c r="P13" s="184">
        <v>0</v>
      </c>
      <c r="Q13" s="184">
        <v>0</v>
      </c>
      <c r="R13" s="185" t="e">
        <f t="shared" si="3"/>
        <v>#DIV/0!</v>
      </c>
      <c r="S13" s="184">
        <v>0</v>
      </c>
      <c r="T13" s="198">
        <v>98700</v>
      </c>
      <c r="U13" s="184">
        <v>58700</v>
      </c>
      <c r="V13" s="184">
        <v>33788</v>
      </c>
      <c r="W13" s="185">
        <f t="shared" si="4"/>
        <v>57.560477001703582</v>
      </c>
      <c r="X13" s="122">
        <v>46753</v>
      </c>
    </row>
    <row r="14" spans="1:24" s="315" customFormat="1" ht="15" customHeight="1">
      <c r="A14" s="230" t="s">
        <v>11</v>
      </c>
      <c r="B14" s="260" t="s">
        <v>61</v>
      </c>
      <c r="C14" s="260"/>
      <c r="D14" s="245" t="s">
        <v>25</v>
      </c>
      <c r="E14" s="198">
        <f t="shared" si="6"/>
        <v>0</v>
      </c>
      <c r="F14" s="184">
        <f t="shared" si="6"/>
        <v>0</v>
      </c>
      <c r="G14" s="184">
        <f t="shared" si="6"/>
        <v>0</v>
      </c>
      <c r="H14" s="185" t="e">
        <f t="shared" si="0"/>
        <v>#DIV/0!</v>
      </c>
      <c r="I14" s="199">
        <f t="shared" si="6"/>
        <v>0</v>
      </c>
      <c r="J14" s="207">
        <v>0</v>
      </c>
      <c r="K14" s="184">
        <v>0</v>
      </c>
      <c r="L14" s="184">
        <v>0</v>
      </c>
      <c r="M14" s="185" t="e">
        <f t="shared" si="2"/>
        <v>#DIV/0!</v>
      </c>
      <c r="N14" s="122">
        <v>0</v>
      </c>
      <c r="O14" s="198">
        <v>0</v>
      </c>
      <c r="P14" s="184">
        <v>0</v>
      </c>
      <c r="Q14" s="184">
        <v>0</v>
      </c>
      <c r="R14" s="185" t="e">
        <f t="shared" si="3"/>
        <v>#DIV/0!</v>
      </c>
      <c r="S14" s="184">
        <v>0</v>
      </c>
      <c r="T14" s="198">
        <v>0</v>
      </c>
      <c r="U14" s="184">
        <v>0</v>
      </c>
      <c r="V14" s="184">
        <v>0</v>
      </c>
      <c r="W14" s="185" t="e">
        <f t="shared" si="4"/>
        <v>#DIV/0!</v>
      </c>
      <c r="X14" s="122">
        <v>0</v>
      </c>
    </row>
    <row r="15" spans="1:24" s="315" customFormat="1" ht="15" customHeight="1">
      <c r="A15" s="230" t="s">
        <v>12</v>
      </c>
      <c r="B15" s="1390" t="s">
        <v>62</v>
      </c>
      <c r="C15" s="1391"/>
      <c r="D15" s="245" t="s">
        <v>25</v>
      </c>
      <c r="E15" s="198">
        <f t="shared" si="6"/>
        <v>592918</v>
      </c>
      <c r="F15" s="184">
        <f t="shared" si="6"/>
        <v>1656954.52</v>
      </c>
      <c r="G15" s="184">
        <f t="shared" si="6"/>
        <v>1616481.3800000001</v>
      </c>
      <c r="H15" s="185">
        <f t="shared" si="0"/>
        <v>97.557377736595939</v>
      </c>
      <c r="I15" s="199">
        <f t="shared" si="6"/>
        <v>1494829.7</v>
      </c>
      <c r="J15" s="207">
        <v>592918</v>
      </c>
      <c r="K15" s="184">
        <f>J15+1059036.52</f>
        <v>1651954.52</v>
      </c>
      <c r="L15" s="184">
        <v>1613691.04</v>
      </c>
      <c r="M15" s="185">
        <f t="shared" si="2"/>
        <v>97.683744949588572</v>
      </c>
      <c r="N15" s="122">
        <v>1494829.7</v>
      </c>
      <c r="O15" s="198">
        <v>0</v>
      </c>
      <c r="P15" s="184">
        <v>5000</v>
      </c>
      <c r="Q15" s="184">
        <v>2790.34</v>
      </c>
      <c r="R15" s="185">
        <f t="shared" si="3"/>
        <v>55.806800000000003</v>
      </c>
      <c r="S15" s="184">
        <v>0</v>
      </c>
      <c r="T15" s="198">
        <v>15000</v>
      </c>
      <c r="U15" s="184">
        <v>15000</v>
      </c>
      <c r="V15" s="184">
        <v>2948.45</v>
      </c>
      <c r="W15" s="185">
        <f t="shared" si="4"/>
        <v>19.656333333333333</v>
      </c>
      <c r="X15" s="122">
        <v>6891.5</v>
      </c>
    </row>
    <row r="16" spans="1:24" s="315" customFormat="1" ht="15" customHeight="1">
      <c r="A16" s="230" t="s">
        <v>13</v>
      </c>
      <c r="B16" s="1390" t="s">
        <v>30</v>
      </c>
      <c r="C16" s="1391"/>
      <c r="D16" s="245" t="s">
        <v>25</v>
      </c>
      <c r="E16" s="198">
        <f t="shared" si="6"/>
        <v>206000</v>
      </c>
      <c r="F16" s="184">
        <f t="shared" si="6"/>
        <v>16000</v>
      </c>
      <c r="G16" s="184">
        <f t="shared" si="6"/>
        <v>9330</v>
      </c>
      <c r="H16" s="185">
        <f t="shared" si="0"/>
        <v>58.3125</v>
      </c>
      <c r="I16" s="199">
        <f t="shared" si="6"/>
        <v>17227</v>
      </c>
      <c r="J16" s="207">
        <v>6000</v>
      </c>
      <c r="K16" s="184">
        <f>J16</f>
        <v>6000</v>
      </c>
      <c r="L16" s="184">
        <v>1560</v>
      </c>
      <c r="M16" s="185">
        <f t="shared" si="2"/>
        <v>26</v>
      </c>
      <c r="N16" s="122">
        <v>95</v>
      </c>
      <c r="O16" s="198">
        <v>200000</v>
      </c>
      <c r="P16" s="184">
        <v>10000</v>
      </c>
      <c r="Q16" s="184">
        <f>9330-L16</f>
        <v>7770</v>
      </c>
      <c r="R16" s="185">
        <f t="shared" si="3"/>
        <v>77.7</v>
      </c>
      <c r="S16" s="184">
        <v>17132</v>
      </c>
      <c r="T16" s="198">
        <v>0</v>
      </c>
      <c r="U16" s="184">
        <v>0</v>
      </c>
      <c r="V16" s="184">
        <v>0</v>
      </c>
      <c r="W16" s="185" t="e">
        <f t="shared" si="4"/>
        <v>#DIV/0!</v>
      </c>
      <c r="X16" s="122">
        <v>0</v>
      </c>
    </row>
    <row r="17" spans="1:24" s="315" customFormat="1" ht="15" customHeight="1">
      <c r="A17" s="230" t="s">
        <v>14</v>
      </c>
      <c r="B17" s="260" t="s">
        <v>46</v>
      </c>
      <c r="C17" s="260"/>
      <c r="D17" s="245" t="s">
        <v>25</v>
      </c>
      <c r="E17" s="198">
        <f t="shared" si="6"/>
        <v>4000</v>
      </c>
      <c r="F17" s="184">
        <f t="shared" si="6"/>
        <v>4000</v>
      </c>
      <c r="G17" s="184">
        <f t="shared" si="6"/>
        <v>3518</v>
      </c>
      <c r="H17" s="185">
        <f t="shared" si="0"/>
        <v>87.949999999999989</v>
      </c>
      <c r="I17" s="199">
        <f t="shared" si="6"/>
        <v>3929</v>
      </c>
      <c r="J17" s="207">
        <v>4000</v>
      </c>
      <c r="K17" s="184">
        <f>J17</f>
        <v>4000</v>
      </c>
      <c r="L17" s="184">
        <v>3518</v>
      </c>
      <c r="M17" s="185">
        <f t="shared" si="2"/>
        <v>87.949999999999989</v>
      </c>
      <c r="N17" s="122">
        <v>3929</v>
      </c>
      <c r="O17" s="198">
        <v>0</v>
      </c>
      <c r="P17" s="184">
        <v>0</v>
      </c>
      <c r="Q17" s="184">
        <v>0</v>
      </c>
      <c r="R17" s="185" t="e">
        <f t="shared" si="3"/>
        <v>#DIV/0!</v>
      </c>
      <c r="S17" s="184">
        <v>0</v>
      </c>
      <c r="T17" s="198">
        <v>0</v>
      </c>
      <c r="U17" s="184">
        <v>0</v>
      </c>
      <c r="V17" s="184">
        <v>0</v>
      </c>
      <c r="W17" s="185" t="e">
        <f t="shared" si="4"/>
        <v>#DIV/0!</v>
      </c>
      <c r="X17" s="122">
        <v>0</v>
      </c>
    </row>
    <row r="18" spans="1:24" s="315" customFormat="1" ht="15" customHeight="1">
      <c r="A18" s="230" t="s">
        <v>15</v>
      </c>
      <c r="B18" s="1390" t="s">
        <v>31</v>
      </c>
      <c r="C18" s="1391"/>
      <c r="D18" s="245" t="s">
        <v>25</v>
      </c>
      <c r="E18" s="198">
        <f t="shared" si="6"/>
        <v>591100</v>
      </c>
      <c r="F18" s="184">
        <f t="shared" si="6"/>
        <v>1164300</v>
      </c>
      <c r="G18" s="184">
        <f t="shared" si="6"/>
        <v>876061.6</v>
      </c>
      <c r="H18" s="185">
        <f t="shared" si="0"/>
        <v>75.243631366486298</v>
      </c>
      <c r="I18" s="199">
        <f t="shared" si="6"/>
        <v>1019510.0800000001</v>
      </c>
      <c r="J18" s="207">
        <v>541100</v>
      </c>
      <c r="K18" s="184">
        <f>J18+123200</f>
        <v>664300</v>
      </c>
      <c r="L18" s="184">
        <v>618615.92000000004</v>
      </c>
      <c r="M18" s="185">
        <f t="shared" si="2"/>
        <v>93.122974559686895</v>
      </c>
      <c r="N18" s="122">
        <v>489615</v>
      </c>
      <c r="O18" s="198">
        <v>50000</v>
      </c>
      <c r="P18" s="184">
        <v>500000</v>
      </c>
      <c r="Q18" s="184">
        <f>876061.6-L18</f>
        <v>257445.67999999993</v>
      </c>
      <c r="R18" s="185">
        <f t="shared" si="3"/>
        <v>51.489135999999988</v>
      </c>
      <c r="S18" s="184">
        <f>513364.08+16531</f>
        <v>529895.08000000007</v>
      </c>
      <c r="T18" s="198">
        <v>11750</v>
      </c>
      <c r="U18" s="184">
        <v>11750</v>
      </c>
      <c r="V18" s="184">
        <v>3704.55</v>
      </c>
      <c r="W18" s="185">
        <f t="shared" si="4"/>
        <v>31.528085106382981</v>
      </c>
      <c r="X18" s="122">
        <v>6623.5</v>
      </c>
    </row>
    <row r="19" spans="1:24" s="318" customFormat="1" ht="9.75">
      <c r="A19" s="230" t="s">
        <v>16</v>
      </c>
      <c r="B19" s="1390" t="s">
        <v>32</v>
      </c>
      <c r="C19" s="1391"/>
      <c r="D19" s="245" t="s">
        <v>25</v>
      </c>
      <c r="E19" s="198">
        <f t="shared" si="6"/>
        <v>31197226</v>
      </c>
      <c r="F19" s="184">
        <f t="shared" si="6"/>
        <v>36119226</v>
      </c>
      <c r="G19" s="184">
        <f t="shared" si="6"/>
        <v>35132690</v>
      </c>
      <c r="H19" s="185">
        <f t="shared" si="0"/>
        <v>97.268667938786948</v>
      </c>
      <c r="I19" s="199">
        <f t="shared" si="6"/>
        <v>31230578</v>
      </c>
      <c r="J19" s="209">
        <v>119226</v>
      </c>
      <c r="K19" s="184">
        <f>J19</f>
        <v>119226</v>
      </c>
      <c r="L19" s="184">
        <v>29000</v>
      </c>
      <c r="M19" s="185">
        <f t="shared" si="2"/>
        <v>24.323553587304783</v>
      </c>
      <c r="N19" s="122">
        <v>37000</v>
      </c>
      <c r="O19" s="198">
        <v>31078000</v>
      </c>
      <c r="P19" s="184">
        <v>36000000</v>
      </c>
      <c r="Q19" s="184">
        <f>35132690-L19</f>
        <v>35103690</v>
      </c>
      <c r="R19" s="185">
        <f t="shared" si="3"/>
        <v>97.510249999999999</v>
      </c>
      <c r="S19" s="184">
        <v>31193578</v>
      </c>
      <c r="T19" s="225">
        <v>133000</v>
      </c>
      <c r="U19" s="190">
        <v>133000</v>
      </c>
      <c r="V19" s="190">
        <v>83506</v>
      </c>
      <c r="W19" s="185">
        <f t="shared" si="4"/>
        <v>62.786466165413536</v>
      </c>
      <c r="X19" s="125">
        <v>99840</v>
      </c>
    </row>
    <row r="20" spans="1:24" s="315" customFormat="1" ht="9.75">
      <c r="A20" s="230" t="s">
        <v>17</v>
      </c>
      <c r="B20" s="1390" t="s">
        <v>47</v>
      </c>
      <c r="C20" s="1391"/>
      <c r="D20" s="245" t="s">
        <v>25</v>
      </c>
      <c r="E20" s="198">
        <f t="shared" si="6"/>
        <v>11055000</v>
      </c>
      <c r="F20" s="184">
        <f t="shared" si="6"/>
        <v>12005000</v>
      </c>
      <c r="G20" s="184">
        <f t="shared" si="6"/>
        <v>11755894.709999999</v>
      </c>
      <c r="H20" s="185">
        <f t="shared" si="0"/>
        <v>97.924987172011654</v>
      </c>
      <c r="I20" s="199">
        <f t="shared" si="6"/>
        <v>10467461.76</v>
      </c>
      <c r="J20" s="207">
        <v>5000</v>
      </c>
      <c r="K20" s="184">
        <f>J20</f>
        <v>5000</v>
      </c>
      <c r="L20" s="184">
        <v>2298.4</v>
      </c>
      <c r="M20" s="185">
        <f t="shared" si="2"/>
        <v>45.968000000000004</v>
      </c>
      <c r="N20" s="122">
        <v>3481.4</v>
      </c>
      <c r="O20" s="198">
        <v>11050000</v>
      </c>
      <c r="P20" s="184">
        <v>12000000</v>
      </c>
      <c r="Q20" s="184">
        <f>11615088.03+140806.68-L20</f>
        <v>11753596.309999999</v>
      </c>
      <c r="R20" s="185">
        <f t="shared" si="3"/>
        <v>97.946635916666651</v>
      </c>
      <c r="S20" s="184">
        <v>10463980.359999999</v>
      </c>
      <c r="T20" s="198">
        <v>45000</v>
      </c>
      <c r="U20" s="184">
        <f>91440+560</f>
        <v>92000</v>
      </c>
      <c r="V20" s="184">
        <f>28224.97+272.46</f>
        <v>28497.43</v>
      </c>
      <c r="W20" s="185">
        <f t="shared" si="4"/>
        <v>30.975467391304345</v>
      </c>
      <c r="X20" s="122">
        <v>34175.870000000003</v>
      </c>
    </row>
    <row r="21" spans="1:24" s="315" customFormat="1" ht="9.75">
      <c r="A21" s="230" t="s">
        <v>18</v>
      </c>
      <c r="B21" s="1390" t="s">
        <v>48</v>
      </c>
      <c r="C21" s="1391"/>
      <c r="D21" s="245" t="s">
        <v>25</v>
      </c>
      <c r="E21" s="198">
        <f t="shared" si="6"/>
        <v>500000</v>
      </c>
      <c r="F21" s="184">
        <f t="shared" si="6"/>
        <v>803600</v>
      </c>
      <c r="G21" s="184">
        <f t="shared" si="6"/>
        <v>750560.82</v>
      </c>
      <c r="H21" s="185">
        <f t="shared" si="0"/>
        <v>93.399803384768532</v>
      </c>
      <c r="I21" s="199">
        <f t="shared" si="6"/>
        <v>622872.97</v>
      </c>
      <c r="J21" s="207">
        <v>0</v>
      </c>
      <c r="K21" s="184">
        <v>3600</v>
      </c>
      <c r="L21" s="184">
        <v>3443.4</v>
      </c>
      <c r="M21" s="185">
        <f t="shared" si="2"/>
        <v>95.65</v>
      </c>
      <c r="N21" s="122">
        <v>4527.28</v>
      </c>
      <c r="O21" s="198">
        <v>500000</v>
      </c>
      <c r="P21" s="184">
        <v>800000</v>
      </c>
      <c r="Q21" s="184">
        <f>750560.82-L21</f>
        <v>747117.41999999993</v>
      </c>
      <c r="R21" s="185">
        <f t="shared" si="3"/>
        <v>93.389677499999991</v>
      </c>
      <c r="S21" s="184">
        <f>612225.69+6120</f>
        <v>618345.68999999994</v>
      </c>
      <c r="T21" s="198">
        <v>3000</v>
      </c>
      <c r="U21" s="184">
        <v>3000</v>
      </c>
      <c r="V21" s="184">
        <v>1670.12</v>
      </c>
      <c r="W21" s="185">
        <f t="shared" si="4"/>
        <v>55.670666666666669</v>
      </c>
      <c r="X21" s="122">
        <v>1996.8</v>
      </c>
    </row>
    <row r="22" spans="1:24" s="315" customFormat="1" ht="9.75">
      <c r="A22" s="230" t="s">
        <v>19</v>
      </c>
      <c r="B22" s="1390" t="s">
        <v>63</v>
      </c>
      <c r="C22" s="1391"/>
      <c r="D22" s="245" t="s">
        <v>25</v>
      </c>
      <c r="E22" s="198">
        <f t="shared" si="6"/>
        <v>0</v>
      </c>
      <c r="F22" s="184">
        <f t="shared" si="6"/>
        <v>0</v>
      </c>
      <c r="G22" s="184">
        <f t="shared" si="6"/>
        <v>0</v>
      </c>
      <c r="H22" s="185" t="e">
        <f t="shared" si="0"/>
        <v>#DIV/0!</v>
      </c>
      <c r="I22" s="199">
        <f t="shared" si="6"/>
        <v>0</v>
      </c>
      <c r="J22" s="207">
        <v>0</v>
      </c>
      <c r="K22" s="184">
        <v>0</v>
      </c>
      <c r="L22" s="184">
        <v>0</v>
      </c>
      <c r="M22" s="185" t="e">
        <f t="shared" si="2"/>
        <v>#DIV/0!</v>
      </c>
      <c r="N22" s="122">
        <v>0</v>
      </c>
      <c r="O22" s="198">
        <v>0</v>
      </c>
      <c r="P22" s="184">
        <v>0</v>
      </c>
      <c r="Q22" s="184">
        <v>0</v>
      </c>
      <c r="R22" s="185" t="e">
        <f t="shared" si="3"/>
        <v>#DIV/0!</v>
      </c>
      <c r="S22" s="184">
        <v>0</v>
      </c>
      <c r="T22" s="198">
        <v>0</v>
      </c>
      <c r="U22" s="184">
        <v>0</v>
      </c>
      <c r="V22" s="184">
        <v>0</v>
      </c>
      <c r="W22" s="185" t="e">
        <f t="shared" si="4"/>
        <v>#DIV/0!</v>
      </c>
      <c r="X22" s="122">
        <v>0</v>
      </c>
    </row>
    <row r="23" spans="1:24" s="315" customFormat="1" ht="50.25" customHeight="1">
      <c r="A23" s="230" t="s">
        <v>20</v>
      </c>
      <c r="B23" s="260" t="s">
        <v>64</v>
      </c>
      <c r="C23" s="260"/>
      <c r="D23" s="245" t="s">
        <v>25</v>
      </c>
      <c r="E23" s="198">
        <f t="shared" si="6"/>
        <v>0</v>
      </c>
      <c r="F23" s="184">
        <f t="shared" si="6"/>
        <v>8800</v>
      </c>
      <c r="G23" s="184">
        <f t="shared" si="6"/>
        <v>8800.0499999999993</v>
      </c>
      <c r="H23" s="185">
        <f t="shared" si="0"/>
        <v>100.00056818181817</v>
      </c>
      <c r="I23" s="199">
        <f t="shared" si="6"/>
        <v>0</v>
      </c>
      <c r="J23" s="207">
        <v>0</v>
      </c>
      <c r="K23" s="184">
        <v>8800</v>
      </c>
      <c r="L23" s="184">
        <v>8800.0499999999993</v>
      </c>
      <c r="M23" s="185">
        <f t="shared" si="2"/>
        <v>100.00056818181817</v>
      </c>
      <c r="N23" s="122">
        <v>0</v>
      </c>
      <c r="O23" s="198">
        <v>0</v>
      </c>
      <c r="P23" s="184">
        <v>0</v>
      </c>
      <c r="Q23" s="184">
        <v>0</v>
      </c>
      <c r="R23" s="185" t="e">
        <f t="shared" si="3"/>
        <v>#DIV/0!</v>
      </c>
      <c r="S23" s="184">
        <v>0</v>
      </c>
      <c r="T23" s="198">
        <v>0</v>
      </c>
      <c r="U23" s="184">
        <v>0</v>
      </c>
      <c r="V23" s="184">
        <v>0</v>
      </c>
      <c r="W23" s="185" t="e">
        <f t="shared" si="4"/>
        <v>#DIV/0!</v>
      </c>
      <c r="X23" s="122">
        <v>0</v>
      </c>
    </row>
    <row r="24" spans="1:24" s="315" customFormat="1" ht="31.5" customHeight="1">
      <c r="A24" s="230" t="s">
        <v>21</v>
      </c>
      <c r="B24" s="260" t="s">
        <v>71</v>
      </c>
      <c r="C24" s="260"/>
      <c r="D24" s="245" t="s">
        <v>25</v>
      </c>
      <c r="E24" s="198">
        <f t="shared" si="6"/>
        <v>0</v>
      </c>
      <c r="F24" s="184">
        <f t="shared" si="6"/>
        <v>0</v>
      </c>
      <c r="G24" s="184">
        <f t="shared" si="6"/>
        <v>0</v>
      </c>
      <c r="H24" s="185" t="e">
        <f t="shared" si="0"/>
        <v>#DIV/0!</v>
      </c>
      <c r="I24" s="199">
        <f t="shared" si="6"/>
        <v>0</v>
      </c>
      <c r="J24" s="207">
        <v>0</v>
      </c>
      <c r="K24" s="184">
        <v>0</v>
      </c>
      <c r="L24" s="184">
        <v>0</v>
      </c>
      <c r="M24" s="185" t="e">
        <f t="shared" si="2"/>
        <v>#DIV/0!</v>
      </c>
      <c r="N24" s="122">
        <v>0</v>
      </c>
      <c r="O24" s="198">
        <v>0</v>
      </c>
      <c r="P24" s="184">
        <v>0</v>
      </c>
      <c r="Q24" s="184">
        <v>0</v>
      </c>
      <c r="R24" s="185" t="e">
        <f t="shared" si="3"/>
        <v>#DIV/0!</v>
      </c>
      <c r="S24" s="184">
        <v>0</v>
      </c>
      <c r="T24" s="198">
        <v>0</v>
      </c>
      <c r="U24" s="184">
        <v>0</v>
      </c>
      <c r="V24" s="184">
        <v>0</v>
      </c>
      <c r="W24" s="185" t="e">
        <f t="shared" si="4"/>
        <v>#DIV/0!</v>
      </c>
      <c r="X24" s="122">
        <v>0</v>
      </c>
    </row>
    <row r="25" spans="1:24" s="315" customFormat="1" ht="31.5" customHeight="1">
      <c r="A25" s="232" t="s">
        <v>22</v>
      </c>
      <c r="B25" s="264" t="s">
        <v>66</v>
      </c>
      <c r="C25" s="264"/>
      <c r="D25" s="245" t="s">
        <v>25</v>
      </c>
      <c r="E25" s="198">
        <f t="shared" si="6"/>
        <v>0</v>
      </c>
      <c r="F25" s="184">
        <f t="shared" si="6"/>
        <v>42062</v>
      </c>
      <c r="G25" s="184">
        <f t="shared" si="6"/>
        <v>42062</v>
      </c>
      <c r="H25" s="185">
        <f t="shared" si="0"/>
        <v>100</v>
      </c>
      <c r="I25" s="199">
        <f t="shared" si="6"/>
        <v>36924.629999999997</v>
      </c>
      <c r="J25" s="207">
        <v>0</v>
      </c>
      <c r="K25" s="188">
        <v>42062</v>
      </c>
      <c r="L25" s="188">
        <v>42062</v>
      </c>
      <c r="M25" s="185">
        <f t="shared" si="2"/>
        <v>100</v>
      </c>
      <c r="N25" s="124">
        <v>36924.629999999997</v>
      </c>
      <c r="O25" s="220">
        <v>0</v>
      </c>
      <c r="P25" s="188">
        <v>0</v>
      </c>
      <c r="Q25" s="188">
        <v>0</v>
      </c>
      <c r="R25" s="185" t="e">
        <f t="shared" si="3"/>
        <v>#DIV/0!</v>
      </c>
      <c r="S25" s="188">
        <v>0</v>
      </c>
      <c r="T25" s="220">
        <v>0</v>
      </c>
      <c r="U25" s="188">
        <v>0</v>
      </c>
      <c r="V25" s="184">
        <v>0</v>
      </c>
      <c r="W25" s="185" t="e">
        <f t="shared" si="4"/>
        <v>#DIV/0!</v>
      </c>
      <c r="X25" s="124">
        <v>0</v>
      </c>
    </row>
    <row r="26" spans="1:24" s="319" customFormat="1" ht="31.5" customHeight="1">
      <c r="A26" s="230" t="s">
        <v>23</v>
      </c>
      <c r="B26" s="1390" t="s">
        <v>67</v>
      </c>
      <c r="C26" s="1391"/>
      <c r="D26" s="245" t="s">
        <v>25</v>
      </c>
      <c r="E26" s="198">
        <f t="shared" si="6"/>
        <v>1124756</v>
      </c>
      <c r="F26" s="184">
        <f t="shared" si="6"/>
        <v>1313726</v>
      </c>
      <c r="G26" s="184">
        <f t="shared" si="6"/>
        <v>1258973.05</v>
      </c>
      <c r="H26" s="191">
        <f t="shared" si="0"/>
        <v>95.832239751668155</v>
      </c>
      <c r="I26" s="199">
        <f t="shared" si="6"/>
        <v>1037100</v>
      </c>
      <c r="J26" s="207">
        <v>924756</v>
      </c>
      <c r="K26" s="189">
        <f>J26+188970</f>
        <v>1113726</v>
      </c>
      <c r="L26" s="189">
        <v>1110439.05</v>
      </c>
      <c r="M26" s="185">
        <f t="shared" si="2"/>
        <v>99.704869061151484</v>
      </c>
      <c r="N26" s="126">
        <v>938060</v>
      </c>
      <c r="O26" s="222">
        <v>200000</v>
      </c>
      <c r="P26" s="189">
        <v>200000</v>
      </c>
      <c r="Q26" s="189">
        <f>1258973.05-L26</f>
        <v>148534</v>
      </c>
      <c r="R26" s="185">
        <f t="shared" si="3"/>
        <v>74.26700000000001</v>
      </c>
      <c r="S26" s="189">
        <v>99040</v>
      </c>
      <c r="T26" s="198">
        <v>23168</v>
      </c>
      <c r="U26" s="184">
        <v>23168</v>
      </c>
      <c r="V26" s="184">
        <v>20496.95</v>
      </c>
      <c r="W26" s="185">
        <f t="shared" si="4"/>
        <v>88.470951312154696</v>
      </c>
      <c r="X26" s="126">
        <v>16112</v>
      </c>
    </row>
    <row r="27" spans="1:24" s="320" customFormat="1" ht="9.75">
      <c r="A27" s="230" t="s">
        <v>43</v>
      </c>
      <c r="B27" s="260" t="s">
        <v>68</v>
      </c>
      <c r="C27" s="260"/>
      <c r="D27" s="245" t="s">
        <v>25</v>
      </c>
      <c r="E27" s="198">
        <f t="shared" si="6"/>
        <v>0</v>
      </c>
      <c r="F27" s="184">
        <f t="shared" si="6"/>
        <v>0</v>
      </c>
      <c r="G27" s="184">
        <f t="shared" si="6"/>
        <v>0</v>
      </c>
      <c r="H27" s="191" t="e">
        <f t="shared" si="0"/>
        <v>#DIV/0!</v>
      </c>
      <c r="I27" s="199">
        <f t="shared" si="6"/>
        <v>0</v>
      </c>
      <c r="J27" s="207">
        <v>0</v>
      </c>
      <c r="K27" s="189">
        <v>0</v>
      </c>
      <c r="L27" s="189">
        <v>0</v>
      </c>
      <c r="M27" s="185" t="e">
        <f t="shared" si="2"/>
        <v>#DIV/0!</v>
      </c>
      <c r="N27" s="126">
        <v>0</v>
      </c>
      <c r="O27" s="222">
        <v>0</v>
      </c>
      <c r="P27" s="189">
        <v>0</v>
      </c>
      <c r="Q27" s="189">
        <v>0</v>
      </c>
      <c r="R27" s="185" t="e">
        <f t="shared" si="3"/>
        <v>#DIV/0!</v>
      </c>
      <c r="S27" s="189">
        <v>0</v>
      </c>
      <c r="T27" s="198">
        <v>0</v>
      </c>
      <c r="U27" s="184">
        <v>0</v>
      </c>
      <c r="V27" s="184">
        <v>0</v>
      </c>
      <c r="W27" s="185" t="e">
        <f t="shared" si="4"/>
        <v>#DIV/0!</v>
      </c>
      <c r="X27" s="126">
        <v>0</v>
      </c>
    </row>
    <row r="28" spans="1:24" s="320" customFormat="1" ht="9.75">
      <c r="A28" s="230" t="s">
        <v>49</v>
      </c>
      <c r="B28" s="260" t="s">
        <v>72</v>
      </c>
      <c r="C28" s="260"/>
      <c r="D28" s="245" t="s">
        <v>25</v>
      </c>
      <c r="E28" s="198">
        <f t="shared" ref="E28:G32" si="7">SUM(J28,O28)</f>
        <v>527000</v>
      </c>
      <c r="F28" s="184">
        <f t="shared" si="7"/>
        <v>1492000</v>
      </c>
      <c r="G28" s="184">
        <f t="shared" si="7"/>
        <v>1402315.14</v>
      </c>
      <c r="H28" s="191">
        <f t="shared" si="0"/>
        <v>93.988950402144766</v>
      </c>
      <c r="I28" s="199">
        <f t="shared" ref="I28:I32" si="8">SUM(N28,S28)</f>
        <v>2053951.9300000002</v>
      </c>
      <c r="J28" s="207">
        <v>77000</v>
      </c>
      <c r="K28" s="189">
        <f>J28+915000</f>
        <v>992000</v>
      </c>
      <c r="L28" s="189">
        <v>988201.77</v>
      </c>
      <c r="M28" s="185">
        <f t="shared" si="2"/>
        <v>99.617113911290318</v>
      </c>
      <c r="N28" s="126">
        <v>471119.14</v>
      </c>
      <c r="O28" s="222">
        <v>450000</v>
      </c>
      <c r="P28" s="189">
        <v>500000</v>
      </c>
      <c r="Q28" s="189">
        <f>1402315.14-L28</f>
        <v>414113.36999999988</v>
      </c>
      <c r="R28" s="185">
        <f t="shared" si="3"/>
        <v>82.822673999999978</v>
      </c>
      <c r="S28" s="189">
        <v>1582832.79</v>
      </c>
      <c r="T28" s="220">
        <v>0</v>
      </c>
      <c r="U28" s="184">
        <v>0</v>
      </c>
      <c r="V28" s="184">
        <v>0</v>
      </c>
      <c r="W28" s="185" t="e">
        <f t="shared" si="4"/>
        <v>#DIV/0!</v>
      </c>
      <c r="X28" s="126">
        <v>0</v>
      </c>
    </row>
    <row r="29" spans="1:24" s="319" customFormat="1" ht="9.75">
      <c r="A29" s="230" t="s">
        <v>50</v>
      </c>
      <c r="B29" s="1390" t="s">
        <v>65</v>
      </c>
      <c r="C29" s="1391"/>
      <c r="D29" s="245" t="s">
        <v>25</v>
      </c>
      <c r="E29" s="198">
        <f t="shared" si="7"/>
        <v>2500</v>
      </c>
      <c r="F29" s="184">
        <f t="shared" si="7"/>
        <v>37100</v>
      </c>
      <c r="G29" s="184">
        <f t="shared" si="7"/>
        <v>36728</v>
      </c>
      <c r="H29" s="191">
        <f t="shared" si="0"/>
        <v>98.997304582210248</v>
      </c>
      <c r="I29" s="199">
        <f t="shared" si="8"/>
        <v>2409</v>
      </c>
      <c r="J29" s="207">
        <v>2500</v>
      </c>
      <c r="K29" s="189">
        <f>J29+34600</f>
        <v>37100</v>
      </c>
      <c r="L29" s="189">
        <v>36728</v>
      </c>
      <c r="M29" s="185">
        <f t="shared" si="2"/>
        <v>98.997304582210248</v>
      </c>
      <c r="N29" s="126">
        <v>2409</v>
      </c>
      <c r="O29" s="222">
        <v>0</v>
      </c>
      <c r="P29" s="189">
        <v>0</v>
      </c>
      <c r="Q29" s="189">
        <v>0</v>
      </c>
      <c r="R29" s="185" t="e">
        <f t="shared" si="3"/>
        <v>#DIV/0!</v>
      </c>
      <c r="S29" s="126"/>
      <c r="T29" s="198">
        <v>0</v>
      </c>
      <c r="U29" s="184">
        <v>0</v>
      </c>
      <c r="V29" s="184">
        <v>0</v>
      </c>
      <c r="W29" s="185" t="e">
        <f t="shared" si="4"/>
        <v>#DIV/0!</v>
      </c>
      <c r="X29" s="126">
        <v>0</v>
      </c>
    </row>
    <row r="30" spans="1:24" s="315" customFormat="1" ht="9.75">
      <c r="A30" s="230" t="s">
        <v>52</v>
      </c>
      <c r="B30" s="260" t="s">
        <v>51</v>
      </c>
      <c r="C30" s="260"/>
      <c r="D30" s="245" t="s">
        <v>25</v>
      </c>
      <c r="E30" s="198">
        <f t="shared" si="7"/>
        <v>0</v>
      </c>
      <c r="F30" s="184">
        <f t="shared" si="7"/>
        <v>0</v>
      </c>
      <c r="G30" s="184">
        <f t="shared" si="7"/>
        <v>0</v>
      </c>
      <c r="H30" s="191" t="e">
        <f t="shared" si="0"/>
        <v>#DIV/0!</v>
      </c>
      <c r="I30" s="199">
        <f t="shared" si="8"/>
        <v>0</v>
      </c>
      <c r="J30" s="207">
        <v>0</v>
      </c>
      <c r="K30" s="189">
        <v>0</v>
      </c>
      <c r="L30" s="189">
        <v>0</v>
      </c>
      <c r="M30" s="185" t="e">
        <f t="shared" si="2"/>
        <v>#DIV/0!</v>
      </c>
      <c r="N30" s="126">
        <v>0</v>
      </c>
      <c r="O30" s="222">
        <v>0</v>
      </c>
      <c r="P30" s="189">
        <v>0</v>
      </c>
      <c r="Q30" s="189">
        <v>0</v>
      </c>
      <c r="R30" s="185" t="e">
        <f t="shared" si="3"/>
        <v>#DIV/0!</v>
      </c>
      <c r="S30" s="126">
        <v>0</v>
      </c>
      <c r="T30" s="198">
        <v>0</v>
      </c>
      <c r="U30" s="184">
        <v>0</v>
      </c>
      <c r="V30" s="184">
        <v>0</v>
      </c>
      <c r="W30" s="185" t="e">
        <f t="shared" si="4"/>
        <v>#DIV/0!</v>
      </c>
      <c r="X30" s="126">
        <v>0</v>
      </c>
    </row>
    <row r="31" spans="1:24" s="321" customFormat="1" ht="9.75" hidden="1" customHeight="1">
      <c r="A31" s="230" t="s">
        <v>53</v>
      </c>
      <c r="B31" s="260" t="s">
        <v>69</v>
      </c>
      <c r="C31" s="260"/>
      <c r="D31" s="245" t="s">
        <v>25</v>
      </c>
      <c r="E31" s="198">
        <f t="shared" si="7"/>
        <v>0</v>
      </c>
      <c r="F31" s="184">
        <f t="shared" si="7"/>
        <v>0</v>
      </c>
      <c r="G31" s="184">
        <f t="shared" si="7"/>
        <v>0</v>
      </c>
      <c r="H31" s="191" t="e">
        <f t="shared" si="0"/>
        <v>#DIV/0!</v>
      </c>
      <c r="I31" s="199">
        <f t="shared" si="8"/>
        <v>0</v>
      </c>
      <c r="J31" s="207">
        <v>0</v>
      </c>
      <c r="K31" s="193">
        <v>0</v>
      </c>
      <c r="L31" s="193">
        <v>0</v>
      </c>
      <c r="M31" s="185" t="e">
        <f t="shared" si="2"/>
        <v>#DIV/0!</v>
      </c>
      <c r="N31" s="127">
        <v>0</v>
      </c>
      <c r="O31" s="223">
        <v>0</v>
      </c>
      <c r="P31" s="193">
        <v>0</v>
      </c>
      <c r="Q31" s="193">
        <v>0</v>
      </c>
      <c r="R31" s="185" t="e">
        <f t="shared" si="3"/>
        <v>#DIV/0!</v>
      </c>
      <c r="S31" s="127">
        <v>0</v>
      </c>
      <c r="T31" s="224">
        <v>0</v>
      </c>
      <c r="U31" s="184">
        <v>0</v>
      </c>
      <c r="V31" s="184">
        <v>0</v>
      </c>
      <c r="W31" s="185" t="e">
        <f t="shared" si="4"/>
        <v>#DIV/0!</v>
      </c>
      <c r="X31" s="127">
        <v>0</v>
      </c>
    </row>
    <row r="32" spans="1:24" s="321" customFormat="1" ht="9.75" hidden="1" customHeight="1">
      <c r="A32" s="232" t="s">
        <v>54</v>
      </c>
      <c r="B32" s="264" t="s">
        <v>70</v>
      </c>
      <c r="C32" s="264"/>
      <c r="D32" s="245" t="s">
        <v>25</v>
      </c>
      <c r="E32" s="198">
        <f t="shared" si="7"/>
        <v>0</v>
      </c>
      <c r="F32" s="184">
        <f t="shared" si="7"/>
        <v>0</v>
      </c>
      <c r="G32" s="184">
        <f t="shared" si="7"/>
        <v>0</v>
      </c>
      <c r="H32" s="191" t="e">
        <f t="shared" si="0"/>
        <v>#DIV/0!</v>
      </c>
      <c r="I32" s="199">
        <f t="shared" si="8"/>
        <v>0</v>
      </c>
      <c r="J32" s="211">
        <v>0</v>
      </c>
      <c r="K32" s="194">
        <v>0</v>
      </c>
      <c r="L32" s="194">
        <v>0</v>
      </c>
      <c r="M32" s="185" t="e">
        <f t="shared" si="2"/>
        <v>#DIV/0!</v>
      </c>
      <c r="N32" s="128">
        <v>0</v>
      </c>
      <c r="O32" s="224">
        <v>0</v>
      </c>
      <c r="P32" s="194">
        <v>0</v>
      </c>
      <c r="Q32" s="194">
        <v>0</v>
      </c>
      <c r="R32" s="185" t="e">
        <f t="shared" si="3"/>
        <v>#DIV/0!</v>
      </c>
      <c r="S32" s="128">
        <v>0</v>
      </c>
      <c r="T32" s="224">
        <v>0</v>
      </c>
      <c r="U32" s="184">
        <v>0</v>
      </c>
      <c r="V32" s="184">
        <v>0</v>
      </c>
      <c r="W32" s="185" t="e">
        <f t="shared" si="4"/>
        <v>#DIV/0!</v>
      </c>
      <c r="X32" s="127">
        <v>0</v>
      </c>
    </row>
    <row r="33" spans="1:24" s="321" customFormat="1" ht="9.75" hidden="1" customHeight="1">
      <c r="A33" s="229" t="s">
        <v>55</v>
      </c>
      <c r="B33" s="263" t="s">
        <v>56</v>
      </c>
      <c r="C33" s="263"/>
      <c r="D33" s="245" t="s">
        <v>25</v>
      </c>
      <c r="E33" s="196">
        <f>E6-E11</f>
        <v>0</v>
      </c>
      <c r="F33" s="181">
        <f t="shared" ref="F33:G33" si="9">F6-F11</f>
        <v>0.58000000566244125</v>
      </c>
      <c r="G33" s="181">
        <f t="shared" si="9"/>
        <v>13784.920000001788</v>
      </c>
      <c r="H33" s="195">
        <f t="shared" si="0"/>
        <v>2376710.3216244765</v>
      </c>
      <c r="I33" s="197">
        <f t="shared" ref="I33:L33" si="10">I6-I11</f>
        <v>45652.480000004172</v>
      </c>
      <c r="J33" s="196">
        <f t="shared" si="10"/>
        <v>0</v>
      </c>
      <c r="K33" s="181">
        <f t="shared" si="10"/>
        <v>0.48000000044703484</v>
      </c>
      <c r="L33" s="181">
        <f t="shared" si="10"/>
        <v>13784.919999999925</v>
      </c>
      <c r="M33" s="180">
        <f t="shared" si="2"/>
        <v>2871858.330658691</v>
      </c>
      <c r="N33" s="197">
        <f t="shared" ref="N33:Q33" si="11">N6-N11</f>
        <v>45652.479999999516</v>
      </c>
      <c r="O33" s="196">
        <f t="shared" si="11"/>
        <v>0</v>
      </c>
      <c r="P33" s="181">
        <f t="shared" si="11"/>
        <v>0.10000000149011612</v>
      </c>
      <c r="Q33" s="181">
        <f t="shared" si="11"/>
        <v>0</v>
      </c>
      <c r="R33" s="180">
        <f t="shared" si="3"/>
        <v>0</v>
      </c>
      <c r="S33" s="197">
        <f t="shared" ref="S33:V33" si="12">S6-S11</f>
        <v>0</v>
      </c>
      <c r="T33" s="196">
        <f t="shared" si="12"/>
        <v>142986</v>
      </c>
      <c r="U33" s="181">
        <f t="shared" si="12"/>
        <v>142986</v>
      </c>
      <c r="V33" s="181">
        <f t="shared" si="12"/>
        <v>144041.40000000002</v>
      </c>
      <c r="W33" s="180">
        <f t="shared" si="4"/>
        <v>100.73811422097269</v>
      </c>
      <c r="X33" s="197">
        <f>X6-X11</f>
        <v>67579.429999999993</v>
      </c>
    </row>
    <row r="34" spans="1:24" s="322" customFormat="1" ht="9.75" hidden="1" customHeight="1">
      <c r="A34" s="254" t="s">
        <v>57</v>
      </c>
      <c r="B34" s="1413" t="s">
        <v>237</v>
      </c>
      <c r="C34" s="1414"/>
      <c r="D34" s="258" t="s">
        <v>25</v>
      </c>
      <c r="E34" s="233"/>
      <c r="F34" s="234"/>
      <c r="G34" s="234"/>
      <c r="H34" s="191" t="e">
        <f t="shared" si="0"/>
        <v>#DIV/0!</v>
      </c>
      <c r="I34" s="237"/>
      <c r="J34" s="213"/>
      <c r="K34" s="183"/>
      <c r="L34" s="183"/>
      <c r="M34" s="185" t="e">
        <f t="shared" si="2"/>
        <v>#DIV/0!</v>
      </c>
      <c r="N34" s="214"/>
      <c r="O34" s="239"/>
      <c r="P34" s="240"/>
      <c r="Q34" s="240"/>
      <c r="R34" s="185" t="e">
        <f t="shared" si="3"/>
        <v>#DIV/0!</v>
      </c>
      <c r="S34" s="243"/>
      <c r="T34" s="213"/>
      <c r="U34" s="183"/>
      <c r="V34" s="183"/>
      <c r="W34" s="185" t="e">
        <f t="shared" si="4"/>
        <v>#DIV/0!</v>
      </c>
      <c r="X34" s="214"/>
    </row>
    <row r="35" spans="1:24" s="322" customFormat="1" ht="9.75" hidden="1" customHeight="1">
      <c r="A35" s="255" t="s">
        <v>58</v>
      </c>
      <c r="B35" s="1316" t="s">
        <v>238</v>
      </c>
      <c r="C35" s="1317"/>
      <c r="D35" s="259" t="s">
        <v>26</v>
      </c>
      <c r="E35" s="233"/>
      <c r="F35" s="234"/>
      <c r="G35" s="234"/>
      <c r="H35" s="191" t="e">
        <f t="shared" si="0"/>
        <v>#DIV/0!</v>
      </c>
      <c r="I35" s="237"/>
      <c r="J35" s="213"/>
      <c r="K35" s="183"/>
      <c r="L35" s="183"/>
      <c r="M35" s="185" t="e">
        <f t="shared" si="2"/>
        <v>#DIV/0!</v>
      </c>
      <c r="N35" s="214"/>
      <c r="O35" s="239"/>
      <c r="P35" s="240"/>
      <c r="Q35" s="240"/>
      <c r="R35" s="185" t="e">
        <f t="shared" si="3"/>
        <v>#DIV/0!</v>
      </c>
      <c r="S35" s="243"/>
      <c r="T35" s="213"/>
      <c r="U35" s="183"/>
      <c r="V35" s="183"/>
      <c r="W35" s="185" t="e">
        <f t="shared" si="4"/>
        <v>#DIV/0!</v>
      </c>
      <c r="X35" s="214"/>
    </row>
    <row r="36" spans="1:24" s="322" customFormat="1" ht="9.75">
      <c r="A36" s="255" t="s">
        <v>59</v>
      </c>
      <c r="B36" s="1316" t="s">
        <v>239</v>
      </c>
      <c r="C36" s="1317"/>
      <c r="D36" s="259" t="s">
        <v>26</v>
      </c>
      <c r="E36" s="233"/>
      <c r="F36" s="234"/>
      <c r="G36" s="234"/>
      <c r="H36" s="191" t="e">
        <f t="shared" si="0"/>
        <v>#DIV/0!</v>
      </c>
      <c r="I36" s="237"/>
      <c r="J36" s="213"/>
      <c r="K36" s="183"/>
      <c r="L36" s="183"/>
      <c r="M36" s="185" t="e">
        <f t="shared" si="2"/>
        <v>#DIV/0!</v>
      </c>
      <c r="N36" s="214"/>
      <c r="O36" s="239"/>
      <c r="P36" s="240"/>
      <c r="Q36" s="240"/>
      <c r="R36" s="185" t="e">
        <f t="shared" si="3"/>
        <v>#DIV/0!</v>
      </c>
      <c r="S36" s="243"/>
      <c r="T36" s="213"/>
      <c r="U36" s="183"/>
      <c r="V36" s="183"/>
      <c r="W36" s="185" t="e">
        <f t="shared" si="4"/>
        <v>#DIV/0!</v>
      </c>
      <c r="X36" s="214"/>
    </row>
    <row r="37" spans="1:24" s="322" customFormat="1" ht="10.5" thickBot="1">
      <c r="A37" s="256" t="s">
        <v>240</v>
      </c>
      <c r="B37" s="1411" t="s">
        <v>241</v>
      </c>
      <c r="C37" s="1412"/>
      <c r="D37" s="257" t="s">
        <v>242</v>
      </c>
      <c r="E37" s="235"/>
      <c r="F37" s="236"/>
      <c r="G37" s="236"/>
      <c r="H37" s="202" t="e">
        <f t="shared" si="0"/>
        <v>#DIV/0!</v>
      </c>
      <c r="I37" s="238"/>
      <c r="J37" s="215"/>
      <c r="K37" s="216"/>
      <c r="L37" s="216"/>
      <c r="M37" s="217" t="e">
        <f t="shared" si="2"/>
        <v>#DIV/0!</v>
      </c>
      <c r="N37" s="218"/>
      <c r="O37" s="241"/>
      <c r="P37" s="242"/>
      <c r="Q37" s="242"/>
      <c r="R37" s="217" t="e">
        <f t="shared" si="3"/>
        <v>#DIV/0!</v>
      </c>
      <c r="S37" s="244"/>
      <c r="T37" s="215"/>
      <c r="U37" s="216"/>
      <c r="V37" s="216"/>
      <c r="W37" s="217" t="e">
        <f t="shared" si="4"/>
        <v>#DIV/0!</v>
      </c>
      <c r="X37" s="218"/>
    </row>
  </sheetData>
  <mergeCells count="40">
    <mergeCell ref="B29:C29"/>
    <mergeCell ref="B37:C37"/>
    <mergeCell ref="B34:C34"/>
    <mergeCell ref="B35:C35"/>
    <mergeCell ref="B36:C36"/>
    <mergeCell ref="B21:C21"/>
    <mergeCell ref="B22:C22"/>
    <mergeCell ref="B26:C26"/>
    <mergeCell ref="J4:J5"/>
    <mergeCell ref="B11:C11"/>
    <mergeCell ref="B12:C12"/>
    <mergeCell ref="B13:C13"/>
    <mergeCell ref="B15:C15"/>
    <mergeCell ref="B16:C16"/>
    <mergeCell ref="B8:C8"/>
    <mergeCell ref="B10:C10"/>
    <mergeCell ref="B19:C19"/>
    <mergeCell ref="B18:C18"/>
    <mergeCell ref="F4:H4"/>
    <mergeCell ref="B6:C6"/>
    <mergeCell ref="B20:C20"/>
    <mergeCell ref="B7:C7"/>
    <mergeCell ref="T4:T5"/>
    <mergeCell ref="U4:W4"/>
    <mergeCell ref="X4:X5"/>
    <mergeCell ref="B3:C5"/>
    <mergeCell ref="D3:D5"/>
    <mergeCell ref="P4:R4"/>
    <mergeCell ref="N4:N5"/>
    <mergeCell ref="E4:E5"/>
    <mergeCell ref="O3:S3"/>
    <mergeCell ref="S4:S5"/>
    <mergeCell ref="I4:I5"/>
    <mergeCell ref="J3:N3"/>
    <mergeCell ref="E3:I3"/>
    <mergeCell ref="A1:X1"/>
    <mergeCell ref="O4:O5"/>
    <mergeCell ref="K4:M4"/>
    <mergeCell ref="A3:A5"/>
    <mergeCell ref="T3:X3"/>
  </mergeCells>
  <pageMargins left="0.23622047244094491" right="0.23622047244094491" top="0.74803149606299213" bottom="0.74803149606299213" header="0.31496062992125984" footer="0.31496062992125984"/>
  <pageSetup paperSize="9" scale="95" firstPageNumber="153"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workbookViewId="0">
      <selection activeCell="D8" sqref="D8:I8"/>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277" t="s">
        <v>113</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157826.32</v>
      </c>
      <c r="D6" s="1207"/>
      <c r="E6" s="1208"/>
      <c r="F6" s="1208"/>
      <c r="G6" s="1208"/>
      <c r="H6" s="1208"/>
      <c r="I6" s="1209"/>
    </row>
    <row r="7" spans="1:9" s="2" customFormat="1" ht="33.75" customHeight="1">
      <c r="A7" s="1199" t="s">
        <v>75</v>
      </c>
      <c r="B7" s="1200"/>
      <c r="C7" s="17">
        <v>13784.92</v>
      </c>
      <c r="D7" s="1205" t="s">
        <v>663</v>
      </c>
      <c r="E7" s="1205"/>
      <c r="F7" s="1205"/>
      <c r="G7" s="1205"/>
      <c r="H7" s="1205"/>
      <c r="I7" s="1206"/>
    </row>
    <row r="8" spans="1:9" s="281" customFormat="1" ht="27" customHeight="1">
      <c r="A8" s="1201" t="s">
        <v>76</v>
      </c>
      <c r="B8" s="1202"/>
      <c r="C8" s="18">
        <v>144041.4</v>
      </c>
      <c r="D8" s="1205" t="s">
        <v>664</v>
      </c>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1897.4</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f>C6-C14</f>
        <v>155928.92000000001</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157826.32</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50.25" customHeight="1">
      <c r="A23" s="68" t="s">
        <v>83</v>
      </c>
      <c r="B23" s="32">
        <v>1237268.22</v>
      </c>
      <c r="C23" s="32">
        <f>113231.91+1558918.3</f>
        <v>1672150.21</v>
      </c>
      <c r="D23" s="32">
        <f>109909+1540239.58</f>
        <v>1650148.58</v>
      </c>
      <c r="E23" s="32">
        <f>B23+C23-D23</f>
        <v>1259269.8499999996</v>
      </c>
      <c r="F23" s="1194" t="s">
        <v>665</v>
      </c>
      <c r="G23" s="1195"/>
      <c r="H23" s="1195"/>
      <c r="I23" s="1196"/>
    </row>
    <row r="24" spans="1:9" s="2" customFormat="1" ht="31.5" customHeight="1">
      <c r="A24" s="69" t="s">
        <v>84</v>
      </c>
      <c r="B24" s="33">
        <v>255136.06</v>
      </c>
      <c r="C24" s="33">
        <v>1130936</v>
      </c>
      <c r="D24" s="33">
        <v>1082226</v>
      </c>
      <c r="E24" s="33">
        <f t="shared" ref="E24:E26" si="0">B24+C24-D24</f>
        <v>303846.06000000006</v>
      </c>
      <c r="F24" s="1183" t="s">
        <v>666</v>
      </c>
      <c r="G24" s="1184"/>
      <c r="H24" s="1184"/>
      <c r="I24" s="1185"/>
    </row>
    <row r="25" spans="1:9" s="2" customFormat="1" ht="31.5" customHeight="1">
      <c r="A25" s="69" t="s">
        <v>82</v>
      </c>
      <c r="B25" s="33">
        <v>56900.78</v>
      </c>
      <c r="C25" s="33">
        <v>0</v>
      </c>
      <c r="D25" s="33">
        <v>6800</v>
      </c>
      <c r="E25" s="33">
        <f t="shared" si="0"/>
        <v>50100.78</v>
      </c>
      <c r="F25" s="1183" t="s">
        <v>304</v>
      </c>
      <c r="G25" s="1184"/>
      <c r="H25" s="1184"/>
      <c r="I25" s="1185"/>
    </row>
    <row r="26" spans="1:9" s="2" customFormat="1" ht="31.5" customHeight="1">
      <c r="A26" s="70" t="s">
        <v>85</v>
      </c>
      <c r="B26" s="34">
        <v>888634.96</v>
      </c>
      <c r="C26" s="34">
        <v>679806.5</v>
      </c>
      <c r="D26" s="34">
        <v>848329.1</v>
      </c>
      <c r="E26" s="33">
        <f t="shared" si="0"/>
        <v>720112.36</v>
      </c>
      <c r="F26" s="1186" t="s">
        <v>305</v>
      </c>
      <c r="G26" s="1187"/>
      <c r="H26" s="1187"/>
      <c r="I26" s="1188"/>
    </row>
    <row r="27" spans="1:9" s="281" customFormat="1" ht="10.5">
      <c r="A27" s="3" t="s">
        <v>34</v>
      </c>
      <c r="B27" s="16">
        <f>SUM(B23:B26)</f>
        <v>2437940.02</v>
      </c>
      <c r="C27" s="16">
        <f t="shared" ref="C27:E27" si="1">SUM(C23:C26)</f>
        <v>3482892.71</v>
      </c>
      <c r="D27" s="16">
        <f t="shared" si="1"/>
        <v>3587503.68</v>
      </c>
      <c r="E27" s="16">
        <f t="shared" si="1"/>
        <v>2333329.0499999998</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A30" s="2" t="s">
        <v>216</v>
      </c>
      <c r="C30" s="19"/>
    </row>
    <row r="31" spans="1:9" s="2" customFormat="1" ht="11.25" hidden="1">
      <c r="A31" s="271" t="s">
        <v>86</v>
      </c>
      <c r="B31" s="271" t="s">
        <v>25</v>
      </c>
      <c r="C31" s="270" t="s">
        <v>87</v>
      </c>
      <c r="D31" s="1193" t="s">
        <v>88</v>
      </c>
      <c r="E31" s="1193"/>
      <c r="F31" s="1193"/>
      <c r="G31" s="1193"/>
      <c r="H31" s="1193"/>
      <c r="I31" s="1193"/>
    </row>
    <row r="32" spans="1:9" s="2" customFormat="1" ht="15" hidden="1" customHeight="1">
      <c r="A32" s="79" t="s">
        <v>216</v>
      </c>
      <c r="B32" s="32"/>
      <c r="C32" s="8"/>
      <c r="D32" s="1215"/>
      <c r="E32" s="1216"/>
      <c r="F32" s="1216"/>
      <c r="G32" s="1216"/>
      <c r="H32" s="1216"/>
      <c r="I32" s="1217"/>
    </row>
    <row r="33" spans="1:9" s="2" customFormat="1" ht="15" hidden="1" customHeight="1">
      <c r="A33" s="80"/>
      <c r="B33" s="34"/>
      <c r="C33" s="13"/>
      <c r="D33" s="1218"/>
      <c r="E33" s="1219"/>
      <c r="F33" s="1219"/>
      <c r="G33" s="1219"/>
      <c r="H33" s="1219"/>
      <c r="I33" s="1220"/>
    </row>
    <row r="34" spans="1:9" s="2" customFormat="1" ht="15" hidden="1" customHeight="1">
      <c r="A34" s="81"/>
      <c r="B34" s="82"/>
      <c r="C34" s="83"/>
      <c r="D34" s="1221"/>
      <c r="E34" s="1222"/>
      <c r="F34" s="1222"/>
      <c r="G34" s="1222"/>
      <c r="H34" s="1222"/>
      <c r="I34" s="1223"/>
    </row>
    <row r="35" spans="1:9" s="281" customFormat="1" ht="11.25" hidden="1">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A38" s="2" t="s">
        <v>217</v>
      </c>
      <c r="C38" s="19"/>
    </row>
    <row r="39" spans="1:9" s="2" customFormat="1" ht="11.25" hidden="1">
      <c r="A39" s="271" t="s">
        <v>86</v>
      </c>
      <c r="B39" s="271" t="s">
        <v>25</v>
      </c>
      <c r="C39" s="270" t="s">
        <v>87</v>
      </c>
      <c r="D39" s="1193" t="s">
        <v>88</v>
      </c>
      <c r="E39" s="1193"/>
      <c r="F39" s="1193"/>
      <c r="G39" s="1193"/>
      <c r="H39" s="1193"/>
      <c r="I39" s="1193"/>
    </row>
    <row r="40" spans="1:9" s="2" customFormat="1" ht="15" hidden="1" customHeight="1">
      <c r="A40" s="79"/>
      <c r="B40" s="32"/>
      <c r="C40" s="8"/>
      <c r="D40" s="1226"/>
      <c r="E40" s="1227"/>
      <c r="F40" s="1227"/>
      <c r="G40" s="1227"/>
      <c r="H40" s="1227"/>
      <c r="I40" s="1228"/>
    </row>
    <row r="41" spans="1:9" s="2" customFormat="1" ht="15" hidden="1" customHeight="1">
      <c r="A41" s="86"/>
      <c r="B41" s="33"/>
      <c r="C41" s="9"/>
      <c r="D41" s="1183"/>
      <c r="E41" s="1229"/>
      <c r="F41" s="1229"/>
      <c r="G41" s="1229"/>
      <c r="H41" s="1229"/>
      <c r="I41" s="1230"/>
    </row>
    <row r="42" spans="1:9" s="2" customFormat="1" ht="15" hidden="1" customHeight="1">
      <c r="A42" s="86"/>
      <c r="B42" s="33"/>
      <c r="C42" s="9"/>
      <c r="D42" s="1183"/>
      <c r="E42" s="1229"/>
      <c r="F42" s="1229"/>
      <c r="G42" s="1229"/>
      <c r="H42" s="1229"/>
      <c r="I42" s="1230"/>
    </row>
    <row r="43" spans="1:9" s="281" customFormat="1" ht="10.5" hidden="1">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v>500000</v>
      </c>
      <c r="B48" s="36">
        <v>500000</v>
      </c>
      <c r="C48" s="1239" t="s">
        <v>667</v>
      </c>
      <c r="D48" s="1239"/>
      <c r="E48" s="1239"/>
      <c r="F48" s="1239"/>
      <c r="G48" s="1239"/>
      <c r="H48" s="1239"/>
      <c r="I48" s="1240"/>
    </row>
    <row r="49" spans="1:9" s="2" customFormat="1" ht="10.15" customHeight="1">
      <c r="A49" s="71">
        <v>64645</v>
      </c>
      <c r="B49" s="33">
        <v>64645</v>
      </c>
      <c r="C49" s="1241" t="s">
        <v>668</v>
      </c>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A51" s="16">
        <f>A48+A49+A50</f>
        <v>564645</v>
      </c>
      <c r="B51" s="16">
        <f>B48+B49+B50</f>
        <v>564645</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234" t="s">
        <v>259</v>
      </c>
      <c r="B55" s="1235"/>
      <c r="C55" s="56" t="s">
        <v>179</v>
      </c>
      <c r="D55" s="56" t="s">
        <v>118</v>
      </c>
      <c r="E55" s="56" t="s">
        <v>119</v>
      </c>
      <c r="F55" s="56" t="s">
        <v>244</v>
      </c>
      <c r="G55" s="56" t="s">
        <v>180</v>
      </c>
    </row>
    <row r="56" spans="1:9" s="2" customFormat="1" ht="10.15" customHeight="1">
      <c r="A56" s="1417" t="s">
        <v>669</v>
      </c>
      <c r="B56" s="1418"/>
      <c r="C56" s="446" t="s">
        <v>221</v>
      </c>
      <c r="D56" s="447">
        <v>183252</v>
      </c>
      <c r="E56" s="448">
        <v>0</v>
      </c>
      <c r="F56" s="449" t="s">
        <v>670</v>
      </c>
      <c r="G56" s="450">
        <v>44255</v>
      </c>
    </row>
    <row r="57" spans="1:9" s="2" customFormat="1" ht="10.15" customHeight="1">
      <c r="A57" s="1417" t="s">
        <v>669</v>
      </c>
      <c r="B57" s="1418"/>
      <c r="C57" s="451" t="s">
        <v>297</v>
      </c>
      <c r="D57" s="452">
        <v>0</v>
      </c>
      <c r="E57" s="448">
        <v>183252</v>
      </c>
      <c r="F57" s="453" t="s">
        <v>670</v>
      </c>
      <c r="G57" s="454">
        <v>44255</v>
      </c>
    </row>
    <row r="58" spans="1:9" s="2" customFormat="1" ht="10.15" customHeight="1">
      <c r="A58" s="1417" t="s">
        <v>671</v>
      </c>
      <c r="B58" s="1418"/>
      <c r="C58" s="451" t="s">
        <v>221</v>
      </c>
      <c r="D58" s="448">
        <v>480000</v>
      </c>
      <c r="E58" s="448">
        <v>0</v>
      </c>
      <c r="F58" s="453" t="s">
        <v>672</v>
      </c>
      <c r="G58" s="455">
        <v>44258</v>
      </c>
    </row>
    <row r="59" spans="1:9" s="2" customFormat="1" ht="10.15" customHeight="1">
      <c r="A59" s="1417" t="s">
        <v>673</v>
      </c>
      <c r="B59" s="1418"/>
      <c r="C59" s="451" t="s">
        <v>218</v>
      </c>
      <c r="D59" s="448">
        <v>0</v>
      </c>
      <c r="E59" s="448">
        <v>31500</v>
      </c>
      <c r="F59" s="453" t="s">
        <v>672</v>
      </c>
      <c r="G59" s="455">
        <v>44258</v>
      </c>
    </row>
    <row r="60" spans="1:9" s="2" customFormat="1" ht="10.15" customHeight="1">
      <c r="A60" s="1417" t="s">
        <v>674</v>
      </c>
      <c r="B60" s="1418"/>
      <c r="C60" s="451" t="s">
        <v>222</v>
      </c>
      <c r="D60" s="448">
        <v>0</v>
      </c>
      <c r="E60" s="448">
        <v>432500</v>
      </c>
      <c r="F60" s="453" t="s">
        <v>672</v>
      </c>
      <c r="G60" s="455">
        <v>44258</v>
      </c>
    </row>
    <row r="61" spans="1:9" s="2" customFormat="1" ht="10.15" customHeight="1">
      <c r="A61" s="1417" t="s">
        <v>671</v>
      </c>
      <c r="B61" s="1418"/>
      <c r="C61" s="451" t="s">
        <v>295</v>
      </c>
      <c r="D61" s="448">
        <v>0</v>
      </c>
      <c r="E61" s="448">
        <v>23600</v>
      </c>
      <c r="F61" s="453" t="s">
        <v>672</v>
      </c>
      <c r="G61" s="455">
        <v>44258</v>
      </c>
    </row>
    <row r="62" spans="1:9" s="2" customFormat="1" ht="10.15" customHeight="1">
      <c r="A62" s="1417" t="s">
        <v>671</v>
      </c>
      <c r="B62" s="1418"/>
      <c r="C62" s="451" t="s">
        <v>220</v>
      </c>
      <c r="D62" s="448">
        <v>0</v>
      </c>
      <c r="E62" s="448">
        <v>3500</v>
      </c>
      <c r="F62" s="453" t="s">
        <v>672</v>
      </c>
      <c r="G62" s="455">
        <v>44258</v>
      </c>
    </row>
    <row r="63" spans="1:9" s="2" customFormat="1" ht="10.15" customHeight="1">
      <c r="A63" s="1417" t="s">
        <v>671</v>
      </c>
      <c r="B63" s="1418"/>
      <c r="C63" s="451" t="s">
        <v>263</v>
      </c>
      <c r="D63" s="448">
        <v>0</v>
      </c>
      <c r="E63" s="448">
        <v>2500</v>
      </c>
      <c r="F63" s="453" t="s">
        <v>672</v>
      </c>
      <c r="G63" s="455">
        <v>44258</v>
      </c>
    </row>
    <row r="64" spans="1:9" s="2" customFormat="1" ht="10.15" customHeight="1">
      <c r="A64" s="1417" t="s">
        <v>675</v>
      </c>
      <c r="B64" s="1418"/>
      <c r="C64" s="451" t="s">
        <v>221</v>
      </c>
      <c r="D64" s="448">
        <v>300000</v>
      </c>
      <c r="E64" s="448"/>
      <c r="F64" s="453" t="s">
        <v>676</v>
      </c>
      <c r="G64" s="455">
        <v>44279</v>
      </c>
    </row>
    <row r="65" spans="1:7" s="2" customFormat="1" ht="10.15" customHeight="1">
      <c r="A65" s="1415" t="s">
        <v>677</v>
      </c>
      <c r="B65" s="1416"/>
      <c r="C65" s="451" t="s">
        <v>224</v>
      </c>
      <c r="D65" s="448">
        <v>0</v>
      </c>
      <c r="E65" s="448">
        <v>270632</v>
      </c>
      <c r="F65" s="453" t="s">
        <v>676</v>
      </c>
      <c r="G65" s="455">
        <v>44279</v>
      </c>
    </row>
    <row r="66" spans="1:7" s="2" customFormat="1" ht="10.15" customHeight="1">
      <c r="A66" s="1417" t="s">
        <v>108</v>
      </c>
      <c r="B66" s="1418"/>
      <c r="C66" s="451" t="s">
        <v>225</v>
      </c>
      <c r="D66" s="448">
        <v>0</v>
      </c>
      <c r="E66" s="448">
        <v>280000</v>
      </c>
      <c r="F66" s="453" t="s">
        <v>676</v>
      </c>
      <c r="G66" s="455">
        <v>44279</v>
      </c>
    </row>
    <row r="67" spans="1:7" s="2" customFormat="1" ht="10.15" customHeight="1">
      <c r="A67" s="1417" t="s">
        <v>678</v>
      </c>
      <c r="B67" s="1418"/>
      <c r="C67" s="451" t="s">
        <v>292</v>
      </c>
      <c r="D67" s="448">
        <v>0</v>
      </c>
      <c r="E67" s="448">
        <v>58000</v>
      </c>
      <c r="F67" s="453" t="s">
        <v>679</v>
      </c>
      <c r="G67" s="455">
        <v>44377</v>
      </c>
    </row>
    <row r="68" spans="1:7" s="2" customFormat="1" ht="10.15" customHeight="1">
      <c r="A68" s="1417" t="s">
        <v>678</v>
      </c>
      <c r="B68" s="1418"/>
      <c r="C68" s="451" t="s">
        <v>221</v>
      </c>
      <c r="D68" s="448">
        <v>58000</v>
      </c>
      <c r="E68" s="448">
        <v>0</v>
      </c>
      <c r="F68" s="453" t="s">
        <v>679</v>
      </c>
      <c r="G68" s="455">
        <v>44377</v>
      </c>
    </row>
    <row r="69" spans="1:7" s="2" customFormat="1" ht="10.15" customHeight="1">
      <c r="A69" s="1417" t="s">
        <v>226</v>
      </c>
      <c r="B69" s="1418"/>
      <c r="C69" s="451" t="s">
        <v>227</v>
      </c>
      <c r="D69" s="448">
        <v>86409</v>
      </c>
      <c r="E69" s="448"/>
      <c r="F69" s="456">
        <v>44377</v>
      </c>
      <c r="G69" s="457">
        <v>44377</v>
      </c>
    </row>
    <row r="70" spans="1:7" s="2" customFormat="1" ht="10.15" customHeight="1">
      <c r="A70" s="1417" t="s">
        <v>680</v>
      </c>
      <c r="B70" s="1418"/>
      <c r="C70" s="451" t="s">
        <v>229</v>
      </c>
      <c r="D70" s="448">
        <v>497230</v>
      </c>
      <c r="E70" s="448"/>
      <c r="F70" s="456" t="s">
        <v>681</v>
      </c>
      <c r="G70" s="457">
        <v>44377</v>
      </c>
    </row>
    <row r="71" spans="1:7" s="2" customFormat="1" ht="10.15" customHeight="1">
      <c r="A71" s="1420" t="s">
        <v>306</v>
      </c>
      <c r="B71" s="1332"/>
      <c r="C71" s="451" t="s">
        <v>224</v>
      </c>
      <c r="D71" s="448">
        <v>0</v>
      </c>
      <c r="E71" s="448">
        <v>1149</v>
      </c>
      <c r="F71" s="456" t="s">
        <v>681</v>
      </c>
      <c r="G71" s="457">
        <v>44377</v>
      </c>
    </row>
    <row r="72" spans="1:7" s="2" customFormat="1" ht="10.15" customHeight="1">
      <c r="A72" s="1421" t="s">
        <v>108</v>
      </c>
      <c r="B72" s="1422"/>
      <c r="C72" s="451" t="s">
        <v>225</v>
      </c>
      <c r="D72" s="458">
        <v>0</v>
      </c>
      <c r="E72" s="448">
        <v>111044.48</v>
      </c>
      <c r="F72" s="456" t="s">
        <v>681</v>
      </c>
      <c r="G72" s="457">
        <v>44377</v>
      </c>
    </row>
    <row r="73" spans="1:7" s="2" customFormat="1" ht="10.15" customHeight="1">
      <c r="A73" s="1417" t="s">
        <v>673</v>
      </c>
      <c r="B73" s="1418"/>
      <c r="C73" s="451" t="s">
        <v>218</v>
      </c>
      <c r="D73" s="458">
        <v>0</v>
      </c>
      <c r="E73" s="448">
        <v>271868.52</v>
      </c>
      <c r="F73" s="456" t="s">
        <v>681</v>
      </c>
      <c r="G73" s="457">
        <v>44377</v>
      </c>
    </row>
    <row r="74" spans="1:7" s="2" customFormat="1" ht="10.15" customHeight="1">
      <c r="A74" s="1417" t="s">
        <v>674</v>
      </c>
      <c r="B74" s="1418"/>
      <c r="C74" s="451" t="s">
        <v>222</v>
      </c>
      <c r="D74" s="458">
        <v>0</v>
      </c>
      <c r="E74" s="448">
        <v>113168</v>
      </c>
      <c r="F74" s="456" t="s">
        <v>681</v>
      </c>
      <c r="G74" s="457">
        <v>44377</v>
      </c>
    </row>
    <row r="75" spans="1:7" s="2" customFormat="1" ht="10.15" customHeight="1">
      <c r="A75" s="1417" t="s">
        <v>682</v>
      </c>
      <c r="B75" s="1418"/>
      <c r="C75" s="451" t="s">
        <v>221</v>
      </c>
      <c r="D75" s="458">
        <v>496620</v>
      </c>
      <c r="E75" s="448">
        <v>0</v>
      </c>
      <c r="F75" s="456">
        <v>44377</v>
      </c>
      <c r="G75" s="455">
        <v>44377</v>
      </c>
    </row>
    <row r="76" spans="1:7" s="2" customFormat="1" ht="10.15" customHeight="1">
      <c r="A76" s="1415" t="s">
        <v>683</v>
      </c>
      <c r="B76" s="1416"/>
      <c r="C76" s="451" t="s">
        <v>223</v>
      </c>
      <c r="D76" s="458">
        <v>0</v>
      </c>
      <c r="E76" s="448">
        <v>-200000</v>
      </c>
      <c r="F76" s="456">
        <v>44552</v>
      </c>
      <c r="G76" s="455">
        <v>44552</v>
      </c>
    </row>
    <row r="77" spans="1:7" s="2" customFormat="1" ht="10.15" customHeight="1">
      <c r="A77" s="1415" t="s">
        <v>684</v>
      </c>
      <c r="B77" s="1416"/>
      <c r="C77" s="451" t="s">
        <v>218</v>
      </c>
      <c r="D77" s="458">
        <v>0</v>
      </c>
      <c r="E77" s="448">
        <v>200000</v>
      </c>
      <c r="F77" s="456">
        <v>44552</v>
      </c>
      <c r="G77" s="455">
        <v>44552</v>
      </c>
    </row>
    <row r="78" spans="1:7" s="2" customFormat="1" ht="10.15" customHeight="1">
      <c r="A78" s="1415" t="s">
        <v>684</v>
      </c>
      <c r="B78" s="1416"/>
      <c r="C78" s="451" t="s">
        <v>218</v>
      </c>
      <c r="D78" s="458">
        <v>0</v>
      </c>
      <c r="E78" s="448">
        <v>10000</v>
      </c>
      <c r="F78" s="456">
        <v>44561</v>
      </c>
      <c r="G78" s="455">
        <v>44561</v>
      </c>
    </row>
    <row r="79" spans="1:7" s="2" customFormat="1" ht="10.15" customHeight="1">
      <c r="A79" s="1415" t="s">
        <v>685</v>
      </c>
      <c r="B79" s="1416"/>
      <c r="C79" s="451" t="s">
        <v>686</v>
      </c>
      <c r="D79" s="452">
        <v>0</v>
      </c>
      <c r="E79" s="448">
        <v>117200</v>
      </c>
      <c r="F79" s="456">
        <v>44561</v>
      </c>
      <c r="G79" s="455">
        <v>44561</v>
      </c>
    </row>
    <row r="80" spans="1:7" s="2" customFormat="1" ht="10.15" customHeight="1">
      <c r="A80" s="1417" t="s">
        <v>687</v>
      </c>
      <c r="B80" s="1418"/>
      <c r="C80" s="451" t="s">
        <v>688</v>
      </c>
      <c r="D80" s="458">
        <v>0</v>
      </c>
      <c r="E80" s="448">
        <v>3600</v>
      </c>
      <c r="F80" s="456">
        <v>44561</v>
      </c>
      <c r="G80" s="455">
        <v>44561</v>
      </c>
    </row>
    <row r="81" spans="1:9" s="2" customFormat="1" ht="10.15" customHeight="1">
      <c r="A81" s="1417" t="s">
        <v>689</v>
      </c>
      <c r="B81" s="1418"/>
      <c r="C81" s="451" t="s">
        <v>690</v>
      </c>
      <c r="D81" s="459">
        <v>0</v>
      </c>
      <c r="E81" s="448">
        <v>8800.0499999999993</v>
      </c>
      <c r="F81" s="456">
        <v>44561</v>
      </c>
      <c r="G81" s="455">
        <v>44561</v>
      </c>
    </row>
    <row r="82" spans="1:9" s="2" customFormat="1" ht="10.15" customHeight="1">
      <c r="A82" s="1417" t="s">
        <v>691</v>
      </c>
      <c r="B82" s="1418"/>
      <c r="C82" s="451" t="s">
        <v>692</v>
      </c>
      <c r="D82" s="458">
        <v>0</v>
      </c>
      <c r="E82" s="448">
        <v>42062</v>
      </c>
      <c r="F82" s="456">
        <v>44561</v>
      </c>
      <c r="G82" s="455">
        <v>44561</v>
      </c>
    </row>
    <row r="83" spans="1:9" s="2" customFormat="1" ht="10.15" customHeight="1">
      <c r="A83" s="1417" t="s">
        <v>693</v>
      </c>
      <c r="B83" s="1418"/>
      <c r="C83" s="451" t="s">
        <v>297</v>
      </c>
      <c r="D83" s="458">
        <v>0</v>
      </c>
      <c r="E83" s="448">
        <f>188970-E57</f>
        <v>5718</v>
      </c>
      <c r="F83" s="456">
        <v>44561</v>
      </c>
      <c r="G83" s="455">
        <v>44561</v>
      </c>
    </row>
    <row r="84" spans="1:9" s="2" customFormat="1" ht="10.15" customHeight="1">
      <c r="A84" s="1417" t="s">
        <v>694</v>
      </c>
      <c r="B84" s="1418"/>
      <c r="C84" s="451" t="s">
        <v>225</v>
      </c>
      <c r="D84" s="460">
        <v>0</v>
      </c>
      <c r="E84" s="460">
        <v>533806.94999999995</v>
      </c>
      <c r="F84" s="456">
        <v>44561</v>
      </c>
      <c r="G84" s="457">
        <v>44561</v>
      </c>
    </row>
    <row r="85" spans="1:9" s="2" customFormat="1" ht="10.15" customHeight="1">
      <c r="A85" s="1419" t="s">
        <v>695</v>
      </c>
      <c r="B85" s="1419"/>
      <c r="C85" s="461" t="s">
        <v>221</v>
      </c>
      <c r="D85" s="460">
        <v>496620</v>
      </c>
      <c r="E85" s="460">
        <v>0</v>
      </c>
      <c r="F85" s="456">
        <v>44561</v>
      </c>
      <c r="G85" s="457">
        <v>44561</v>
      </c>
    </row>
    <row r="86" spans="1:9" s="2" customFormat="1" ht="10.15" customHeight="1">
      <c r="A86" s="1419" t="s">
        <v>696</v>
      </c>
      <c r="B86" s="1419"/>
      <c r="C86" s="461" t="s">
        <v>221</v>
      </c>
      <c r="D86" s="460">
        <v>5718</v>
      </c>
      <c r="E86" s="460">
        <v>0</v>
      </c>
      <c r="F86" s="456">
        <v>44561</v>
      </c>
      <c r="G86" s="457">
        <v>44561</v>
      </c>
    </row>
    <row r="87" spans="1:9" s="2" customFormat="1" ht="10.15" customHeight="1">
      <c r="A87" s="1419" t="s">
        <v>697</v>
      </c>
      <c r="B87" s="1419"/>
      <c r="C87" s="461" t="s">
        <v>261</v>
      </c>
      <c r="D87" s="460">
        <v>-99948</v>
      </c>
      <c r="E87" s="460">
        <v>0</v>
      </c>
      <c r="F87" s="462">
        <v>44561</v>
      </c>
      <c r="G87" s="457">
        <v>44561</v>
      </c>
    </row>
    <row r="88" spans="1:9" s="2" customFormat="1" ht="10.15" customHeight="1">
      <c r="A88" s="1254" t="s">
        <v>458</v>
      </c>
      <c r="B88" s="1255"/>
      <c r="C88" s="92"/>
      <c r="D88" s="93">
        <f>SUM(D56:D87)</f>
        <v>2503901</v>
      </c>
      <c r="E88" s="93">
        <f>SUM(E56:E87)</f>
        <v>2503901</v>
      </c>
      <c r="F88" s="1256"/>
      <c r="G88" s="1257"/>
    </row>
    <row r="89" spans="1:9" s="2" customFormat="1" ht="11.25">
      <c r="A89" s="76"/>
      <c r="B89" s="76"/>
      <c r="C89" s="37"/>
      <c r="D89" s="37"/>
      <c r="E89" s="38"/>
    </row>
    <row r="90" spans="1:9" s="2" customFormat="1" ht="12" customHeight="1">
      <c r="A90" s="1261" t="s">
        <v>459</v>
      </c>
      <c r="B90" s="1261"/>
      <c r="C90" s="1261"/>
      <c r="D90" s="1261"/>
      <c r="E90" s="1261"/>
      <c r="F90" s="1261"/>
      <c r="G90" s="1261"/>
      <c r="H90" s="1261"/>
      <c r="I90" s="1261"/>
    </row>
    <row r="91" spans="1:9" s="2" customFormat="1" ht="11.25">
      <c r="A91" s="2" t="s">
        <v>90</v>
      </c>
    </row>
    <row r="92" spans="1:9" s="2" customFormat="1" ht="11.25">
      <c r="A92" s="1258" t="s">
        <v>698</v>
      </c>
      <c r="B92" s="1259"/>
      <c r="C92" s="1259"/>
      <c r="D92" s="1259"/>
      <c r="E92" s="1259"/>
      <c r="F92" s="1259"/>
      <c r="G92" s="1259"/>
      <c r="H92" s="1259"/>
      <c r="I92" s="1260"/>
    </row>
    <row r="93" spans="1:9" s="2" customFormat="1" ht="12" customHeight="1">
      <c r="A93" s="1258"/>
      <c r="B93" s="1259"/>
      <c r="C93" s="1259"/>
      <c r="D93" s="1259"/>
      <c r="E93" s="1259"/>
      <c r="F93" s="1259"/>
      <c r="G93" s="1259"/>
      <c r="H93" s="1259"/>
      <c r="I93" s="1260"/>
    </row>
    <row r="94" spans="1:9" s="2" customFormat="1" ht="0.75" customHeight="1">
      <c r="A94" s="1258"/>
      <c r="B94" s="1259"/>
      <c r="C94" s="1259"/>
      <c r="D94" s="1259"/>
      <c r="E94" s="1259"/>
      <c r="F94" s="1259"/>
      <c r="G94" s="1259"/>
      <c r="H94" s="1259"/>
      <c r="I94" s="1260"/>
    </row>
    <row r="95" spans="1:9" s="2" customFormat="1" ht="12" hidden="1" customHeight="1"/>
    <row r="96" spans="1:9" s="281" customFormat="1" ht="10.5">
      <c r="A96" s="1189" t="s">
        <v>461</v>
      </c>
      <c r="B96" s="1189"/>
      <c r="C96" s="1189"/>
      <c r="D96" s="1189"/>
      <c r="E96" s="1189"/>
      <c r="F96" s="1189"/>
      <c r="G96" s="1189"/>
      <c r="H96" s="1189"/>
      <c r="I96" s="1189"/>
    </row>
    <row r="97" spans="1:9" s="2" customFormat="1" ht="11.25">
      <c r="A97" s="2" t="s">
        <v>90</v>
      </c>
    </row>
    <row r="98" spans="1:9" s="2" customFormat="1" ht="12.6" customHeight="1">
      <c r="A98" s="1258" t="s">
        <v>699</v>
      </c>
      <c r="B98" s="1259"/>
      <c r="C98" s="1259"/>
      <c r="D98" s="1259"/>
      <c r="E98" s="1259"/>
      <c r="F98" s="1259"/>
      <c r="G98" s="1259"/>
      <c r="H98" s="1259"/>
      <c r="I98" s="1260"/>
    </row>
    <row r="99" spans="1:9" s="2" customFormat="1" ht="16.149999999999999" customHeight="1">
      <c r="A99" s="1258"/>
      <c r="B99" s="1259"/>
      <c r="C99" s="1259"/>
      <c r="D99" s="1259"/>
      <c r="E99" s="1259"/>
      <c r="F99" s="1259"/>
      <c r="G99" s="1259"/>
      <c r="H99" s="1259"/>
      <c r="I99" s="1260"/>
    </row>
    <row r="100" spans="1:9" s="2" customFormat="1" ht="16.149999999999999" customHeight="1">
      <c r="A100" s="76"/>
      <c r="B100" s="76"/>
      <c r="C100" s="76"/>
      <c r="D100" s="76"/>
      <c r="E100" s="76"/>
      <c r="F100" s="76"/>
      <c r="G100" s="76"/>
      <c r="H100" s="76"/>
      <c r="I100" s="76"/>
    </row>
    <row r="101" spans="1:9">
      <c r="A101" s="2" t="s">
        <v>302</v>
      </c>
    </row>
    <row r="102" spans="1:9">
      <c r="A102" s="2" t="s">
        <v>700</v>
      </c>
    </row>
    <row r="103" spans="1:9">
      <c r="A103" s="2"/>
    </row>
    <row r="104" spans="1:9">
      <c r="A104" s="2" t="s">
        <v>701</v>
      </c>
    </row>
  </sheetData>
  <mergeCells count="79">
    <mergeCell ref="A92:I92"/>
    <mergeCell ref="A93:I93"/>
    <mergeCell ref="A94:I94"/>
    <mergeCell ref="A96:I96"/>
    <mergeCell ref="A98:I98"/>
    <mergeCell ref="A53:I53"/>
    <mergeCell ref="F88:G88"/>
    <mergeCell ref="A90:I90"/>
    <mergeCell ref="A81:B81"/>
    <mergeCell ref="A78:B78"/>
    <mergeCell ref="A74:B74"/>
    <mergeCell ref="A75:B75"/>
    <mergeCell ref="A76:B76"/>
    <mergeCell ref="A77:B77"/>
    <mergeCell ref="A79:B79"/>
    <mergeCell ref="A57:B57"/>
    <mergeCell ref="A63:B63"/>
    <mergeCell ref="A58:B58"/>
    <mergeCell ref="A59:B59"/>
    <mergeCell ref="A70:B70"/>
    <mergeCell ref="C47:I47"/>
    <mergeCell ref="C48:I48"/>
    <mergeCell ref="C49:I49"/>
    <mergeCell ref="C50:I50"/>
    <mergeCell ref="C51:I51"/>
    <mergeCell ref="D40:I40"/>
    <mergeCell ref="D41:I41"/>
    <mergeCell ref="D42:I42"/>
    <mergeCell ref="C43:I43"/>
    <mergeCell ref="A45:I45"/>
    <mergeCell ref="A29:I29"/>
    <mergeCell ref="D31:I31"/>
    <mergeCell ref="D32:I34"/>
    <mergeCell ref="A37:I37"/>
    <mergeCell ref="D39:I39"/>
    <mergeCell ref="A3:I3"/>
    <mergeCell ref="A11:I11"/>
    <mergeCell ref="A5:B5"/>
    <mergeCell ref="A6:B6"/>
    <mergeCell ref="A7:B7"/>
    <mergeCell ref="A8:B8"/>
    <mergeCell ref="D5:I5"/>
    <mergeCell ref="D6:I6"/>
    <mergeCell ref="D7:I7"/>
    <mergeCell ref="D8:I8"/>
    <mergeCell ref="A9:B9"/>
    <mergeCell ref="D9:I9"/>
    <mergeCell ref="A72:B72"/>
    <mergeCell ref="A73:B73"/>
    <mergeCell ref="A15:A17"/>
    <mergeCell ref="A20:I20"/>
    <mergeCell ref="F22:I22"/>
    <mergeCell ref="F23:I23"/>
    <mergeCell ref="A56:B56"/>
    <mergeCell ref="F25:I25"/>
    <mergeCell ref="F24:I24"/>
    <mergeCell ref="F26:I26"/>
    <mergeCell ref="F27:I27"/>
    <mergeCell ref="A60:B60"/>
    <mergeCell ref="A61:B61"/>
    <mergeCell ref="A62:B62"/>
    <mergeCell ref="A64:B64"/>
    <mergeCell ref="C35:I35"/>
    <mergeCell ref="A65:B65"/>
    <mergeCell ref="A66:B66"/>
    <mergeCell ref="A55:B55"/>
    <mergeCell ref="A99:I99"/>
    <mergeCell ref="A86:B86"/>
    <mergeCell ref="A87:B87"/>
    <mergeCell ref="A88:B88"/>
    <mergeCell ref="A67:B67"/>
    <mergeCell ref="A71:B71"/>
    <mergeCell ref="A82:B82"/>
    <mergeCell ref="A83:B83"/>
    <mergeCell ref="A84:B84"/>
    <mergeCell ref="A85:B85"/>
    <mergeCell ref="A68:B68"/>
    <mergeCell ref="A69:B69"/>
    <mergeCell ref="A80:B80"/>
  </mergeCells>
  <pageMargins left="0.23622047244094491" right="0.23622047244094491" top="0.74803149606299213" bottom="0.74803149606299213" header="0.31496062992125984" footer="0.31496062992125984"/>
  <pageSetup paperSize="9" firstPageNumber="154" fitToHeight="5"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L12" sqref="L12"/>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16384" width="6.5" style="114"/>
  </cols>
  <sheetData>
    <row r="1" spans="1:24" s="72" customFormat="1" ht="15.75">
      <c r="A1" s="1262" t="s">
        <v>114</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317"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315" customFormat="1" ht="9.75" customHeight="1">
      <c r="A6" s="247" t="s">
        <v>0</v>
      </c>
      <c r="B6" s="1172" t="s">
        <v>1</v>
      </c>
      <c r="C6" s="1172"/>
      <c r="D6" s="248" t="s">
        <v>25</v>
      </c>
      <c r="E6" s="249">
        <f>SUM(E7:E9)</f>
        <v>69083000</v>
      </c>
      <c r="F6" s="250">
        <f>SUM(F7:F9)</f>
        <v>72767986</v>
      </c>
      <c r="G6" s="250">
        <f>SUM(G7:G9)</f>
        <v>72767985.780000001</v>
      </c>
      <c r="H6" s="251">
        <f t="shared" ref="H6:H28" si="0">G6/F6*100</f>
        <v>99.999999697669253</v>
      </c>
      <c r="I6" s="252">
        <f>SUM(I7:I9)</f>
        <v>65590191.940000005</v>
      </c>
      <c r="J6" s="196">
        <f>SUM(J7:J9)</f>
        <v>6501500</v>
      </c>
      <c r="K6" s="250">
        <f t="shared" ref="K6:V6" si="1">SUM(K7:K9)</f>
        <v>8108979</v>
      </c>
      <c r="L6" s="250">
        <f t="shared" si="1"/>
        <v>8108979.1799999997</v>
      </c>
      <c r="M6" s="251">
        <f t="shared" ref="M6:M28" si="2">L6/K6*100</f>
        <v>100.00000221976157</v>
      </c>
      <c r="N6" s="250">
        <f t="shared" ref="N6:O6" si="3">SUM(N7:N9)</f>
        <v>7372884.2399999993</v>
      </c>
      <c r="O6" s="153">
        <f t="shared" si="3"/>
        <v>62581500</v>
      </c>
      <c r="P6" s="250">
        <f t="shared" si="1"/>
        <v>64659007</v>
      </c>
      <c r="Q6" s="250">
        <f t="shared" si="1"/>
        <v>64659006.599999994</v>
      </c>
      <c r="R6" s="251">
        <f t="shared" ref="R6:R28" si="4">Q6/P6*100</f>
        <v>99.999999381370017</v>
      </c>
      <c r="S6" s="250">
        <f t="shared" ref="S6:T6" si="5">SUM(S7:S9)</f>
        <v>58217307.700000003</v>
      </c>
      <c r="T6" s="196">
        <f t="shared" si="5"/>
        <v>350000</v>
      </c>
      <c r="U6" s="250">
        <f t="shared" si="1"/>
        <v>223570</v>
      </c>
      <c r="V6" s="250">
        <f t="shared" si="1"/>
        <v>223570</v>
      </c>
      <c r="W6" s="251">
        <f t="shared" ref="W6:W33" si="6">V6/U6*100</f>
        <v>100</v>
      </c>
      <c r="X6" s="250">
        <f t="shared" ref="X6" si="7">SUM(X7:X9)</f>
        <v>196180</v>
      </c>
    </row>
    <row r="7" spans="1:24" s="315" customFormat="1" ht="9.75">
      <c r="A7" s="230" t="s">
        <v>2</v>
      </c>
      <c r="B7" s="1160" t="s">
        <v>44</v>
      </c>
      <c r="C7" s="1160"/>
      <c r="D7" s="245" t="s">
        <v>25</v>
      </c>
      <c r="E7" s="198">
        <f t="shared" ref="E7:G10" si="8">SUM(J7,O7)</f>
        <v>450000</v>
      </c>
      <c r="F7" s="184">
        <f t="shared" si="8"/>
        <v>1089326</v>
      </c>
      <c r="G7" s="184">
        <f t="shared" si="8"/>
        <v>1089326.3700000001</v>
      </c>
      <c r="H7" s="185">
        <f t="shared" si="0"/>
        <v>100.00003396595693</v>
      </c>
      <c r="I7" s="199">
        <f>SUM(N7,S7)</f>
        <v>541411.23</v>
      </c>
      <c r="J7" s="203">
        <v>450000</v>
      </c>
      <c r="K7" s="186">
        <v>1089326</v>
      </c>
      <c r="L7" s="186">
        <f>675805.37+413521</f>
        <v>1089326.3700000001</v>
      </c>
      <c r="M7" s="185">
        <f t="shared" si="2"/>
        <v>100.00003396595693</v>
      </c>
      <c r="N7" s="186">
        <f>373082+168329.23</f>
        <v>541411.23</v>
      </c>
      <c r="O7" s="154">
        <v>0</v>
      </c>
      <c r="P7" s="186">
        <v>0</v>
      </c>
      <c r="Q7" s="186">
        <v>0</v>
      </c>
      <c r="R7" s="185">
        <v>0</v>
      </c>
      <c r="S7" s="186">
        <v>0</v>
      </c>
      <c r="T7" s="219">
        <v>350000</v>
      </c>
      <c r="U7" s="186">
        <v>223570</v>
      </c>
      <c r="V7" s="186">
        <v>223570</v>
      </c>
      <c r="W7" s="185">
        <f t="shared" si="6"/>
        <v>100</v>
      </c>
      <c r="X7" s="186">
        <v>196180</v>
      </c>
    </row>
    <row r="8" spans="1:24" s="315" customFormat="1" ht="9.75">
      <c r="A8" s="231" t="s">
        <v>3</v>
      </c>
      <c r="B8" s="1173" t="s">
        <v>45</v>
      </c>
      <c r="C8" s="1173"/>
      <c r="D8" s="245" t="s">
        <v>25</v>
      </c>
      <c r="E8" s="198">
        <f t="shared" si="8"/>
        <v>1500</v>
      </c>
      <c r="F8" s="184">
        <f t="shared" si="8"/>
        <v>2353</v>
      </c>
      <c r="G8" s="184">
        <f t="shared" si="8"/>
        <v>2352.81</v>
      </c>
      <c r="H8" s="185">
        <f t="shared" si="0"/>
        <v>99.991925201869947</v>
      </c>
      <c r="I8" s="199">
        <f>SUM(N8,S8)</f>
        <v>2444.41</v>
      </c>
      <c r="J8" s="205">
        <v>1500</v>
      </c>
      <c r="K8" s="184">
        <v>2353</v>
      </c>
      <c r="L8" s="184">
        <v>2352.81</v>
      </c>
      <c r="M8" s="185">
        <f t="shared" si="2"/>
        <v>99.991925201869947</v>
      </c>
      <c r="N8" s="184">
        <v>2444.41</v>
      </c>
      <c r="O8" s="155">
        <v>0</v>
      </c>
      <c r="P8" s="184">
        <v>0</v>
      </c>
      <c r="Q8" s="184">
        <v>0</v>
      </c>
      <c r="R8" s="185">
        <v>0</v>
      </c>
      <c r="S8" s="184">
        <v>0</v>
      </c>
      <c r="T8" s="198">
        <v>0</v>
      </c>
      <c r="U8" s="184">
        <v>0</v>
      </c>
      <c r="V8" s="184">
        <v>0</v>
      </c>
      <c r="W8" s="185">
        <v>0</v>
      </c>
      <c r="X8" s="184">
        <v>0</v>
      </c>
    </row>
    <row r="9" spans="1:24" s="315" customFormat="1" ht="9.75">
      <c r="A9" s="231" t="s">
        <v>4</v>
      </c>
      <c r="B9" s="187" t="s">
        <v>60</v>
      </c>
      <c r="C9" s="262"/>
      <c r="D9" s="245" t="s">
        <v>25</v>
      </c>
      <c r="E9" s="198">
        <f t="shared" si="8"/>
        <v>68631500</v>
      </c>
      <c r="F9" s="184">
        <f t="shared" si="8"/>
        <v>71676307</v>
      </c>
      <c r="G9" s="184">
        <f t="shared" si="8"/>
        <v>71676306.599999994</v>
      </c>
      <c r="H9" s="185">
        <f t="shared" si="0"/>
        <v>99.999999441935529</v>
      </c>
      <c r="I9" s="199">
        <f>SUM(N9,S9)</f>
        <v>65046336.300000004</v>
      </c>
      <c r="J9" s="205">
        <f>6225788-175788</f>
        <v>6050000</v>
      </c>
      <c r="K9" s="184">
        <v>7017300</v>
      </c>
      <c r="L9" s="184">
        <v>7017300</v>
      </c>
      <c r="M9" s="185">
        <f t="shared" si="2"/>
        <v>100</v>
      </c>
      <c r="N9" s="184">
        <v>6829028.5999999996</v>
      </c>
      <c r="O9" s="155">
        <v>62581500</v>
      </c>
      <c r="P9" s="184">
        <v>64659007</v>
      </c>
      <c r="Q9" s="184">
        <f>62736196+1693168.44+229642.16</f>
        <v>64659006.599999994</v>
      </c>
      <c r="R9" s="185">
        <f t="shared" si="4"/>
        <v>99.999999381370017</v>
      </c>
      <c r="S9" s="184">
        <f>57102151+1115156.7</f>
        <v>58217307.700000003</v>
      </c>
      <c r="T9" s="198">
        <v>0</v>
      </c>
      <c r="U9" s="184">
        <v>0</v>
      </c>
      <c r="V9" s="184">
        <v>0</v>
      </c>
      <c r="W9" s="185">
        <v>0</v>
      </c>
      <c r="X9" s="184">
        <v>0</v>
      </c>
    </row>
    <row r="10" spans="1:24" s="315" customFormat="1" ht="9.75">
      <c r="A10" s="229" t="s">
        <v>5</v>
      </c>
      <c r="B10" s="1158" t="s">
        <v>7</v>
      </c>
      <c r="C10" s="1158"/>
      <c r="D10" s="245" t="s">
        <v>25</v>
      </c>
      <c r="E10" s="200">
        <f t="shared" si="8"/>
        <v>0</v>
      </c>
      <c r="F10" s="182">
        <f t="shared" si="8"/>
        <v>0</v>
      </c>
      <c r="G10" s="182">
        <f t="shared" si="8"/>
        <v>0</v>
      </c>
      <c r="H10" s="180">
        <v>0</v>
      </c>
      <c r="I10" s="201">
        <f>SUM(N10,S10)</f>
        <v>0</v>
      </c>
      <c r="J10" s="206">
        <v>0</v>
      </c>
      <c r="K10" s="182">
        <v>0</v>
      </c>
      <c r="L10" s="182">
        <v>0</v>
      </c>
      <c r="M10" s="180">
        <v>0</v>
      </c>
      <c r="N10" s="182">
        <v>0</v>
      </c>
      <c r="O10" s="156">
        <v>0</v>
      </c>
      <c r="P10" s="182">
        <v>0</v>
      </c>
      <c r="Q10" s="182">
        <v>0</v>
      </c>
      <c r="R10" s="180">
        <v>0</v>
      </c>
      <c r="S10" s="182">
        <v>0</v>
      </c>
      <c r="T10" s="200">
        <v>0</v>
      </c>
      <c r="U10" s="182">
        <v>0</v>
      </c>
      <c r="V10" s="182">
        <v>0</v>
      </c>
      <c r="W10" s="180">
        <v>0</v>
      </c>
      <c r="X10" s="182">
        <v>0</v>
      </c>
    </row>
    <row r="11" spans="1:24" s="315" customFormat="1" ht="9.75">
      <c r="A11" s="229" t="s">
        <v>6</v>
      </c>
      <c r="B11" s="1158" t="s">
        <v>9</v>
      </c>
      <c r="C11" s="1158"/>
      <c r="D11" s="245" t="s">
        <v>25</v>
      </c>
      <c r="E11" s="196">
        <f>SUM(E12:E31)</f>
        <v>69083000</v>
      </c>
      <c r="F11" s="181">
        <f>SUM(F12:F31)</f>
        <v>72767986.170000002</v>
      </c>
      <c r="G11" s="181">
        <f>SUM(G12:G31)</f>
        <v>72766784.780000001</v>
      </c>
      <c r="H11" s="180">
        <f t="shared" si="0"/>
        <v>99.998349012988768</v>
      </c>
      <c r="I11" s="197">
        <f>SUM(I12:I31)</f>
        <v>65580183.859999992</v>
      </c>
      <c r="J11" s="196">
        <f>SUM(J12:J31)</f>
        <v>6501500</v>
      </c>
      <c r="K11" s="181">
        <f>SUM(K12:K31)</f>
        <v>8108979.1699999999</v>
      </c>
      <c r="L11" s="181">
        <f>SUM(L12:L31)</f>
        <v>8107778.1799999997</v>
      </c>
      <c r="M11" s="180">
        <f t="shared" si="2"/>
        <v>99.985189381119099</v>
      </c>
      <c r="N11" s="181">
        <f>SUM(N12:N31)</f>
        <v>7362876.1600000011</v>
      </c>
      <c r="O11" s="153">
        <f>SUM(O12:O31)</f>
        <v>62581500</v>
      </c>
      <c r="P11" s="181">
        <f>SUM(P12:P31)</f>
        <v>64659007</v>
      </c>
      <c r="Q11" s="181">
        <f>SUM(Q12:Q31)</f>
        <v>64659006.600000001</v>
      </c>
      <c r="R11" s="180">
        <f t="shared" si="4"/>
        <v>99.999999381370031</v>
      </c>
      <c r="S11" s="181">
        <f>SUM(S12:S31)</f>
        <v>58217307.699999996</v>
      </c>
      <c r="T11" s="196">
        <f>SUM(T12:T31)</f>
        <v>262839</v>
      </c>
      <c r="U11" s="181">
        <f>SUM(U12:U31)</f>
        <v>89886</v>
      </c>
      <c r="V11" s="181">
        <f>SUM(V12:V31)</f>
        <v>89886.37</v>
      </c>
      <c r="W11" s="180">
        <f t="shared" si="6"/>
        <v>100.0004116325123</v>
      </c>
      <c r="X11" s="181">
        <f>SUM(X12:X31)</f>
        <v>102939.5</v>
      </c>
    </row>
    <row r="12" spans="1:24" s="315" customFormat="1" ht="9.75">
      <c r="A12" s="232" t="s">
        <v>8</v>
      </c>
      <c r="B12" s="1159" t="s">
        <v>28</v>
      </c>
      <c r="C12" s="1159"/>
      <c r="D12" s="245" t="s">
        <v>25</v>
      </c>
      <c r="E12" s="198">
        <f>SUM(J12,O12)</f>
        <v>1146063</v>
      </c>
      <c r="F12" s="184">
        <f t="shared" ref="E12:I28" si="9">SUM(K12,P12)</f>
        <v>1649407</v>
      </c>
      <c r="G12" s="184">
        <f t="shared" si="9"/>
        <v>1649406.88</v>
      </c>
      <c r="H12" s="185">
        <f t="shared" si="0"/>
        <v>99.999992724658</v>
      </c>
      <c r="I12" s="199">
        <f t="shared" si="9"/>
        <v>1101853.5900000001</v>
      </c>
      <c r="J12" s="207">
        <v>687110</v>
      </c>
      <c r="K12" s="188">
        <v>1102803</v>
      </c>
      <c r="L12" s="188">
        <f>472148.29+630654.38</f>
        <v>1102802.67</v>
      </c>
      <c r="M12" s="185">
        <f t="shared" si="2"/>
        <v>99.999970076251145</v>
      </c>
      <c r="N12" s="188">
        <f>2829+892872.18</f>
        <v>895701.18</v>
      </c>
      <c r="O12" s="157">
        <v>458953</v>
      </c>
      <c r="P12" s="188">
        <v>546604</v>
      </c>
      <c r="Q12" s="188">
        <f>485138.74+61465.47</f>
        <v>546604.21</v>
      </c>
      <c r="R12" s="185">
        <f t="shared" si="4"/>
        <v>100.00003841903829</v>
      </c>
      <c r="S12" s="188">
        <f>206152.41</f>
        <v>206152.41</v>
      </c>
      <c r="T12" s="220">
        <v>8000</v>
      </c>
      <c r="U12" s="188">
        <v>3189</v>
      </c>
      <c r="V12" s="188">
        <v>3189</v>
      </c>
      <c r="W12" s="185">
        <f t="shared" si="6"/>
        <v>100</v>
      </c>
      <c r="X12" s="188">
        <v>2625</v>
      </c>
    </row>
    <row r="13" spans="1:24" s="315" customFormat="1" ht="9.75">
      <c r="A13" s="230" t="s">
        <v>10</v>
      </c>
      <c r="B13" s="1160" t="s">
        <v>29</v>
      </c>
      <c r="C13" s="1160"/>
      <c r="D13" s="245" t="s">
        <v>25</v>
      </c>
      <c r="E13" s="198">
        <f t="shared" si="9"/>
        <v>2630000</v>
      </c>
      <c r="F13" s="184">
        <f t="shared" si="9"/>
        <v>2714214</v>
      </c>
      <c r="G13" s="184">
        <f t="shared" si="9"/>
        <v>2714214</v>
      </c>
      <c r="H13" s="185">
        <f t="shared" si="0"/>
        <v>100</v>
      </c>
      <c r="I13" s="199">
        <f t="shared" si="9"/>
        <v>2112491.92</v>
      </c>
      <c r="J13" s="207">
        <v>2630000</v>
      </c>
      <c r="K13" s="184">
        <v>2714214</v>
      </c>
      <c r="L13" s="184">
        <f>422839.43+2291374.57</f>
        <v>2714214</v>
      </c>
      <c r="M13" s="185">
        <f t="shared" si="2"/>
        <v>100</v>
      </c>
      <c r="N13" s="184">
        <f>391062.41+1721429.51</f>
        <v>2112491.92</v>
      </c>
      <c r="O13" s="155">
        <v>0</v>
      </c>
      <c r="P13" s="184">
        <v>0</v>
      </c>
      <c r="Q13" s="184">
        <v>0</v>
      </c>
      <c r="R13" s="185">
        <v>0</v>
      </c>
      <c r="S13" s="184">
        <v>0</v>
      </c>
      <c r="T13" s="198">
        <v>140000</v>
      </c>
      <c r="U13" s="184">
        <v>15952</v>
      </c>
      <c r="V13" s="184">
        <v>15952</v>
      </c>
      <c r="W13" s="185">
        <f t="shared" si="6"/>
        <v>100</v>
      </c>
      <c r="X13" s="184">
        <v>27321</v>
      </c>
    </row>
    <row r="14" spans="1:24" s="315" customFormat="1" ht="9.75">
      <c r="A14" s="230" t="s">
        <v>11</v>
      </c>
      <c r="B14" s="260" t="s">
        <v>61</v>
      </c>
      <c r="C14" s="260"/>
      <c r="D14" s="245" t="s">
        <v>25</v>
      </c>
      <c r="E14" s="198">
        <f t="shared" si="9"/>
        <v>0</v>
      </c>
      <c r="F14" s="184">
        <f t="shared" si="9"/>
        <v>0</v>
      </c>
      <c r="G14" s="184">
        <f t="shared" si="9"/>
        <v>0</v>
      </c>
      <c r="H14" s="185">
        <v>0</v>
      </c>
      <c r="I14" s="199">
        <f t="shared" si="9"/>
        <v>0</v>
      </c>
      <c r="J14" s="207">
        <v>0</v>
      </c>
      <c r="K14" s="184">
        <v>0</v>
      </c>
      <c r="L14" s="184">
        <v>0</v>
      </c>
      <c r="M14" s="185">
        <v>0</v>
      </c>
      <c r="N14" s="184">
        <v>0</v>
      </c>
      <c r="O14" s="155">
        <v>0</v>
      </c>
      <c r="P14" s="184">
        <v>0</v>
      </c>
      <c r="Q14" s="184">
        <v>0</v>
      </c>
      <c r="R14" s="185">
        <v>0</v>
      </c>
      <c r="S14" s="184">
        <v>0</v>
      </c>
      <c r="T14" s="198">
        <v>0</v>
      </c>
      <c r="U14" s="184">
        <v>0</v>
      </c>
      <c r="V14" s="184">
        <v>0</v>
      </c>
      <c r="W14" s="185">
        <v>0</v>
      </c>
      <c r="X14" s="184">
        <v>0</v>
      </c>
    </row>
    <row r="15" spans="1:24" s="315" customFormat="1" ht="9.75">
      <c r="A15" s="230" t="s">
        <v>12</v>
      </c>
      <c r="B15" s="1160" t="s">
        <v>62</v>
      </c>
      <c r="C15" s="1160"/>
      <c r="D15" s="245" t="s">
        <v>25</v>
      </c>
      <c r="E15" s="198">
        <f t="shared" si="9"/>
        <v>900000</v>
      </c>
      <c r="F15" s="184">
        <f t="shared" si="9"/>
        <v>1277948</v>
      </c>
      <c r="G15" s="184">
        <f t="shared" si="9"/>
        <v>1277948.3400000001</v>
      </c>
      <c r="H15" s="185">
        <f t="shared" si="0"/>
        <v>100.00002660515139</v>
      </c>
      <c r="I15" s="199">
        <f t="shared" si="9"/>
        <v>2002203.34</v>
      </c>
      <c r="J15" s="207">
        <v>900000</v>
      </c>
      <c r="K15" s="184">
        <v>1277948</v>
      </c>
      <c r="L15" s="184">
        <v>1277948.3400000001</v>
      </c>
      <c r="M15" s="185">
        <f t="shared" si="2"/>
        <v>100.00002660515139</v>
      </c>
      <c r="N15" s="184">
        <f>18065+1984138.34</f>
        <v>2002203.34</v>
      </c>
      <c r="O15" s="155">
        <v>0</v>
      </c>
      <c r="P15" s="184">
        <v>0</v>
      </c>
      <c r="Q15" s="184">
        <v>0</v>
      </c>
      <c r="R15" s="185">
        <v>0</v>
      </c>
      <c r="S15" s="184">
        <v>0</v>
      </c>
      <c r="T15" s="198">
        <v>11000</v>
      </c>
      <c r="U15" s="184">
        <v>5387</v>
      </c>
      <c r="V15" s="184">
        <v>5387</v>
      </c>
      <c r="W15" s="185">
        <f t="shared" si="6"/>
        <v>100</v>
      </c>
      <c r="X15" s="184">
        <v>11162</v>
      </c>
    </row>
    <row r="16" spans="1:24" s="315" customFormat="1" ht="9.75">
      <c r="A16" s="230" t="s">
        <v>13</v>
      </c>
      <c r="B16" s="1160" t="s">
        <v>30</v>
      </c>
      <c r="C16" s="1160"/>
      <c r="D16" s="245" t="s">
        <v>25</v>
      </c>
      <c r="E16" s="198">
        <f t="shared" si="9"/>
        <v>43000</v>
      </c>
      <c r="F16" s="184">
        <f t="shared" si="9"/>
        <v>16706</v>
      </c>
      <c r="G16" s="184">
        <f t="shared" si="9"/>
        <v>16706</v>
      </c>
      <c r="H16" s="185">
        <f t="shared" si="0"/>
        <v>100</v>
      </c>
      <c r="I16" s="199">
        <f t="shared" si="9"/>
        <v>21309</v>
      </c>
      <c r="J16" s="207">
        <v>3000</v>
      </c>
      <c r="K16" s="184">
        <v>1477</v>
      </c>
      <c r="L16" s="184">
        <v>1477</v>
      </c>
      <c r="M16" s="185">
        <f t="shared" si="2"/>
        <v>100</v>
      </c>
      <c r="N16" s="184">
        <v>390</v>
      </c>
      <c r="O16" s="155">
        <v>40000</v>
      </c>
      <c r="P16" s="184">
        <v>15229</v>
      </c>
      <c r="Q16" s="184">
        <f>14761+468</f>
        <v>15229</v>
      </c>
      <c r="R16" s="185">
        <f t="shared" si="4"/>
        <v>100</v>
      </c>
      <c r="S16" s="184">
        <f>19413+1506</f>
        <v>20919</v>
      </c>
      <c r="T16" s="198">
        <v>0</v>
      </c>
      <c r="U16" s="184">
        <v>0</v>
      </c>
      <c r="V16" s="184">
        <v>0</v>
      </c>
      <c r="W16" s="185">
        <v>0</v>
      </c>
      <c r="X16" s="184">
        <v>0</v>
      </c>
    </row>
    <row r="17" spans="1:24" s="315" customFormat="1" ht="9.75">
      <c r="A17" s="230" t="s">
        <v>14</v>
      </c>
      <c r="B17" s="260" t="s">
        <v>46</v>
      </c>
      <c r="C17" s="260"/>
      <c r="D17" s="245" t="s">
        <v>25</v>
      </c>
      <c r="E17" s="198">
        <f t="shared" si="9"/>
        <v>5000</v>
      </c>
      <c r="F17" s="184">
        <f t="shared" si="9"/>
        <v>4004</v>
      </c>
      <c r="G17" s="184">
        <f t="shared" si="9"/>
        <v>4004</v>
      </c>
      <c r="H17" s="185">
        <f t="shared" si="0"/>
        <v>100</v>
      </c>
      <c r="I17" s="199">
        <f t="shared" si="9"/>
        <v>4723</v>
      </c>
      <c r="J17" s="207">
        <v>5000</v>
      </c>
      <c r="K17" s="184">
        <v>4004</v>
      </c>
      <c r="L17" s="184">
        <v>4004</v>
      </c>
      <c r="M17" s="185">
        <f t="shared" si="2"/>
        <v>100</v>
      </c>
      <c r="N17" s="184">
        <v>4723</v>
      </c>
      <c r="O17" s="155">
        <v>0</v>
      </c>
      <c r="P17" s="184">
        <v>0</v>
      </c>
      <c r="Q17" s="184">
        <v>0</v>
      </c>
      <c r="R17" s="185">
        <v>0</v>
      </c>
      <c r="S17" s="184">
        <v>0</v>
      </c>
      <c r="T17" s="198">
        <v>0</v>
      </c>
      <c r="U17" s="184">
        <v>0</v>
      </c>
      <c r="V17" s="184">
        <v>0</v>
      </c>
      <c r="W17" s="185">
        <v>0</v>
      </c>
      <c r="X17" s="184">
        <v>0</v>
      </c>
    </row>
    <row r="18" spans="1:24" s="315" customFormat="1" ht="9.75">
      <c r="A18" s="230" t="s">
        <v>15</v>
      </c>
      <c r="B18" s="1160" t="s">
        <v>31</v>
      </c>
      <c r="C18" s="1160"/>
      <c r="D18" s="245" t="s">
        <v>25</v>
      </c>
      <c r="E18" s="198">
        <f t="shared" si="9"/>
        <v>685000</v>
      </c>
      <c r="F18" s="184">
        <f t="shared" si="9"/>
        <v>834404</v>
      </c>
      <c r="G18" s="184">
        <f>SUM(L18,Q18)</f>
        <v>834404</v>
      </c>
      <c r="H18" s="185">
        <f t="shared" si="0"/>
        <v>100</v>
      </c>
      <c r="I18" s="199">
        <f t="shared" si="9"/>
        <v>633412.68999999994</v>
      </c>
      <c r="J18" s="207">
        <v>535000</v>
      </c>
      <c r="K18" s="184">
        <v>587561</v>
      </c>
      <c r="L18" s="184">
        <v>587561</v>
      </c>
      <c r="M18" s="185">
        <f t="shared" si="2"/>
        <v>100</v>
      </c>
      <c r="N18" s="184">
        <v>431143.62</v>
      </c>
      <c r="O18" s="155">
        <v>150000</v>
      </c>
      <c r="P18" s="184">
        <v>246843</v>
      </c>
      <c r="Q18" s="184">
        <f>192075+51580+3188</f>
        <v>246843</v>
      </c>
      <c r="R18" s="185">
        <f t="shared" si="4"/>
        <v>100</v>
      </c>
      <c r="S18" s="184">
        <f>68681.07+133588</f>
        <v>202269.07</v>
      </c>
      <c r="T18" s="198">
        <v>6500</v>
      </c>
      <c r="U18" s="184">
        <v>1446</v>
      </c>
      <c r="V18" s="184">
        <v>1446</v>
      </c>
      <c r="W18" s="185">
        <f t="shared" si="6"/>
        <v>100</v>
      </c>
      <c r="X18" s="184">
        <v>2295</v>
      </c>
    </row>
    <row r="19" spans="1:24" s="318" customFormat="1" ht="9.75">
      <c r="A19" s="230" t="s">
        <v>16</v>
      </c>
      <c r="B19" s="1160" t="s">
        <v>32</v>
      </c>
      <c r="C19" s="1160"/>
      <c r="D19" s="245" t="s">
        <v>25</v>
      </c>
      <c r="E19" s="198">
        <f t="shared" si="9"/>
        <v>45462244</v>
      </c>
      <c r="F19" s="184">
        <f t="shared" si="9"/>
        <v>46514346</v>
      </c>
      <c r="G19" s="184">
        <f>SUM(L19,Q19)</f>
        <v>46514346</v>
      </c>
      <c r="H19" s="185">
        <f t="shared" si="0"/>
        <v>100</v>
      </c>
      <c r="I19" s="199">
        <f t="shared" si="9"/>
        <v>42060166</v>
      </c>
      <c r="J19" s="209">
        <v>238190</v>
      </c>
      <c r="K19" s="184">
        <v>181050</v>
      </c>
      <c r="L19" s="184">
        <f>13900+167150</f>
        <v>181050</v>
      </c>
      <c r="M19" s="185">
        <f t="shared" si="2"/>
        <v>100</v>
      </c>
      <c r="N19" s="184">
        <f>35100+150800</f>
        <v>185900</v>
      </c>
      <c r="O19" s="155">
        <f>44924054+300000</f>
        <v>45224054</v>
      </c>
      <c r="P19" s="184">
        <v>46333296</v>
      </c>
      <c r="Q19" s="318">
        <f>45391747+770044+171505</f>
        <v>46333296</v>
      </c>
      <c r="R19" s="185">
        <f t="shared" si="4"/>
        <v>100</v>
      </c>
      <c r="S19" s="184">
        <f>41076100+798166</f>
        <v>41874266</v>
      </c>
      <c r="T19" s="225">
        <v>52770</v>
      </c>
      <c r="U19" s="190">
        <v>28085</v>
      </c>
      <c r="V19" s="190">
        <v>28085</v>
      </c>
      <c r="W19" s="185">
        <f t="shared" si="6"/>
        <v>100</v>
      </c>
      <c r="X19" s="190">
        <v>24135</v>
      </c>
    </row>
    <row r="20" spans="1:24" s="315" customFormat="1" ht="9.75">
      <c r="A20" s="230" t="s">
        <v>17</v>
      </c>
      <c r="B20" s="1160" t="s">
        <v>47</v>
      </c>
      <c r="C20" s="1160"/>
      <c r="D20" s="245" t="s">
        <v>25</v>
      </c>
      <c r="E20" s="198">
        <f t="shared" si="9"/>
        <v>15373011</v>
      </c>
      <c r="F20" s="184">
        <f t="shared" si="9"/>
        <v>15578682</v>
      </c>
      <c r="G20" s="184">
        <f t="shared" si="9"/>
        <v>15578682.120000001</v>
      </c>
      <c r="H20" s="185">
        <f t="shared" si="0"/>
        <v>100.00000077028339</v>
      </c>
      <c r="I20" s="199">
        <f t="shared" si="9"/>
        <v>14133680.159999998</v>
      </c>
      <c r="J20" s="207">
        <v>0</v>
      </c>
      <c r="K20" s="184">
        <v>4756</v>
      </c>
      <c r="L20" s="184">
        <f>4698+58.38</f>
        <v>4756.38</v>
      </c>
      <c r="M20" s="185">
        <f t="shared" si="2"/>
        <v>100.00798990748527</v>
      </c>
      <c r="N20" s="184">
        <f>11864+147.42</f>
        <v>12011.42</v>
      </c>
      <c r="O20" s="155">
        <f>4043165+11141165+188681</f>
        <v>15373011</v>
      </c>
      <c r="P20" s="184">
        <v>15573926</v>
      </c>
      <c r="Q20" s="184">
        <f>15193930+188849.6+137523+1708.98+51277+637.16</f>
        <v>15573925.74</v>
      </c>
      <c r="R20" s="185">
        <f t="shared" si="4"/>
        <v>99.999998330542979</v>
      </c>
      <c r="S20" s="184">
        <f>13775905+173962.04+169693+2108.7</f>
        <v>14121668.739999998</v>
      </c>
      <c r="T20" s="198">
        <f>16315+203</f>
        <v>16518</v>
      </c>
      <c r="U20" s="184">
        <v>8258</v>
      </c>
      <c r="V20" s="184">
        <f>8157+101.37</f>
        <v>8258.3700000000008</v>
      </c>
      <c r="W20" s="185">
        <f t="shared" si="6"/>
        <v>100.00448050375394</v>
      </c>
      <c r="X20" s="184">
        <f>8158+101.5</f>
        <v>8259.5</v>
      </c>
    </row>
    <row r="21" spans="1:24" s="315" customFormat="1" ht="9.75">
      <c r="A21" s="230" t="s">
        <v>18</v>
      </c>
      <c r="B21" s="1160" t="s">
        <v>48</v>
      </c>
      <c r="C21" s="1160"/>
      <c r="D21" s="245" t="s">
        <v>25</v>
      </c>
      <c r="E21" s="198">
        <f t="shared" si="9"/>
        <v>950482</v>
      </c>
      <c r="F21" s="184">
        <f t="shared" si="9"/>
        <v>1097456</v>
      </c>
      <c r="G21" s="184">
        <f t="shared" si="9"/>
        <v>1097456.2</v>
      </c>
      <c r="H21" s="185">
        <f t="shared" si="0"/>
        <v>100.00001822396524</v>
      </c>
      <c r="I21" s="199">
        <f t="shared" si="9"/>
        <v>928294</v>
      </c>
      <c r="J21" s="207">
        <v>15000</v>
      </c>
      <c r="K21" s="184">
        <v>157301</v>
      </c>
      <c r="L21" s="184">
        <f>62327.2+94974</f>
        <v>157301.20000000001</v>
      </c>
      <c r="M21" s="185">
        <f t="shared" si="2"/>
        <v>100.0001271447734</v>
      </c>
      <c r="N21" s="184">
        <f>53970+15702</f>
        <v>69672</v>
      </c>
      <c r="O21" s="155">
        <f>896482+39000</f>
        <v>935482</v>
      </c>
      <c r="P21" s="184">
        <v>940155</v>
      </c>
      <c r="Q21" s="184">
        <f>928980+8140+3035</f>
        <v>940155</v>
      </c>
      <c r="R21" s="185">
        <f t="shared" si="4"/>
        <v>100</v>
      </c>
      <c r="S21" s="184">
        <f>848527+10095</f>
        <v>858622</v>
      </c>
      <c r="T21" s="198">
        <v>965</v>
      </c>
      <c r="U21" s="184">
        <v>483</v>
      </c>
      <c r="V21" s="184">
        <v>483</v>
      </c>
      <c r="W21" s="185">
        <f t="shared" si="6"/>
        <v>100</v>
      </c>
      <c r="X21" s="184">
        <v>483</v>
      </c>
    </row>
    <row r="22" spans="1:24" s="315" customFormat="1" ht="9.75">
      <c r="A22" s="230" t="s">
        <v>19</v>
      </c>
      <c r="B22" s="1160" t="s">
        <v>63</v>
      </c>
      <c r="C22" s="1160"/>
      <c r="D22" s="245" t="s">
        <v>25</v>
      </c>
      <c r="E22" s="198">
        <f t="shared" si="9"/>
        <v>0</v>
      </c>
      <c r="F22" s="184">
        <f t="shared" si="9"/>
        <v>0</v>
      </c>
      <c r="G22" s="184">
        <f t="shared" si="9"/>
        <v>0</v>
      </c>
      <c r="H22" s="185">
        <v>0</v>
      </c>
      <c r="I22" s="199">
        <f t="shared" si="9"/>
        <v>0</v>
      </c>
      <c r="J22" s="207">
        <v>0</v>
      </c>
      <c r="K22" s="184">
        <v>0</v>
      </c>
      <c r="L22" s="184">
        <v>0</v>
      </c>
      <c r="M22" s="185">
        <v>0</v>
      </c>
      <c r="N22" s="184">
        <v>0</v>
      </c>
      <c r="O22" s="155">
        <v>0</v>
      </c>
      <c r="P22" s="184">
        <v>0</v>
      </c>
      <c r="Q22" s="184">
        <v>0</v>
      </c>
      <c r="R22" s="185">
        <v>0</v>
      </c>
      <c r="S22" s="184">
        <v>0</v>
      </c>
      <c r="T22" s="198">
        <v>0</v>
      </c>
      <c r="U22" s="184">
        <v>0</v>
      </c>
      <c r="V22" s="184">
        <v>0</v>
      </c>
      <c r="W22" s="185">
        <v>0</v>
      </c>
      <c r="X22" s="184">
        <v>0</v>
      </c>
    </row>
    <row r="23" spans="1:24" s="315" customFormat="1" ht="9.75">
      <c r="A23" s="230" t="s">
        <v>20</v>
      </c>
      <c r="B23" s="260" t="s">
        <v>64</v>
      </c>
      <c r="C23" s="260"/>
      <c r="D23" s="245" t="s">
        <v>25</v>
      </c>
      <c r="E23" s="198">
        <f t="shared" si="9"/>
        <v>0</v>
      </c>
      <c r="F23" s="184">
        <f t="shared" si="9"/>
        <v>0</v>
      </c>
      <c r="G23" s="184">
        <f t="shared" si="9"/>
        <v>0</v>
      </c>
      <c r="H23" s="185">
        <v>0</v>
      </c>
      <c r="I23" s="199">
        <f t="shared" si="9"/>
        <v>0</v>
      </c>
      <c r="J23" s="207">
        <v>0</v>
      </c>
      <c r="K23" s="184">
        <v>0</v>
      </c>
      <c r="L23" s="184">
        <v>0</v>
      </c>
      <c r="M23" s="185">
        <v>0</v>
      </c>
      <c r="N23" s="184">
        <v>0</v>
      </c>
      <c r="O23" s="155">
        <v>0</v>
      </c>
      <c r="P23" s="184">
        <v>0</v>
      </c>
      <c r="Q23" s="184">
        <v>0</v>
      </c>
      <c r="R23" s="185">
        <v>0</v>
      </c>
      <c r="S23" s="184">
        <v>0</v>
      </c>
      <c r="T23" s="198">
        <v>0</v>
      </c>
      <c r="U23" s="184">
        <v>0</v>
      </c>
      <c r="V23" s="184">
        <v>0</v>
      </c>
      <c r="W23" s="185">
        <v>0</v>
      </c>
      <c r="X23" s="184">
        <v>0</v>
      </c>
    </row>
    <row r="24" spans="1:24" s="315" customFormat="1" ht="9.75">
      <c r="A24" s="230" t="s">
        <v>21</v>
      </c>
      <c r="B24" s="260" t="s">
        <v>71</v>
      </c>
      <c r="C24" s="260"/>
      <c r="D24" s="245" t="s">
        <v>25</v>
      </c>
      <c r="E24" s="198">
        <f t="shared" si="9"/>
        <v>0</v>
      </c>
      <c r="F24" s="184">
        <f t="shared" si="9"/>
        <v>0</v>
      </c>
      <c r="G24" s="184">
        <f t="shared" si="9"/>
        <v>0</v>
      </c>
      <c r="H24" s="185">
        <v>0</v>
      </c>
      <c r="I24" s="199">
        <f t="shared" si="9"/>
        <v>0</v>
      </c>
      <c r="J24" s="207">
        <v>0</v>
      </c>
      <c r="K24" s="184">
        <v>0</v>
      </c>
      <c r="L24" s="184">
        <v>0</v>
      </c>
      <c r="M24" s="185">
        <v>0</v>
      </c>
      <c r="N24" s="184">
        <v>0</v>
      </c>
      <c r="O24" s="155">
        <v>0</v>
      </c>
      <c r="P24" s="184">
        <v>0</v>
      </c>
      <c r="Q24" s="184">
        <v>0</v>
      </c>
      <c r="R24" s="185">
        <v>0</v>
      </c>
      <c r="S24" s="184">
        <v>0</v>
      </c>
      <c r="T24" s="198">
        <v>0</v>
      </c>
      <c r="U24" s="184">
        <v>0</v>
      </c>
      <c r="V24" s="184">
        <v>0</v>
      </c>
      <c r="W24" s="185">
        <v>0</v>
      </c>
      <c r="X24" s="184">
        <v>0</v>
      </c>
    </row>
    <row r="25" spans="1:24" s="315" customFormat="1" ht="9.75">
      <c r="A25" s="232" t="s">
        <v>22</v>
      </c>
      <c r="B25" s="264" t="s">
        <v>66</v>
      </c>
      <c r="C25" s="264"/>
      <c r="D25" s="245" t="s">
        <v>25</v>
      </c>
      <c r="E25" s="198">
        <f t="shared" si="9"/>
        <v>0</v>
      </c>
      <c r="F25" s="184">
        <f t="shared" si="9"/>
        <v>0</v>
      </c>
      <c r="G25" s="184">
        <f t="shared" si="9"/>
        <v>0</v>
      </c>
      <c r="H25" s="185">
        <v>0</v>
      </c>
      <c r="I25" s="199">
        <f t="shared" si="9"/>
        <v>0</v>
      </c>
      <c r="J25" s="207">
        <v>0</v>
      </c>
      <c r="K25" s="188">
        <v>0</v>
      </c>
      <c r="L25" s="188">
        <v>0</v>
      </c>
      <c r="M25" s="185">
        <v>0</v>
      </c>
      <c r="N25" s="188">
        <v>0</v>
      </c>
      <c r="O25" s="157">
        <v>0</v>
      </c>
      <c r="P25" s="188">
        <v>0</v>
      </c>
      <c r="Q25" s="188">
        <v>0</v>
      </c>
      <c r="R25" s="185">
        <v>0</v>
      </c>
      <c r="S25" s="188">
        <v>0</v>
      </c>
      <c r="T25" s="220">
        <v>0</v>
      </c>
      <c r="U25" s="188">
        <v>0</v>
      </c>
      <c r="V25" s="188">
        <v>0</v>
      </c>
      <c r="W25" s="185">
        <v>0</v>
      </c>
      <c r="X25" s="188">
        <v>0</v>
      </c>
    </row>
    <row r="26" spans="1:24" s="319" customFormat="1" ht="9.75">
      <c r="A26" s="230" t="s">
        <v>23</v>
      </c>
      <c r="B26" s="1160" t="s">
        <v>67</v>
      </c>
      <c r="C26" s="1160"/>
      <c r="D26" s="245" t="s">
        <v>25</v>
      </c>
      <c r="E26" s="198">
        <f t="shared" si="9"/>
        <v>1337500</v>
      </c>
      <c r="F26" s="184">
        <f t="shared" si="9"/>
        <v>1519841</v>
      </c>
      <c r="G26" s="184">
        <f t="shared" si="9"/>
        <v>1518639</v>
      </c>
      <c r="H26" s="185">
        <f t="shared" si="0"/>
        <v>99.920912779692088</v>
      </c>
      <c r="I26" s="199">
        <f t="shared" si="9"/>
        <v>1354133</v>
      </c>
      <c r="J26" s="207">
        <f>1513288-175788</f>
        <v>1337500</v>
      </c>
      <c r="K26" s="189">
        <v>1519841</v>
      </c>
      <c r="L26" s="189">
        <v>1518639</v>
      </c>
      <c r="M26" s="185">
        <f t="shared" si="2"/>
        <v>99.920912779692088</v>
      </c>
      <c r="N26" s="189">
        <v>1354133</v>
      </c>
      <c r="O26" s="158">
        <v>0</v>
      </c>
      <c r="P26" s="189">
        <v>0</v>
      </c>
      <c r="Q26" s="189">
        <v>0</v>
      </c>
      <c r="R26" s="185">
        <v>0</v>
      </c>
      <c r="S26" s="189">
        <v>0</v>
      </c>
      <c r="T26" s="220">
        <v>27086</v>
      </c>
      <c r="U26" s="189">
        <v>27086</v>
      </c>
      <c r="V26" s="189">
        <v>27086</v>
      </c>
      <c r="W26" s="185">
        <f t="shared" si="6"/>
        <v>100</v>
      </c>
      <c r="X26" s="189">
        <v>26659</v>
      </c>
    </row>
    <row r="27" spans="1:24" s="320" customFormat="1" ht="9.75">
      <c r="A27" s="230" t="s">
        <v>43</v>
      </c>
      <c r="B27" s="260" t="s">
        <v>68</v>
      </c>
      <c r="C27" s="260"/>
      <c r="D27" s="245" t="s">
        <v>25</v>
      </c>
      <c r="E27" s="198">
        <f t="shared" si="9"/>
        <v>0</v>
      </c>
      <c r="F27" s="184">
        <f t="shared" si="9"/>
        <v>0</v>
      </c>
      <c r="G27" s="184">
        <f t="shared" si="9"/>
        <v>0</v>
      </c>
      <c r="H27" s="185">
        <v>0</v>
      </c>
      <c r="I27" s="199">
        <f t="shared" si="9"/>
        <v>0</v>
      </c>
      <c r="J27" s="207">
        <v>0</v>
      </c>
      <c r="K27" s="189">
        <v>0</v>
      </c>
      <c r="L27" s="189">
        <v>0</v>
      </c>
      <c r="M27" s="185">
        <v>0</v>
      </c>
      <c r="N27" s="189">
        <v>0</v>
      </c>
      <c r="O27" s="158">
        <v>0</v>
      </c>
      <c r="P27" s="189">
        <v>0</v>
      </c>
      <c r="Q27" s="189">
        <v>0</v>
      </c>
      <c r="R27" s="185">
        <v>0</v>
      </c>
      <c r="S27" s="189">
        <v>0</v>
      </c>
      <c r="T27" s="220">
        <v>0</v>
      </c>
      <c r="U27" s="50">
        <v>0</v>
      </c>
      <c r="V27" s="50">
        <v>0</v>
      </c>
      <c r="W27" s="185">
        <v>0</v>
      </c>
      <c r="X27" s="189">
        <v>0</v>
      </c>
    </row>
    <row r="28" spans="1:24" s="320" customFormat="1" ht="9.75">
      <c r="A28" s="230" t="s">
        <v>49</v>
      </c>
      <c r="B28" s="260" t="s">
        <v>72</v>
      </c>
      <c r="C28" s="260"/>
      <c r="D28" s="245" t="s">
        <v>25</v>
      </c>
      <c r="E28" s="198">
        <f t="shared" si="9"/>
        <v>550000</v>
      </c>
      <c r="F28" s="184">
        <f t="shared" si="9"/>
        <v>1558538</v>
      </c>
      <c r="G28" s="184">
        <f t="shared" si="9"/>
        <v>1558538.0699999998</v>
      </c>
      <c r="H28" s="185">
        <f t="shared" si="0"/>
        <v>100.00000449138871</v>
      </c>
      <c r="I28" s="199">
        <f t="shared" si="9"/>
        <v>1171628.76</v>
      </c>
      <c r="J28" s="207">
        <v>150000</v>
      </c>
      <c r="K28" s="189">
        <v>555584</v>
      </c>
      <c r="L28" s="189">
        <f>114523.88+441060.54</f>
        <v>555584.41999999993</v>
      </c>
      <c r="M28" s="185">
        <f t="shared" si="2"/>
        <v>100.00007559612946</v>
      </c>
      <c r="N28" s="189">
        <f>3304+234914.28</f>
        <v>238218.28</v>
      </c>
      <c r="O28" s="158">
        <v>400000</v>
      </c>
      <c r="P28" s="189">
        <v>1002954</v>
      </c>
      <c r="Q28" s="189">
        <f>340714.66+662238.99</f>
        <v>1002953.6499999999</v>
      </c>
      <c r="R28" s="185">
        <f t="shared" si="4"/>
        <v>99.999965103085472</v>
      </c>
      <c r="S28" s="189">
        <v>933410.48</v>
      </c>
      <c r="T28" s="220">
        <v>0</v>
      </c>
      <c r="U28" s="50">
        <v>0</v>
      </c>
      <c r="V28" s="50">
        <v>0</v>
      </c>
      <c r="W28" s="185">
        <v>0</v>
      </c>
      <c r="X28" s="189">
        <v>0</v>
      </c>
    </row>
    <row r="29" spans="1:24" s="319" customFormat="1" ht="9.75">
      <c r="A29" s="230" t="s">
        <v>50</v>
      </c>
      <c r="B29" s="1160" t="s">
        <v>65</v>
      </c>
      <c r="C29" s="1160"/>
      <c r="D29" s="245" t="s">
        <v>25</v>
      </c>
      <c r="E29" s="198">
        <f t="shared" ref="E29:G31" si="10">SUM(J29,O29)</f>
        <v>700</v>
      </c>
      <c r="F29" s="184">
        <f t="shared" si="10"/>
        <v>2440.17</v>
      </c>
      <c r="G29" s="184">
        <f t="shared" si="10"/>
        <v>2440.17</v>
      </c>
      <c r="H29" s="185">
        <f>G29/F29*100</f>
        <v>100</v>
      </c>
      <c r="I29" s="199">
        <f>SUM(N29,S29)</f>
        <v>56288.4</v>
      </c>
      <c r="J29" s="207">
        <v>700</v>
      </c>
      <c r="K29" s="189">
        <v>2440.17</v>
      </c>
      <c r="L29" s="189">
        <f>1184+1256.17</f>
        <v>2440.17</v>
      </c>
      <c r="M29" s="185">
        <f>L29/K29*100</f>
        <v>100</v>
      </c>
      <c r="N29" s="189">
        <f>1672+54616.4</f>
        <v>56288.4</v>
      </c>
      <c r="O29" s="158">
        <v>0</v>
      </c>
      <c r="P29" s="189">
        <v>0</v>
      </c>
      <c r="Q29" s="189">
        <v>0</v>
      </c>
      <c r="R29" s="185">
        <v>0</v>
      </c>
      <c r="S29" s="189">
        <v>0</v>
      </c>
      <c r="T29" s="220">
        <v>0</v>
      </c>
      <c r="U29" s="50">
        <v>0</v>
      </c>
      <c r="V29" s="50">
        <v>0</v>
      </c>
      <c r="W29" s="185">
        <v>0</v>
      </c>
      <c r="X29" s="189">
        <v>0</v>
      </c>
    </row>
    <row r="30" spans="1:24" s="315" customFormat="1" ht="9.75">
      <c r="A30" s="230" t="s">
        <v>52</v>
      </c>
      <c r="B30" s="260" t="s">
        <v>51</v>
      </c>
      <c r="C30" s="260"/>
      <c r="D30" s="245" t="s">
        <v>25</v>
      </c>
      <c r="E30" s="198">
        <f t="shared" si="10"/>
        <v>0</v>
      </c>
      <c r="F30" s="184">
        <f t="shared" si="10"/>
        <v>0</v>
      </c>
      <c r="G30" s="184">
        <f t="shared" si="10"/>
        <v>0</v>
      </c>
      <c r="H30" s="185">
        <v>0</v>
      </c>
      <c r="I30" s="199">
        <f>SUM(N30,S30)</f>
        <v>0</v>
      </c>
      <c r="J30" s="207">
        <v>0</v>
      </c>
      <c r="K30" s="189">
        <v>0</v>
      </c>
      <c r="L30" s="189">
        <v>0</v>
      </c>
      <c r="M30" s="185">
        <v>0</v>
      </c>
      <c r="N30" s="189">
        <v>0</v>
      </c>
      <c r="O30" s="158">
        <v>0</v>
      </c>
      <c r="P30" s="189">
        <v>0</v>
      </c>
      <c r="Q30" s="189">
        <v>0</v>
      </c>
      <c r="R30" s="185">
        <v>0</v>
      </c>
      <c r="S30" s="189">
        <v>0</v>
      </c>
      <c r="T30" s="220">
        <v>0</v>
      </c>
      <c r="U30" s="50">
        <v>0</v>
      </c>
      <c r="V30" s="50">
        <v>0</v>
      </c>
      <c r="W30" s="185">
        <v>0</v>
      </c>
      <c r="X30" s="189">
        <v>0</v>
      </c>
    </row>
    <row r="31" spans="1:24" s="321" customFormat="1" ht="9.75">
      <c r="A31" s="230" t="s">
        <v>53</v>
      </c>
      <c r="B31" s="260" t="s">
        <v>69</v>
      </c>
      <c r="C31" s="260"/>
      <c r="D31" s="245" t="s">
        <v>25</v>
      </c>
      <c r="E31" s="198">
        <f t="shared" si="10"/>
        <v>0</v>
      </c>
      <c r="F31" s="184">
        <f t="shared" si="10"/>
        <v>0</v>
      </c>
      <c r="G31" s="184">
        <f t="shared" si="10"/>
        <v>0</v>
      </c>
      <c r="H31" s="185">
        <v>0</v>
      </c>
      <c r="I31" s="199">
        <f>SUM(N31,S31)</f>
        <v>0</v>
      </c>
      <c r="J31" s="207">
        <v>0</v>
      </c>
      <c r="K31" s="193">
        <v>0</v>
      </c>
      <c r="L31" s="193">
        <v>0</v>
      </c>
      <c r="M31" s="185">
        <v>0</v>
      </c>
      <c r="N31" s="193">
        <v>0</v>
      </c>
      <c r="O31" s="159">
        <v>0</v>
      </c>
      <c r="P31" s="193">
        <v>0</v>
      </c>
      <c r="Q31" s="193">
        <v>0</v>
      </c>
      <c r="R31" s="185">
        <v>0</v>
      </c>
      <c r="S31" s="193">
        <v>0</v>
      </c>
      <c r="T31" s="220">
        <v>0</v>
      </c>
      <c r="U31" s="50">
        <v>0</v>
      </c>
      <c r="V31" s="50">
        <v>0</v>
      </c>
      <c r="W31" s="185">
        <v>0</v>
      </c>
      <c r="X31" s="194">
        <v>0</v>
      </c>
    </row>
    <row r="32" spans="1:24" s="321" customFormat="1" ht="9.75">
      <c r="A32" s="232" t="s">
        <v>54</v>
      </c>
      <c r="B32" s="264" t="s">
        <v>70</v>
      </c>
      <c r="C32" s="264"/>
      <c r="D32" s="245" t="s">
        <v>25</v>
      </c>
      <c r="E32" s="198">
        <f>SUM(J32,O32)</f>
        <v>0</v>
      </c>
      <c r="F32" s="184">
        <f>SUM(K32,P32)</f>
        <v>0</v>
      </c>
      <c r="G32" s="184">
        <f>SUM(L32,Q32)</f>
        <v>0</v>
      </c>
      <c r="H32" s="185">
        <v>0</v>
      </c>
      <c r="I32" s="199">
        <f>SUM(N32,S32)</f>
        <v>0</v>
      </c>
      <c r="J32" s="207">
        <v>0</v>
      </c>
      <c r="K32" s="194">
        <v>0</v>
      </c>
      <c r="L32" s="194">
        <v>0</v>
      </c>
      <c r="M32" s="185">
        <v>0</v>
      </c>
      <c r="N32" s="194">
        <v>0</v>
      </c>
      <c r="O32" s="160">
        <v>0</v>
      </c>
      <c r="P32" s="194">
        <v>0</v>
      </c>
      <c r="Q32" s="194">
        <v>0</v>
      </c>
      <c r="R32" s="185">
        <v>0</v>
      </c>
      <c r="S32" s="194">
        <v>0</v>
      </c>
      <c r="T32" s="220">
        <v>0</v>
      </c>
      <c r="U32" s="50">
        <v>0</v>
      </c>
      <c r="V32" s="50">
        <v>0</v>
      </c>
      <c r="W32" s="185">
        <v>0</v>
      </c>
      <c r="X32" s="194">
        <v>0</v>
      </c>
    </row>
    <row r="33" spans="1:24" s="321" customFormat="1" ht="9.75">
      <c r="A33" s="229" t="s">
        <v>55</v>
      </c>
      <c r="B33" s="263" t="s">
        <v>56</v>
      </c>
      <c r="C33" s="263"/>
      <c r="D33" s="245" t="s">
        <v>25</v>
      </c>
      <c r="E33" s="196">
        <f>E6-E11</f>
        <v>0</v>
      </c>
      <c r="F33" s="181">
        <f t="shared" ref="F33:G33" si="11">F6-F11</f>
        <v>-0.17000000178813934</v>
      </c>
      <c r="G33" s="181">
        <f t="shared" si="11"/>
        <v>1201</v>
      </c>
      <c r="H33" s="195">
        <v>0</v>
      </c>
      <c r="I33" s="197">
        <f t="shared" ref="I33:L33" si="12">I6-I11</f>
        <v>10008.080000013113</v>
      </c>
      <c r="J33" s="196">
        <f>J6-J11</f>
        <v>0</v>
      </c>
      <c r="K33" s="181">
        <f t="shared" si="12"/>
        <v>-0.16999999992549419</v>
      </c>
      <c r="L33" s="181">
        <f t="shared" si="12"/>
        <v>1201</v>
      </c>
      <c r="M33" s="195">
        <v>0</v>
      </c>
      <c r="N33" s="181">
        <f t="shared" ref="N33" si="13">N6-N11</f>
        <v>10008.079999998212</v>
      </c>
      <c r="O33" s="153">
        <f>O6-O11</f>
        <v>0</v>
      </c>
      <c r="P33" s="181">
        <f t="shared" ref="P33:Q33" si="14">P6-P11</f>
        <v>0</v>
      </c>
      <c r="Q33" s="181">
        <f t="shared" si="14"/>
        <v>0</v>
      </c>
      <c r="R33" s="180">
        <v>0</v>
      </c>
      <c r="S33" s="181">
        <f t="shared" ref="S33" si="15">S6-S11</f>
        <v>0</v>
      </c>
      <c r="T33" s="196">
        <f>T6-T11</f>
        <v>87161</v>
      </c>
      <c r="U33" s="181">
        <f t="shared" ref="U33:V33" si="16">U6-U11</f>
        <v>133684</v>
      </c>
      <c r="V33" s="181">
        <f t="shared" si="16"/>
        <v>133683.63</v>
      </c>
      <c r="W33" s="180">
        <f t="shared" si="6"/>
        <v>99.999723227910593</v>
      </c>
      <c r="X33" s="181">
        <f t="shared" ref="X33" si="17">X6-X11</f>
        <v>93240.5</v>
      </c>
    </row>
    <row r="34" spans="1:24" s="322" customFormat="1" ht="9.75">
      <c r="A34" s="254" t="s">
        <v>57</v>
      </c>
      <c r="B34" s="1157" t="s">
        <v>237</v>
      </c>
      <c r="C34" s="1157"/>
      <c r="D34" s="258" t="s">
        <v>25</v>
      </c>
      <c r="E34" s="233"/>
      <c r="F34" s="234"/>
      <c r="G34" s="234"/>
      <c r="H34" s="191">
        <v>0</v>
      </c>
      <c r="I34" s="237"/>
      <c r="J34" s="213"/>
      <c r="K34" s="183"/>
      <c r="L34" s="183"/>
      <c r="M34" s="185">
        <v>0</v>
      </c>
      <c r="N34" s="130"/>
      <c r="O34" s="239"/>
      <c r="P34" s="240"/>
      <c r="Q34" s="240"/>
      <c r="R34" s="185">
        <v>0</v>
      </c>
      <c r="S34" s="243"/>
      <c r="T34" s="213"/>
      <c r="U34" s="183"/>
      <c r="V34" s="183"/>
      <c r="W34" s="185">
        <v>0</v>
      </c>
      <c r="X34" s="214"/>
    </row>
    <row r="35" spans="1:24" s="322" customFormat="1" ht="9.75">
      <c r="A35" s="255" t="s">
        <v>58</v>
      </c>
      <c r="B35" s="1156" t="s">
        <v>238</v>
      </c>
      <c r="C35" s="1156"/>
      <c r="D35" s="259" t="s">
        <v>26</v>
      </c>
      <c r="E35" s="233"/>
      <c r="F35" s="234"/>
      <c r="G35" s="234"/>
      <c r="H35" s="191">
        <v>0</v>
      </c>
      <c r="I35" s="237"/>
      <c r="J35" s="213"/>
      <c r="K35" s="183"/>
      <c r="L35" s="183"/>
      <c r="M35" s="185">
        <v>0</v>
      </c>
      <c r="N35" s="183"/>
      <c r="O35" s="239"/>
      <c r="P35" s="240"/>
      <c r="Q35" s="240"/>
      <c r="R35" s="185">
        <v>0</v>
      </c>
      <c r="S35" s="243"/>
      <c r="T35" s="213"/>
      <c r="U35" s="183"/>
      <c r="V35" s="183"/>
      <c r="W35" s="185">
        <v>0</v>
      </c>
      <c r="X35" s="214"/>
    </row>
    <row r="36" spans="1:24" s="322" customFormat="1" ht="9.75">
      <c r="A36" s="255" t="s">
        <v>59</v>
      </c>
      <c r="B36" s="1156" t="s">
        <v>239</v>
      </c>
      <c r="C36" s="1156"/>
      <c r="D36" s="259" t="s">
        <v>26</v>
      </c>
      <c r="E36" s="233"/>
      <c r="F36" s="234"/>
      <c r="G36" s="234"/>
      <c r="H36" s="191">
        <v>0</v>
      </c>
      <c r="I36" s="237"/>
      <c r="J36" s="213"/>
      <c r="K36" s="183"/>
      <c r="L36" s="183"/>
      <c r="M36" s="185">
        <v>0</v>
      </c>
      <c r="N36" s="183"/>
      <c r="O36" s="239"/>
      <c r="P36" s="240"/>
      <c r="Q36" s="240"/>
      <c r="R36" s="185">
        <v>0</v>
      </c>
      <c r="S36" s="243"/>
      <c r="T36" s="213"/>
      <c r="U36" s="183"/>
      <c r="V36" s="183"/>
      <c r="W36" s="185">
        <v>0</v>
      </c>
      <c r="X36" s="214"/>
    </row>
    <row r="37" spans="1:24" s="322" customFormat="1" ht="10.5" thickBot="1">
      <c r="A37" s="256" t="s">
        <v>240</v>
      </c>
      <c r="B37" s="1174" t="s">
        <v>241</v>
      </c>
      <c r="C37" s="1174"/>
      <c r="D37" s="257" t="s">
        <v>242</v>
      </c>
      <c r="E37" s="235"/>
      <c r="F37" s="236"/>
      <c r="G37" s="236"/>
      <c r="H37" s="202">
        <v>0</v>
      </c>
      <c r="I37" s="238"/>
      <c r="J37" s="215"/>
      <c r="K37" s="216">
        <v>13</v>
      </c>
      <c r="L37" s="216">
        <v>13</v>
      </c>
      <c r="M37" s="217">
        <v>0</v>
      </c>
      <c r="N37" s="216">
        <v>15</v>
      </c>
      <c r="O37" s="241"/>
      <c r="P37" s="242"/>
      <c r="Q37" s="242"/>
      <c r="R37" s="217">
        <v>0</v>
      </c>
      <c r="S37" s="244"/>
      <c r="T37" s="215"/>
      <c r="U37" s="216"/>
      <c r="V37" s="216"/>
      <c r="W37" s="217">
        <v>0</v>
      </c>
      <c r="X37" s="218"/>
    </row>
  </sheetData>
  <mergeCells count="40">
    <mergeCell ref="A3:A5"/>
    <mergeCell ref="B3:C5"/>
    <mergeCell ref="D3:D5"/>
    <mergeCell ref="P4:R4"/>
    <mergeCell ref="N4:N5"/>
    <mergeCell ref="O3:S3"/>
    <mergeCell ref="F4:H4"/>
    <mergeCell ref="S4:S5"/>
    <mergeCell ref="I4:I5"/>
    <mergeCell ref="J3:N3"/>
    <mergeCell ref="J4:J5"/>
    <mergeCell ref="E3:I3"/>
    <mergeCell ref="T4:T5"/>
    <mergeCell ref="U4:W4"/>
    <mergeCell ref="B26:C26"/>
    <mergeCell ref="X4:X5"/>
    <mergeCell ref="T3:X3"/>
    <mergeCell ref="B29:C29"/>
    <mergeCell ref="B10:C10"/>
    <mergeCell ref="B11:C11"/>
    <mergeCell ref="E4:E5"/>
    <mergeCell ref="B12:C12"/>
    <mergeCell ref="B6:C6"/>
    <mergeCell ref="B7:C7"/>
    <mergeCell ref="A1:X1"/>
    <mergeCell ref="B15:C15"/>
    <mergeCell ref="B36:C36"/>
    <mergeCell ref="B37:C37"/>
    <mergeCell ref="B13:C13"/>
    <mergeCell ref="B8:C8"/>
    <mergeCell ref="O4:O5"/>
    <mergeCell ref="K4:M4"/>
    <mergeCell ref="B16:C16"/>
    <mergeCell ref="B18:C18"/>
    <mergeCell ref="B19:C19"/>
    <mergeCell ref="B34:C34"/>
    <mergeCell ref="B35:C35"/>
    <mergeCell ref="B20:C20"/>
    <mergeCell ref="B21:C21"/>
    <mergeCell ref="B22:C22"/>
  </mergeCells>
  <pageMargins left="0.23622047244094491" right="0.23622047244094491" top="0.74803149606299213" bottom="0.74803149606299213" header="0.31496062992125984" footer="0.31496062992125984"/>
  <pageSetup paperSize="9" scale="95" firstPageNumber="157"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8"/>
  <sheetViews>
    <sheetView workbookViewId="0">
      <selection activeCell="D8" sqref="D8:I8"/>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1460" t="s">
        <v>702</v>
      </c>
      <c r="B1" s="1460"/>
      <c r="C1" s="1460"/>
      <c r="D1" s="1460"/>
      <c r="E1" s="1460"/>
      <c r="F1" s="1460"/>
      <c r="G1" s="1460"/>
      <c r="H1" s="1460"/>
      <c r="I1" s="1460"/>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9.75" customHeight="1">
      <c r="A6" s="1213" t="s">
        <v>414</v>
      </c>
      <c r="B6" s="1213"/>
      <c r="C6" s="16">
        <f>SUM(C7:C9)</f>
        <v>134884.63</v>
      </c>
      <c r="D6" s="1207"/>
      <c r="E6" s="1208"/>
      <c r="F6" s="1208"/>
      <c r="G6" s="1208"/>
      <c r="H6" s="1208"/>
      <c r="I6" s="1209"/>
    </row>
    <row r="7" spans="1:9" s="2" customFormat="1" ht="10.5" customHeight="1">
      <c r="A7" s="1199" t="s">
        <v>75</v>
      </c>
      <c r="B7" s="1200"/>
      <c r="C7" s="17">
        <v>1201</v>
      </c>
      <c r="D7" s="1205" t="s">
        <v>703</v>
      </c>
      <c r="E7" s="1205"/>
      <c r="F7" s="1205"/>
      <c r="G7" s="1205"/>
      <c r="H7" s="1205"/>
      <c r="I7" s="1206"/>
    </row>
    <row r="8" spans="1:9" s="281" customFormat="1" ht="43.5" customHeight="1">
      <c r="A8" s="1201" t="s">
        <v>76</v>
      </c>
      <c r="B8" s="1202"/>
      <c r="C8" s="18">
        <v>133683.63</v>
      </c>
      <c r="D8" s="1461" t="s">
        <v>704</v>
      </c>
      <c r="E8" s="1461"/>
      <c r="F8" s="1461"/>
      <c r="G8" s="1461"/>
      <c r="H8" s="1461"/>
      <c r="I8" s="1462"/>
    </row>
    <row r="9" spans="1:9" s="281" customFormat="1" ht="10.5" customHeight="1">
      <c r="A9" s="1203" t="s">
        <v>77</v>
      </c>
      <c r="B9" s="1204"/>
      <c r="C9" s="62">
        <v>0</v>
      </c>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0.5" customHeight="1">
      <c r="A14" s="63" t="s">
        <v>79</v>
      </c>
      <c r="B14" s="4"/>
      <c r="C14" s="64">
        <v>1201</v>
      </c>
      <c r="D14" s="22"/>
      <c r="E14" s="22"/>
      <c r="F14" s="22"/>
      <c r="G14" s="22"/>
      <c r="H14" s="22"/>
      <c r="I14" s="22"/>
    </row>
    <row r="15" spans="1:9" s="2" customFormat="1" ht="10.5" customHeight="1">
      <c r="A15" s="1190" t="s">
        <v>80</v>
      </c>
      <c r="B15" s="23" t="s">
        <v>91</v>
      </c>
      <c r="C15" s="65">
        <v>0</v>
      </c>
      <c r="D15" s="22"/>
      <c r="E15" s="22"/>
      <c r="F15" s="22"/>
      <c r="G15" s="22"/>
      <c r="H15" s="22"/>
      <c r="I15" s="22"/>
    </row>
    <row r="16" spans="1:9" s="2" customFormat="1" ht="10.5" customHeight="1">
      <c r="A16" s="1191"/>
      <c r="B16" s="5" t="s">
        <v>81</v>
      </c>
      <c r="C16" s="66">
        <v>88683.63</v>
      </c>
      <c r="D16" s="24"/>
      <c r="E16" s="24"/>
      <c r="F16" s="24"/>
      <c r="G16" s="24"/>
      <c r="H16" s="24"/>
      <c r="I16" s="24"/>
    </row>
    <row r="17" spans="1:9" s="2" customFormat="1" ht="10.5" customHeight="1">
      <c r="A17" s="1192"/>
      <c r="B17" s="6" t="s">
        <v>82</v>
      </c>
      <c r="C17" s="67">
        <v>45000</v>
      </c>
      <c r="D17" s="25"/>
      <c r="E17" s="25"/>
      <c r="F17" s="25"/>
      <c r="G17" s="25"/>
      <c r="H17" s="25"/>
      <c r="I17" s="25"/>
    </row>
    <row r="18" spans="1:9" s="2" customFormat="1" ht="10.5" customHeight="1">
      <c r="A18" s="275" t="s">
        <v>414</v>
      </c>
      <c r="B18" s="7"/>
      <c r="C18" s="26">
        <f>SUM(C14:C17)</f>
        <v>134884.63</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30" customHeight="1">
      <c r="A23" s="68" t="s">
        <v>83</v>
      </c>
      <c r="B23" s="32">
        <v>2177563.0299999998</v>
      </c>
      <c r="C23" s="32">
        <v>1414885.42</v>
      </c>
      <c r="D23" s="32">
        <v>1993720.01</v>
      </c>
      <c r="E23" s="32">
        <f>B23+C23-D23</f>
        <v>1598728.4399999997</v>
      </c>
      <c r="F23" s="1194" t="s">
        <v>705</v>
      </c>
      <c r="G23" s="1195"/>
      <c r="H23" s="1195"/>
      <c r="I23" s="1196"/>
    </row>
    <row r="24" spans="1:9" s="2" customFormat="1" ht="30" customHeight="1">
      <c r="A24" s="69" t="s">
        <v>84</v>
      </c>
      <c r="B24" s="463">
        <v>206685.13</v>
      </c>
      <c r="C24" s="463">
        <v>1545725</v>
      </c>
      <c r="D24" s="463">
        <v>1507086</v>
      </c>
      <c r="E24" s="464">
        <f>B24+C24-D24</f>
        <v>245324.12999999989</v>
      </c>
      <c r="F24" s="1183" t="s">
        <v>706</v>
      </c>
      <c r="G24" s="1184"/>
      <c r="H24" s="1184"/>
      <c r="I24" s="1185"/>
    </row>
    <row r="25" spans="1:9" s="2" customFormat="1" ht="30" customHeight="1">
      <c r="A25" s="69" t="s">
        <v>82</v>
      </c>
      <c r="B25" s="463">
        <v>13366.12</v>
      </c>
      <c r="C25" s="463">
        <v>35000</v>
      </c>
      <c r="D25" s="463">
        <v>13900</v>
      </c>
      <c r="E25" s="464">
        <f>B25+C25-D25</f>
        <v>34466.120000000003</v>
      </c>
      <c r="F25" s="1183" t="s">
        <v>707</v>
      </c>
      <c r="G25" s="1184"/>
      <c r="H25" s="1184"/>
      <c r="I25" s="1185"/>
    </row>
    <row r="26" spans="1:9" s="2" customFormat="1" ht="30" customHeight="1">
      <c r="A26" s="70" t="s">
        <v>85</v>
      </c>
      <c r="B26" s="464">
        <v>1315436</v>
      </c>
      <c r="C26" s="464">
        <v>914798</v>
      </c>
      <c r="D26" s="464">
        <v>946169.92</v>
      </c>
      <c r="E26" s="465">
        <f>B26+C26-D26</f>
        <v>1284064.08</v>
      </c>
      <c r="F26" s="1186" t="s">
        <v>708</v>
      </c>
      <c r="G26" s="1187"/>
      <c r="H26" s="1187"/>
      <c r="I26" s="1188"/>
    </row>
    <row r="27" spans="1:9" s="281" customFormat="1" ht="10.5">
      <c r="A27" s="3" t="s">
        <v>34</v>
      </c>
      <c r="B27" s="16">
        <f>SUM(B23:B26)</f>
        <v>3713050.28</v>
      </c>
      <c r="C27" s="16">
        <f t="shared" ref="C27:E27" si="0">SUM(C23:C26)</f>
        <v>3910408.42</v>
      </c>
      <c r="D27" s="16">
        <f t="shared" si="0"/>
        <v>4460875.93</v>
      </c>
      <c r="E27" s="16">
        <f t="shared" si="0"/>
        <v>3162582.7699999996</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0.5" customHeight="1">
      <c r="A32" s="79" t="s">
        <v>709</v>
      </c>
      <c r="B32" s="32">
        <v>5500</v>
      </c>
      <c r="C32" s="8"/>
      <c r="D32" s="1215" t="s">
        <v>710</v>
      </c>
      <c r="E32" s="1216"/>
      <c r="F32" s="1216"/>
      <c r="G32" s="1216"/>
      <c r="H32" s="1216"/>
      <c r="I32" s="1217"/>
    </row>
    <row r="33" spans="1:9" s="2" customFormat="1" ht="10.5" customHeight="1">
      <c r="A33" s="79" t="s">
        <v>711</v>
      </c>
      <c r="B33" s="34">
        <v>800</v>
      </c>
      <c r="C33" s="13"/>
      <c r="D33" s="1218"/>
      <c r="E33" s="1219"/>
      <c r="F33" s="1219"/>
      <c r="G33" s="1219"/>
      <c r="H33" s="1219"/>
      <c r="I33" s="1220"/>
    </row>
    <row r="34" spans="1:9" s="2" customFormat="1" ht="10.5" customHeight="1">
      <c r="A34" s="81"/>
      <c r="B34" s="82"/>
      <c r="C34" s="83"/>
      <c r="D34" s="1221"/>
      <c r="E34" s="1222"/>
      <c r="F34" s="1222"/>
      <c r="G34" s="1222"/>
      <c r="H34" s="1222"/>
      <c r="I34" s="1223"/>
    </row>
    <row r="35" spans="1:9" s="281" customFormat="1" ht="11.25">
      <c r="A35" s="84" t="s">
        <v>34</v>
      </c>
      <c r="B35" s="85">
        <f>SUM(B32:B34)</f>
        <v>6300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0.5" customHeight="1">
      <c r="A40" s="79"/>
      <c r="B40" s="32"/>
      <c r="C40" s="8"/>
      <c r="D40" s="1226"/>
      <c r="E40" s="1227"/>
      <c r="F40" s="1227"/>
      <c r="G40" s="1227"/>
      <c r="H40" s="1227"/>
      <c r="I40" s="1228"/>
    </row>
    <row r="41" spans="1:9" s="281" customFormat="1" ht="10.5">
      <c r="A41" s="3" t="s">
        <v>34</v>
      </c>
      <c r="B41" s="16">
        <f>SUM(B40:B40)</f>
        <v>0</v>
      </c>
      <c r="C41" s="1463" t="s">
        <v>192</v>
      </c>
      <c r="D41" s="1464"/>
      <c r="E41" s="1464"/>
      <c r="F41" s="1464"/>
      <c r="G41" s="1464"/>
      <c r="H41" s="1464"/>
      <c r="I41" s="1464"/>
    </row>
    <row r="42" spans="1:9" s="2" customFormat="1" ht="11.25">
      <c r="C42" s="19"/>
    </row>
    <row r="43" spans="1:9" s="2" customFormat="1" ht="11.25">
      <c r="A43" s="1189" t="s">
        <v>432</v>
      </c>
      <c r="B43" s="1189"/>
      <c r="C43" s="1189"/>
      <c r="D43" s="1189"/>
      <c r="E43" s="1189"/>
      <c r="F43" s="1189"/>
      <c r="G43" s="1189"/>
      <c r="H43" s="1189"/>
      <c r="I43" s="1189"/>
    </row>
    <row r="44" spans="1:9" s="2" customFormat="1" ht="11.25">
      <c r="C44" s="19"/>
    </row>
    <row r="45" spans="1:9" s="2" customFormat="1" ht="11.25">
      <c r="A45" s="271" t="s">
        <v>25</v>
      </c>
      <c r="B45" s="270" t="s">
        <v>433</v>
      </c>
      <c r="C45" s="1238" t="s">
        <v>89</v>
      </c>
      <c r="D45" s="1238"/>
      <c r="E45" s="1238"/>
      <c r="F45" s="1238"/>
      <c r="G45" s="1238"/>
      <c r="H45" s="1238"/>
      <c r="I45" s="1238"/>
    </row>
    <row r="46" spans="1:9" s="2" customFormat="1" ht="10.5" customHeight="1">
      <c r="A46" s="87">
        <v>4012</v>
      </c>
      <c r="B46" s="36">
        <v>4012</v>
      </c>
      <c r="C46" s="1239" t="s">
        <v>712</v>
      </c>
      <c r="D46" s="1239"/>
      <c r="E46" s="1239"/>
      <c r="F46" s="1239"/>
      <c r="G46" s="1239"/>
      <c r="H46" s="1239"/>
      <c r="I46" s="1240"/>
    </row>
    <row r="47" spans="1:9" s="281" customFormat="1" ht="10.5" customHeight="1">
      <c r="A47" s="16">
        <f>A46</f>
        <v>4012</v>
      </c>
      <c r="B47" s="16">
        <f>B46</f>
        <v>4012</v>
      </c>
      <c r="C47" s="1233" t="s">
        <v>34</v>
      </c>
      <c r="D47" s="1233"/>
      <c r="E47" s="1233"/>
      <c r="F47" s="1233"/>
      <c r="G47" s="1233"/>
      <c r="H47" s="1233"/>
      <c r="I47" s="1233"/>
    </row>
    <row r="48" spans="1:9" s="2" customFormat="1" ht="11.25">
      <c r="C48" s="19"/>
    </row>
    <row r="49" spans="1:9" s="2" customFormat="1" ht="11.25">
      <c r="A49" s="1189" t="s">
        <v>434</v>
      </c>
      <c r="B49" s="1189"/>
      <c r="C49" s="1189"/>
      <c r="D49" s="1189"/>
      <c r="E49" s="1189"/>
      <c r="F49" s="1189"/>
      <c r="G49" s="1189"/>
      <c r="H49" s="1189"/>
      <c r="I49" s="1189"/>
    </row>
    <row r="50" spans="1:9" s="2" customFormat="1" ht="11.25">
      <c r="C50" s="19"/>
    </row>
    <row r="51" spans="1:9" s="10" customFormat="1" ht="31.5">
      <c r="A51" s="1234" t="s">
        <v>259</v>
      </c>
      <c r="B51" s="1235"/>
      <c r="C51" s="56" t="s">
        <v>179</v>
      </c>
      <c r="D51" s="56" t="s">
        <v>118</v>
      </c>
      <c r="E51" s="56" t="s">
        <v>119</v>
      </c>
      <c r="F51" s="56" t="s">
        <v>244</v>
      </c>
      <c r="G51" s="56" t="s">
        <v>180</v>
      </c>
    </row>
    <row r="52" spans="1:9" s="406" customFormat="1" ht="10.5" customHeight="1">
      <c r="A52" s="1443" t="s">
        <v>713</v>
      </c>
      <c r="B52" s="1444"/>
      <c r="C52" s="466" t="s">
        <v>193</v>
      </c>
      <c r="D52" s="467">
        <v>175788</v>
      </c>
      <c r="E52" s="468"/>
      <c r="F52" s="1447">
        <v>44236</v>
      </c>
      <c r="G52" s="1449">
        <v>44251</v>
      </c>
      <c r="H52" s="469"/>
    </row>
    <row r="53" spans="1:9" s="406" customFormat="1" ht="10.5" customHeight="1">
      <c r="A53" s="1445"/>
      <c r="B53" s="1446"/>
      <c r="C53" s="470" t="s">
        <v>194</v>
      </c>
      <c r="D53" s="471"/>
      <c r="E53" s="471">
        <f>D52</f>
        <v>175788</v>
      </c>
      <c r="F53" s="1448"/>
      <c r="G53" s="1450"/>
      <c r="H53" s="469"/>
      <c r="I53" s="472"/>
    </row>
    <row r="54" spans="1:9" s="406" customFormat="1" ht="10.5" customHeight="1">
      <c r="A54" s="1443" t="s">
        <v>714</v>
      </c>
      <c r="B54" s="1444"/>
      <c r="C54" s="473" t="s">
        <v>193</v>
      </c>
      <c r="D54" s="467">
        <v>400000</v>
      </c>
      <c r="E54" s="468"/>
      <c r="F54" s="1447">
        <v>44258</v>
      </c>
      <c r="G54" s="1449">
        <v>44434</v>
      </c>
      <c r="H54" s="469"/>
      <c r="I54" s="472"/>
    </row>
    <row r="55" spans="1:9" s="406" customFormat="1" ht="10.5" customHeight="1">
      <c r="A55" s="1445"/>
      <c r="B55" s="1446"/>
      <c r="C55" s="470" t="s">
        <v>204</v>
      </c>
      <c r="D55" s="471"/>
      <c r="E55" s="471">
        <v>385000</v>
      </c>
      <c r="F55" s="1448"/>
      <c r="G55" s="1450"/>
      <c r="H55" s="469"/>
      <c r="I55" s="472"/>
    </row>
    <row r="56" spans="1:9" s="410" customFormat="1" ht="10.5" customHeight="1">
      <c r="A56" s="1443" t="s">
        <v>715</v>
      </c>
      <c r="B56" s="1465"/>
      <c r="C56" s="466" t="s">
        <v>193</v>
      </c>
      <c r="D56" s="467">
        <f>E57+E58+E59</f>
        <v>322857</v>
      </c>
      <c r="E56" s="468"/>
      <c r="F56" s="1447">
        <v>44264</v>
      </c>
      <c r="G56" s="1449">
        <v>44277</v>
      </c>
      <c r="H56" s="469"/>
      <c r="I56" s="472"/>
    </row>
    <row r="57" spans="1:9" s="410" customFormat="1" ht="10.5" customHeight="1">
      <c r="A57" s="1456"/>
      <c r="B57" s="1466"/>
      <c r="C57" s="474" t="s">
        <v>203</v>
      </c>
      <c r="D57" s="467"/>
      <c r="E57" s="467">
        <v>12970</v>
      </c>
      <c r="F57" s="1458"/>
      <c r="G57" s="1459"/>
      <c r="H57" s="469"/>
      <c r="I57" s="472"/>
    </row>
    <row r="58" spans="1:9" s="410" customFormat="1" ht="10.5" customHeight="1">
      <c r="A58" s="1456"/>
      <c r="B58" s="1466"/>
      <c r="C58" s="475" t="s">
        <v>716</v>
      </c>
      <c r="D58" s="476"/>
      <c r="E58" s="476">
        <v>48972</v>
      </c>
      <c r="F58" s="1458"/>
      <c r="G58" s="1459"/>
      <c r="H58" s="469"/>
      <c r="I58" s="472"/>
    </row>
    <row r="59" spans="1:9" s="410" customFormat="1" ht="10.5" customHeight="1">
      <c r="A59" s="1467"/>
      <c r="B59" s="1468"/>
      <c r="C59" s="470" t="s">
        <v>195</v>
      </c>
      <c r="D59" s="471"/>
      <c r="E59" s="471">
        <v>260915</v>
      </c>
      <c r="F59" s="1448"/>
      <c r="G59" s="1450"/>
      <c r="H59" s="469"/>
      <c r="I59" s="472"/>
    </row>
    <row r="60" spans="1:9" s="406" customFormat="1" ht="10.5" customHeight="1">
      <c r="A60" s="1443" t="s">
        <v>717</v>
      </c>
      <c r="B60" s="1444"/>
      <c r="C60" s="466" t="s">
        <v>196</v>
      </c>
      <c r="D60" s="467">
        <v>1184</v>
      </c>
      <c r="E60" s="468"/>
      <c r="F60" s="1447">
        <v>44040</v>
      </c>
      <c r="G60" s="1449">
        <v>44389</v>
      </c>
      <c r="H60" s="469"/>
      <c r="I60" s="472"/>
    </row>
    <row r="61" spans="1:9" s="406" customFormat="1" ht="10.5" customHeight="1">
      <c r="A61" s="1445"/>
      <c r="B61" s="1446"/>
      <c r="C61" s="470" t="s">
        <v>197</v>
      </c>
      <c r="D61" s="471"/>
      <c r="E61" s="471">
        <f>D60</f>
        <v>1184</v>
      </c>
      <c r="F61" s="1448"/>
      <c r="G61" s="1450"/>
      <c r="H61" s="469"/>
      <c r="I61" s="472"/>
    </row>
    <row r="62" spans="1:9" s="410" customFormat="1" ht="10.5" customHeight="1">
      <c r="A62" s="1455" t="s">
        <v>718</v>
      </c>
      <c r="B62" s="1444"/>
      <c r="C62" s="466" t="s">
        <v>310</v>
      </c>
      <c r="D62" s="467">
        <f>E63+E64</f>
        <v>262104.3</v>
      </c>
      <c r="E62" s="468"/>
      <c r="F62" s="1447">
        <v>44377</v>
      </c>
      <c r="G62" s="1449">
        <v>44377</v>
      </c>
      <c r="H62" s="469"/>
      <c r="I62" s="472"/>
    </row>
    <row r="63" spans="1:9" s="410" customFormat="1" ht="10.5" customHeight="1">
      <c r="A63" s="1456"/>
      <c r="B63" s="1457"/>
      <c r="C63" s="475" t="s">
        <v>719</v>
      </c>
      <c r="D63" s="476"/>
      <c r="E63" s="467">
        <v>200055.1</v>
      </c>
      <c r="F63" s="1458"/>
      <c r="G63" s="1459"/>
      <c r="H63" s="469"/>
      <c r="I63" s="472"/>
    </row>
    <row r="64" spans="1:9" s="410" customFormat="1" ht="10.5" customHeight="1">
      <c r="A64" s="1445"/>
      <c r="B64" s="1446"/>
      <c r="C64" s="470" t="s">
        <v>313</v>
      </c>
      <c r="D64" s="471"/>
      <c r="E64" s="471">
        <v>62049.2</v>
      </c>
      <c r="F64" s="1448"/>
      <c r="G64" s="1450"/>
      <c r="H64" s="469"/>
      <c r="I64" s="472"/>
    </row>
    <row r="65" spans="1:10" s="410" customFormat="1" ht="10.5" customHeight="1">
      <c r="A65" s="1451" t="s">
        <v>720</v>
      </c>
      <c r="B65" s="1452"/>
      <c r="C65" s="473" t="s">
        <v>193</v>
      </c>
      <c r="D65" s="477">
        <v>63000</v>
      </c>
      <c r="E65" s="478"/>
      <c r="F65" s="1427">
        <v>44334</v>
      </c>
      <c r="G65" s="1429">
        <v>44561</v>
      </c>
      <c r="H65" s="469"/>
      <c r="I65" s="472"/>
      <c r="J65" s="479"/>
    </row>
    <row r="66" spans="1:10" s="410" customFormat="1" ht="10.5" customHeight="1">
      <c r="A66" s="1453"/>
      <c r="B66" s="1454"/>
      <c r="C66" s="480" t="s">
        <v>202</v>
      </c>
      <c r="D66" s="481"/>
      <c r="E66" s="481">
        <f>D65</f>
        <v>63000</v>
      </c>
      <c r="F66" s="1441"/>
      <c r="G66" s="1442"/>
      <c r="H66" s="469"/>
      <c r="I66" s="472"/>
      <c r="J66" s="479"/>
    </row>
    <row r="67" spans="1:10" s="406" customFormat="1" ht="10.5" customHeight="1">
      <c r="A67" s="1443" t="s">
        <v>721</v>
      </c>
      <c r="B67" s="1444"/>
      <c r="C67" s="466" t="s">
        <v>193</v>
      </c>
      <c r="D67" s="467">
        <v>6552</v>
      </c>
      <c r="E67" s="468"/>
      <c r="F67" s="1447">
        <v>44379</v>
      </c>
      <c r="G67" s="1449">
        <v>44470</v>
      </c>
      <c r="H67" s="469"/>
      <c r="I67" s="472"/>
    </row>
    <row r="68" spans="1:10" s="406" customFormat="1" ht="10.5" customHeight="1">
      <c r="A68" s="1445"/>
      <c r="B68" s="1446"/>
      <c r="C68" s="470" t="s">
        <v>194</v>
      </c>
      <c r="D68" s="471"/>
      <c r="E68" s="471">
        <f>D67</f>
        <v>6552</v>
      </c>
      <c r="F68" s="1448"/>
      <c r="G68" s="1450"/>
      <c r="H68" s="469"/>
      <c r="I68" s="472"/>
    </row>
    <row r="69" spans="1:10" s="410" customFormat="1" ht="10.5" customHeight="1">
      <c r="A69" s="1423" t="s">
        <v>200</v>
      </c>
      <c r="B69" s="1434"/>
      <c r="C69" s="473" t="s">
        <v>196</v>
      </c>
      <c r="D69" s="477">
        <v>13900</v>
      </c>
      <c r="E69" s="478"/>
      <c r="F69" s="1427">
        <v>44439</v>
      </c>
      <c r="G69" s="1429">
        <v>44439</v>
      </c>
      <c r="H69" s="469"/>
      <c r="I69" s="472"/>
      <c r="J69" s="479"/>
    </row>
    <row r="70" spans="1:10" s="410" customFormat="1" ht="10.5" customHeight="1">
      <c r="A70" s="1437"/>
      <c r="B70" s="1438"/>
      <c r="C70" s="480" t="s">
        <v>201</v>
      </c>
      <c r="D70" s="481"/>
      <c r="E70" s="481">
        <f>D69</f>
        <v>13900</v>
      </c>
      <c r="F70" s="1428"/>
      <c r="G70" s="1430"/>
      <c r="H70" s="469"/>
      <c r="I70" s="472"/>
      <c r="J70" s="479"/>
    </row>
    <row r="71" spans="1:10" s="410" customFormat="1" ht="10.5" customHeight="1">
      <c r="A71" s="1451" t="s">
        <v>722</v>
      </c>
      <c r="B71" s="1424"/>
      <c r="C71" s="473" t="s">
        <v>199</v>
      </c>
      <c r="D71" s="477">
        <v>15652</v>
      </c>
      <c r="E71" s="478"/>
      <c r="F71" s="1427">
        <v>44460</v>
      </c>
      <c r="G71" s="1429">
        <v>44495</v>
      </c>
      <c r="H71" s="469"/>
      <c r="I71" s="472"/>
      <c r="J71" s="479"/>
    </row>
    <row r="72" spans="1:10" s="410" customFormat="1" ht="10.5" customHeight="1">
      <c r="A72" s="1469"/>
      <c r="B72" s="1470"/>
      <c r="C72" s="480" t="s">
        <v>195</v>
      </c>
      <c r="D72" s="481"/>
      <c r="E72" s="481">
        <f>D71</f>
        <v>15652</v>
      </c>
      <c r="F72" s="1439"/>
      <c r="G72" s="1440"/>
      <c r="H72" s="469"/>
      <c r="I72" s="472"/>
      <c r="J72" s="479"/>
    </row>
    <row r="73" spans="1:10" s="406" customFormat="1" ht="10.5" customHeight="1">
      <c r="A73" s="1443" t="s">
        <v>723</v>
      </c>
      <c r="B73" s="1444"/>
      <c r="C73" s="466" t="s">
        <v>193</v>
      </c>
      <c r="D73" s="467">
        <v>27143</v>
      </c>
      <c r="E73" s="468"/>
      <c r="F73" s="1447">
        <v>44462</v>
      </c>
      <c r="G73" s="1449">
        <v>44469</v>
      </c>
      <c r="H73" s="469"/>
    </row>
    <row r="74" spans="1:10" s="406" customFormat="1" ht="10.5" customHeight="1">
      <c r="A74" s="1445"/>
      <c r="B74" s="1446"/>
      <c r="C74" s="470" t="s">
        <v>204</v>
      </c>
      <c r="D74" s="471"/>
      <c r="E74" s="471">
        <f>D73</f>
        <v>27143</v>
      </c>
      <c r="F74" s="1448"/>
      <c r="G74" s="1450"/>
      <c r="H74" s="469"/>
    </row>
    <row r="75" spans="1:10" s="410" customFormat="1" ht="10.5" customHeight="1">
      <c r="A75" s="1451" t="s">
        <v>724</v>
      </c>
      <c r="B75" s="1424"/>
      <c r="C75" s="473" t="s">
        <v>199</v>
      </c>
      <c r="D75" s="477">
        <v>2099</v>
      </c>
      <c r="E75" s="478"/>
      <c r="F75" s="1427">
        <v>44488</v>
      </c>
      <c r="G75" s="1429">
        <v>44495</v>
      </c>
      <c r="H75" s="479"/>
      <c r="I75" s="479"/>
      <c r="J75" s="479"/>
    </row>
    <row r="76" spans="1:10" s="410" customFormat="1" ht="10.5" customHeight="1">
      <c r="A76" s="1469"/>
      <c r="B76" s="1470"/>
      <c r="C76" s="480" t="s">
        <v>203</v>
      </c>
      <c r="D76" s="481"/>
      <c r="E76" s="481">
        <f>D75</f>
        <v>2099</v>
      </c>
      <c r="F76" s="1439"/>
      <c r="G76" s="1440"/>
      <c r="H76" s="479"/>
      <c r="I76" s="479"/>
      <c r="J76" s="479"/>
    </row>
    <row r="77" spans="1:10" s="410" customFormat="1" ht="10.5" customHeight="1">
      <c r="A77" s="1451" t="s">
        <v>725</v>
      </c>
      <c r="B77" s="1471"/>
      <c r="C77" s="482" t="s">
        <v>193</v>
      </c>
      <c r="D77" s="483">
        <v>-15000</v>
      </c>
      <c r="E77" s="484"/>
      <c r="F77" s="1427">
        <v>44537</v>
      </c>
      <c r="G77" s="1429">
        <v>44561</v>
      </c>
      <c r="H77" s="485"/>
      <c r="I77" s="479"/>
      <c r="J77" s="479"/>
    </row>
    <row r="78" spans="1:10" s="410" customFormat="1" ht="10.5" customHeight="1">
      <c r="A78" s="1469"/>
      <c r="B78" s="1472"/>
      <c r="C78" s="473" t="s">
        <v>193</v>
      </c>
      <c r="D78" s="477">
        <v>15000</v>
      </c>
      <c r="E78" s="477"/>
      <c r="F78" s="1439"/>
      <c r="G78" s="1440"/>
      <c r="H78" s="485"/>
      <c r="I78" s="479"/>
      <c r="J78" s="479"/>
    </row>
    <row r="79" spans="1:10" s="410" customFormat="1" ht="10.5" customHeight="1">
      <c r="A79" s="1437"/>
      <c r="B79" s="1473"/>
      <c r="C79" s="480" t="s">
        <v>204</v>
      </c>
      <c r="D79" s="481"/>
      <c r="E79" s="481">
        <v>15000</v>
      </c>
      <c r="F79" s="1428"/>
      <c r="G79" s="1430"/>
      <c r="H79" s="485"/>
      <c r="I79" s="479"/>
      <c r="J79" s="479"/>
    </row>
    <row r="80" spans="1:10" s="410" customFormat="1" ht="10.5" customHeight="1">
      <c r="A80" s="1451" t="s">
        <v>726</v>
      </c>
      <c r="B80" s="1452"/>
      <c r="C80" s="473" t="s">
        <v>193</v>
      </c>
      <c r="D80" s="477">
        <v>43000</v>
      </c>
      <c r="E80" s="478"/>
      <c r="F80" s="1427">
        <v>44537</v>
      </c>
      <c r="G80" s="1429">
        <v>44561</v>
      </c>
      <c r="I80" s="479"/>
    </row>
    <row r="81" spans="1:10" s="410" customFormat="1" ht="10.5" customHeight="1">
      <c r="A81" s="1453"/>
      <c r="B81" s="1454"/>
      <c r="C81" s="480" t="s">
        <v>727</v>
      </c>
      <c r="D81" s="481"/>
      <c r="E81" s="481">
        <f>D80</f>
        <v>43000</v>
      </c>
      <c r="F81" s="1441"/>
      <c r="G81" s="1442"/>
      <c r="I81" s="479"/>
    </row>
    <row r="82" spans="1:10" s="410" customFormat="1" ht="10.5" customHeight="1">
      <c r="A82" s="1423" t="s">
        <v>728</v>
      </c>
      <c r="B82" s="1424"/>
      <c r="C82" s="473" t="s">
        <v>196</v>
      </c>
      <c r="D82" s="477">
        <v>22296</v>
      </c>
      <c r="E82" s="478"/>
      <c r="F82" s="1427">
        <v>44532</v>
      </c>
      <c r="G82" s="1429">
        <v>44532</v>
      </c>
      <c r="I82" s="479"/>
      <c r="J82" s="479"/>
    </row>
    <row r="83" spans="1:10" s="410" customFormat="1" ht="10.5" customHeight="1">
      <c r="A83" s="1425"/>
      <c r="B83" s="1426"/>
      <c r="C83" s="480" t="s">
        <v>195</v>
      </c>
      <c r="D83" s="481"/>
      <c r="E83" s="481">
        <f>D82</f>
        <v>22296</v>
      </c>
      <c r="F83" s="1428"/>
      <c r="G83" s="1430"/>
      <c r="I83" s="479"/>
      <c r="J83" s="479"/>
    </row>
    <row r="84" spans="1:10" s="410" customFormat="1" ht="10.5" customHeight="1">
      <c r="A84" s="1423" t="s">
        <v>729</v>
      </c>
      <c r="B84" s="1434"/>
      <c r="C84" s="482" t="s">
        <v>307</v>
      </c>
      <c r="D84" s="486"/>
      <c r="E84" s="483">
        <f>-E85-E86-E87</f>
        <v>84214</v>
      </c>
      <c r="F84" s="1427">
        <v>44552</v>
      </c>
      <c r="G84" s="1429">
        <v>44561</v>
      </c>
    </row>
    <row r="85" spans="1:10" s="410" customFormat="1" ht="10.5" customHeight="1">
      <c r="A85" s="1435"/>
      <c r="B85" s="1436"/>
      <c r="C85" s="487" t="s">
        <v>204</v>
      </c>
      <c r="D85" s="477"/>
      <c r="E85" s="488">
        <v>-49724</v>
      </c>
      <c r="F85" s="1439"/>
      <c r="G85" s="1440"/>
    </row>
    <row r="86" spans="1:10" s="410" customFormat="1" ht="10.5" customHeight="1">
      <c r="A86" s="1435"/>
      <c r="B86" s="1436"/>
      <c r="C86" s="473" t="s">
        <v>311</v>
      </c>
      <c r="D86" s="477"/>
      <c r="E86" s="477">
        <v>-1523</v>
      </c>
      <c r="F86" s="1439"/>
      <c r="G86" s="1440"/>
    </row>
    <row r="87" spans="1:10" s="410" customFormat="1" ht="10.5" customHeight="1">
      <c r="A87" s="1437"/>
      <c r="B87" s="1438"/>
      <c r="C87" s="489" t="s">
        <v>312</v>
      </c>
      <c r="D87" s="490"/>
      <c r="E87" s="490">
        <v>-32967</v>
      </c>
      <c r="F87" s="1439"/>
      <c r="G87" s="1440"/>
    </row>
    <row r="88" spans="1:10" s="410" customFormat="1" ht="10.5" customHeight="1">
      <c r="A88" s="1423" t="s">
        <v>730</v>
      </c>
      <c r="B88" s="1434"/>
      <c r="C88" s="482" t="s">
        <v>196</v>
      </c>
      <c r="D88" s="483">
        <f>E89+E90</f>
        <v>294499.57</v>
      </c>
      <c r="E88" s="483"/>
      <c r="F88" s="1427">
        <v>44561</v>
      </c>
      <c r="G88" s="1429">
        <v>44561</v>
      </c>
    </row>
    <row r="89" spans="1:10" s="410" customFormat="1" ht="10.5" customHeight="1">
      <c r="A89" s="1435"/>
      <c r="B89" s="1436"/>
      <c r="C89" s="473" t="s">
        <v>195</v>
      </c>
      <c r="D89" s="477"/>
      <c r="E89" s="477">
        <v>76575.88</v>
      </c>
      <c r="F89" s="1439"/>
      <c r="G89" s="1440"/>
    </row>
    <row r="90" spans="1:10" s="410" customFormat="1" ht="10.5" customHeight="1">
      <c r="A90" s="1435"/>
      <c r="B90" s="1436"/>
      <c r="C90" s="473" t="s">
        <v>203</v>
      </c>
      <c r="D90" s="477"/>
      <c r="E90" s="477">
        <f>129332.76+88590.93</f>
        <v>217923.69</v>
      </c>
      <c r="F90" s="1439"/>
      <c r="G90" s="1440"/>
    </row>
    <row r="91" spans="1:10" s="410" customFormat="1" ht="10.5" customHeight="1">
      <c r="A91" s="1423" t="s">
        <v>308</v>
      </c>
      <c r="B91" s="1434"/>
      <c r="C91" s="482" t="s">
        <v>309</v>
      </c>
      <c r="D91" s="483"/>
      <c r="E91" s="483">
        <v>-71040</v>
      </c>
      <c r="F91" s="1427">
        <v>44561</v>
      </c>
      <c r="G91" s="1429">
        <v>44561</v>
      </c>
    </row>
    <row r="92" spans="1:10" s="410" customFormat="1" ht="10.5" customHeight="1">
      <c r="A92" s="1437"/>
      <c r="B92" s="1438"/>
      <c r="C92" s="489" t="s">
        <v>193</v>
      </c>
      <c r="D92" s="490">
        <f>E91</f>
        <v>-71040</v>
      </c>
      <c r="E92" s="490"/>
      <c r="F92" s="1428"/>
      <c r="G92" s="1430"/>
    </row>
    <row r="93" spans="1:10" s="410" customFormat="1" ht="10.5" customHeight="1">
      <c r="A93" s="1423" t="s">
        <v>731</v>
      </c>
      <c r="B93" s="1452"/>
      <c r="C93" s="482" t="s">
        <v>205</v>
      </c>
      <c r="D93" s="483">
        <v>3441</v>
      </c>
      <c r="E93" s="483"/>
      <c r="F93" s="1427">
        <v>44561</v>
      </c>
      <c r="G93" s="1429">
        <v>44561</v>
      </c>
    </row>
    <row r="94" spans="1:10" s="410" customFormat="1" ht="10.5" customHeight="1">
      <c r="A94" s="1482"/>
      <c r="B94" s="1483"/>
      <c r="C94" s="473" t="s">
        <v>206</v>
      </c>
      <c r="D94" s="477">
        <v>-40520</v>
      </c>
      <c r="E94" s="477"/>
      <c r="F94" s="1484"/>
      <c r="G94" s="1485"/>
      <c r="I94" s="479"/>
    </row>
    <row r="95" spans="1:10" s="410" customFormat="1" ht="10.5" customHeight="1">
      <c r="A95" s="1482"/>
      <c r="B95" s="1483"/>
      <c r="C95" s="473" t="s">
        <v>207</v>
      </c>
      <c r="D95" s="477">
        <v>600</v>
      </c>
      <c r="E95" s="477"/>
      <c r="F95" s="1484"/>
      <c r="G95" s="1485"/>
    </row>
    <row r="96" spans="1:10" s="410" customFormat="1" ht="10.5" customHeight="1">
      <c r="A96" s="1482"/>
      <c r="B96" s="1483"/>
      <c r="C96" s="473" t="s">
        <v>199</v>
      </c>
      <c r="D96" s="477">
        <v>12000</v>
      </c>
      <c r="E96" s="477"/>
      <c r="F96" s="1484"/>
      <c r="G96" s="1485"/>
    </row>
    <row r="97" spans="1:7" s="410" customFormat="1" ht="10.5" customHeight="1">
      <c r="A97" s="1482"/>
      <c r="B97" s="1483"/>
      <c r="C97" s="473" t="s">
        <v>310</v>
      </c>
      <c r="D97" s="477">
        <v>52070.5</v>
      </c>
      <c r="E97" s="491"/>
      <c r="F97" s="1484"/>
      <c r="G97" s="1485"/>
    </row>
    <row r="98" spans="1:7" s="410" customFormat="1" ht="10.5" customHeight="1">
      <c r="A98" s="1453"/>
      <c r="B98" s="1454"/>
      <c r="C98" s="489" t="s">
        <v>198</v>
      </c>
      <c r="D98" s="490">
        <v>852.81</v>
      </c>
      <c r="E98" s="490"/>
      <c r="F98" s="1484"/>
      <c r="G98" s="1485"/>
    </row>
    <row r="99" spans="1:7" s="410" customFormat="1" ht="10.5" customHeight="1">
      <c r="A99" s="1423" t="s">
        <v>732</v>
      </c>
      <c r="B99" s="1452"/>
      <c r="C99" s="473" t="s">
        <v>316</v>
      </c>
      <c r="D99" s="477"/>
      <c r="E99" s="477">
        <v>-80355.12</v>
      </c>
      <c r="F99" s="1427">
        <v>44561</v>
      </c>
      <c r="G99" s="1429">
        <v>44561</v>
      </c>
    </row>
    <row r="100" spans="1:7" s="410" customFormat="1" ht="10.5" customHeight="1">
      <c r="A100" s="1482"/>
      <c r="B100" s="1483"/>
      <c r="C100" s="473" t="s">
        <v>204</v>
      </c>
      <c r="D100" s="477"/>
      <c r="E100" s="477">
        <v>529.34</v>
      </c>
      <c r="F100" s="1484"/>
      <c r="G100" s="1485"/>
    </row>
    <row r="101" spans="1:7" s="410" customFormat="1" ht="10.5" customHeight="1">
      <c r="A101" s="1482"/>
      <c r="B101" s="1483"/>
      <c r="C101" s="473" t="s">
        <v>208</v>
      </c>
      <c r="D101" s="477"/>
      <c r="E101" s="477">
        <v>-996</v>
      </c>
      <c r="F101" s="1484"/>
      <c r="G101" s="1485"/>
    </row>
    <row r="102" spans="1:7" s="410" customFormat="1" ht="10.5" customHeight="1">
      <c r="A102" s="1482"/>
      <c r="B102" s="1483"/>
      <c r="C102" s="473" t="s">
        <v>312</v>
      </c>
      <c r="D102" s="477"/>
      <c r="E102" s="477">
        <v>-6444</v>
      </c>
      <c r="F102" s="1484"/>
      <c r="G102" s="1485"/>
    </row>
    <row r="103" spans="1:7" s="410" customFormat="1" ht="10.5" customHeight="1">
      <c r="A103" s="1482"/>
      <c r="B103" s="1483"/>
      <c r="C103" s="473" t="s">
        <v>209</v>
      </c>
      <c r="D103" s="477"/>
      <c r="E103" s="477">
        <v>3447</v>
      </c>
      <c r="F103" s="1484"/>
      <c r="G103" s="1485"/>
    </row>
    <row r="104" spans="1:7" s="410" customFormat="1" ht="10.5" customHeight="1">
      <c r="A104" s="1482"/>
      <c r="B104" s="1483"/>
      <c r="C104" s="473" t="s">
        <v>210</v>
      </c>
      <c r="D104" s="477"/>
      <c r="E104" s="477">
        <v>1251</v>
      </c>
      <c r="F104" s="1484"/>
      <c r="G104" s="1485"/>
    </row>
    <row r="105" spans="1:7" s="410" customFormat="1" ht="10.5" customHeight="1">
      <c r="A105" s="1482"/>
      <c r="B105" s="1483"/>
      <c r="C105" s="473" t="s">
        <v>211</v>
      </c>
      <c r="D105" s="477"/>
      <c r="E105" s="477">
        <v>58.38</v>
      </c>
      <c r="F105" s="1484"/>
      <c r="G105" s="1485"/>
    </row>
    <row r="106" spans="1:7" s="492" customFormat="1" ht="10.5" customHeight="1">
      <c r="A106" s="1482"/>
      <c r="B106" s="1483"/>
      <c r="C106" s="473" t="s">
        <v>212</v>
      </c>
      <c r="D106" s="477"/>
      <c r="E106" s="477">
        <v>278</v>
      </c>
      <c r="F106" s="1484"/>
      <c r="G106" s="1485"/>
    </row>
    <row r="107" spans="1:7" s="492" customFormat="1" ht="10.5" customHeight="1">
      <c r="A107" s="1482"/>
      <c r="B107" s="1483"/>
      <c r="C107" s="473" t="s">
        <v>368</v>
      </c>
      <c r="D107" s="477"/>
      <c r="E107" s="477">
        <v>79974</v>
      </c>
      <c r="F107" s="1484"/>
      <c r="G107" s="1485"/>
    </row>
    <row r="108" spans="1:7" s="410" customFormat="1" ht="10.5" customHeight="1">
      <c r="A108" s="1482"/>
      <c r="B108" s="1483"/>
      <c r="C108" s="473" t="s">
        <v>314</v>
      </c>
      <c r="D108" s="477"/>
      <c r="E108" s="477">
        <v>556.16999999999996</v>
      </c>
      <c r="F108" s="1484"/>
      <c r="G108" s="1485"/>
    </row>
    <row r="109" spans="1:7" s="410" customFormat="1" ht="10.5" customHeight="1">
      <c r="A109" s="1453"/>
      <c r="B109" s="1454"/>
      <c r="C109" s="473" t="s">
        <v>195</v>
      </c>
      <c r="D109" s="477"/>
      <c r="E109" s="477">
        <v>30145.54</v>
      </c>
      <c r="F109" s="1441"/>
      <c r="G109" s="1442"/>
    </row>
    <row r="110" spans="1:7" s="410" customFormat="1" ht="10.5" customHeight="1">
      <c r="A110" s="1335" t="s">
        <v>176</v>
      </c>
      <c r="B110" s="1433"/>
      <c r="C110" s="493"/>
      <c r="D110" s="93">
        <f>SUM(D52:D109)</f>
        <v>1607479.1800000002</v>
      </c>
      <c r="E110" s="93">
        <f>SUM(E52:E109)</f>
        <v>1607479.18</v>
      </c>
      <c r="F110" s="1474"/>
      <c r="G110" s="1475"/>
    </row>
    <row r="111" spans="1:7" s="2" customFormat="1" ht="10.5" customHeight="1">
      <c r="A111" s="76"/>
      <c r="B111" s="76"/>
      <c r="C111" s="37"/>
      <c r="D111" s="37"/>
      <c r="E111" s="38"/>
    </row>
    <row r="112" spans="1:7" s="10" customFormat="1" ht="31.5">
      <c r="A112" s="1234" t="s">
        <v>259</v>
      </c>
      <c r="B112" s="1235"/>
      <c r="C112" s="56" t="s">
        <v>179</v>
      </c>
      <c r="D112" s="56" t="s">
        <v>118</v>
      </c>
      <c r="E112" s="56" t="s">
        <v>119</v>
      </c>
      <c r="F112" s="56" t="s">
        <v>244</v>
      </c>
      <c r="G112" s="56" t="s">
        <v>180</v>
      </c>
    </row>
    <row r="113" spans="1:9" s="406" customFormat="1" ht="10.5" customHeight="1">
      <c r="A113" s="1431" t="s">
        <v>315</v>
      </c>
      <c r="B113" s="1432"/>
      <c r="C113" s="482" t="s">
        <v>316</v>
      </c>
      <c r="D113" s="494"/>
      <c r="E113" s="494">
        <f>3189-8000</f>
        <v>-4811</v>
      </c>
      <c r="F113" s="495">
        <v>44561</v>
      </c>
      <c r="G113" s="496">
        <v>44561</v>
      </c>
    </row>
    <row r="114" spans="1:9" s="406" customFormat="1" ht="10.5" customHeight="1">
      <c r="A114" s="1431" t="s">
        <v>317</v>
      </c>
      <c r="B114" s="1432"/>
      <c r="C114" s="482" t="s">
        <v>307</v>
      </c>
      <c r="D114" s="494"/>
      <c r="E114" s="494">
        <f>15952-140000</f>
        <v>-124048</v>
      </c>
      <c r="F114" s="495">
        <v>44561</v>
      </c>
      <c r="G114" s="495">
        <v>44561</v>
      </c>
    </row>
    <row r="115" spans="1:9" s="406" customFormat="1" ht="10.5" customHeight="1">
      <c r="A115" s="1431" t="s">
        <v>318</v>
      </c>
      <c r="B115" s="1432"/>
      <c r="C115" s="482" t="s">
        <v>319</v>
      </c>
      <c r="D115" s="494"/>
      <c r="E115" s="494">
        <f>5387-11000</f>
        <v>-5613</v>
      </c>
      <c r="F115" s="495">
        <v>44561</v>
      </c>
      <c r="G115" s="495">
        <v>44561</v>
      </c>
    </row>
    <row r="116" spans="1:9" s="406" customFormat="1" ht="10.5" customHeight="1">
      <c r="A116" s="1431" t="s">
        <v>320</v>
      </c>
      <c r="B116" s="1432"/>
      <c r="C116" s="482" t="s">
        <v>312</v>
      </c>
      <c r="D116" s="494"/>
      <c r="E116" s="494">
        <f>1446-6500</f>
        <v>-5054</v>
      </c>
      <c r="F116" s="495">
        <v>44561</v>
      </c>
      <c r="G116" s="495">
        <v>44561</v>
      </c>
    </row>
    <row r="117" spans="1:9" s="406" customFormat="1" ht="10.5" customHeight="1">
      <c r="A117" s="1431" t="s">
        <v>321</v>
      </c>
      <c r="B117" s="1432"/>
      <c r="C117" s="482" t="s">
        <v>322</v>
      </c>
      <c r="D117" s="494"/>
      <c r="E117" s="494">
        <f>28085-52770</f>
        <v>-24685</v>
      </c>
      <c r="F117" s="495">
        <v>44561</v>
      </c>
      <c r="G117" s="495">
        <v>44561</v>
      </c>
    </row>
    <row r="118" spans="1:9" s="406" customFormat="1" ht="10.5" customHeight="1">
      <c r="A118" s="1431" t="s">
        <v>323</v>
      </c>
      <c r="B118" s="1432"/>
      <c r="C118" s="482" t="s">
        <v>324</v>
      </c>
      <c r="D118" s="494"/>
      <c r="E118" s="494">
        <f>8157-16315</f>
        <v>-8158</v>
      </c>
      <c r="F118" s="495">
        <v>44561</v>
      </c>
      <c r="G118" s="495">
        <v>44561</v>
      </c>
    </row>
    <row r="119" spans="1:9" s="406" customFormat="1" ht="10.5" customHeight="1">
      <c r="A119" s="1431" t="s">
        <v>325</v>
      </c>
      <c r="B119" s="1432"/>
      <c r="C119" s="482" t="s">
        <v>326</v>
      </c>
      <c r="D119" s="494"/>
      <c r="E119" s="494">
        <f>101.37-203</f>
        <v>-101.63</v>
      </c>
      <c r="F119" s="495">
        <v>44561</v>
      </c>
      <c r="G119" s="495">
        <v>44561</v>
      </c>
    </row>
    <row r="120" spans="1:9" s="406" customFormat="1" ht="10.5" customHeight="1">
      <c r="A120" s="1431" t="s">
        <v>327</v>
      </c>
      <c r="B120" s="1432"/>
      <c r="C120" s="482" t="s">
        <v>328</v>
      </c>
      <c r="D120" s="494"/>
      <c r="E120" s="494">
        <f>483-965</f>
        <v>-482</v>
      </c>
      <c r="F120" s="495">
        <v>44561</v>
      </c>
      <c r="G120" s="495">
        <v>44561</v>
      </c>
    </row>
    <row r="121" spans="1:9" s="406" customFormat="1" ht="10.5" customHeight="1">
      <c r="A121" s="1431" t="s">
        <v>329</v>
      </c>
      <c r="B121" s="1432"/>
      <c r="C121" s="482" t="s">
        <v>330</v>
      </c>
      <c r="D121" s="494">
        <v>-126430</v>
      </c>
      <c r="E121" s="494"/>
      <c r="F121" s="495">
        <v>44561</v>
      </c>
      <c r="G121" s="495">
        <v>44561</v>
      </c>
    </row>
    <row r="122" spans="1:9" s="406" customFormat="1" ht="10.5" customHeight="1">
      <c r="A122" s="1335" t="s">
        <v>176</v>
      </c>
      <c r="B122" s="1336"/>
      <c r="C122" s="493"/>
      <c r="D122" s="93">
        <f>SUM(D113:D121)</f>
        <v>-126430</v>
      </c>
      <c r="E122" s="93">
        <f>SUM(E113:E121)</f>
        <v>-172952.63</v>
      </c>
      <c r="F122" s="1474"/>
      <c r="G122" s="1475"/>
    </row>
    <row r="123" spans="1:9" s="2" customFormat="1" ht="10.5" customHeight="1">
      <c r="A123" s="76"/>
      <c r="B123" s="76"/>
      <c r="C123" s="37"/>
      <c r="D123" s="37"/>
      <c r="E123" s="38"/>
    </row>
    <row r="124" spans="1:9" s="2" customFormat="1" ht="10.5" customHeight="1">
      <c r="A124" s="76"/>
      <c r="B124" s="76"/>
      <c r="C124" s="37"/>
      <c r="D124" s="37"/>
      <c r="E124" s="38"/>
    </row>
    <row r="125" spans="1:9" s="2" customFormat="1" ht="11.25">
      <c r="A125" s="1261" t="s">
        <v>459</v>
      </c>
      <c r="B125" s="1261"/>
      <c r="C125" s="1261"/>
      <c r="D125" s="1261"/>
      <c r="E125" s="1261"/>
      <c r="F125" s="1261"/>
      <c r="G125" s="1261"/>
      <c r="H125" s="1261"/>
      <c r="I125" s="1261"/>
    </row>
    <row r="126" spans="1:9" s="2" customFormat="1" ht="10.5" customHeight="1">
      <c r="A126" s="2" t="s">
        <v>90</v>
      </c>
    </row>
    <row r="127" spans="1:9" s="2" customFormat="1" ht="10.5" customHeight="1">
      <c r="A127" s="1476" t="s">
        <v>733</v>
      </c>
      <c r="B127" s="1477"/>
      <c r="C127" s="1477"/>
      <c r="D127" s="1477"/>
      <c r="E127" s="1477"/>
      <c r="F127" s="1477"/>
      <c r="G127" s="1477"/>
      <c r="H127" s="1477"/>
      <c r="I127" s="1478"/>
    </row>
    <row r="128" spans="1:9" s="2" customFormat="1" ht="10.5" customHeight="1"/>
    <row r="129" spans="1:9" s="281" customFormat="1" ht="10.5">
      <c r="A129" s="1189" t="s">
        <v>461</v>
      </c>
      <c r="B129" s="1189"/>
      <c r="C129" s="1189"/>
      <c r="D129" s="1189"/>
      <c r="E129" s="1189"/>
      <c r="F129" s="1189"/>
      <c r="G129" s="1189"/>
      <c r="H129" s="1189"/>
      <c r="I129" s="1189"/>
    </row>
    <row r="130" spans="1:9" s="2" customFormat="1" ht="10.5" customHeight="1">
      <c r="A130" s="2" t="s">
        <v>90</v>
      </c>
    </row>
    <row r="131" spans="1:9" s="2" customFormat="1" ht="31.5" customHeight="1">
      <c r="A131" s="1479" t="s">
        <v>734</v>
      </c>
      <c r="B131" s="1480"/>
      <c r="C131" s="1480"/>
      <c r="D131" s="1480"/>
      <c r="E131" s="1480"/>
      <c r="F131" s="1480"/>
      <c r="G131" s="1480"/>
      <c r="H131" s="1480"/>
      <c r="I131" s="1481"/>
    </row>
    <row r="132" spans="1:9" ht="10.5" customHeight="1">
      <c r="A132" s="1479" t="s">
        <v>735</v>
      </c>
      <c r="B132" s="1480"/>
      <c r="C132" s="1480"/>
      <c r="D132" s="1480"/>
      <c r="E132" s="1480"/>
      <c r="F132" s="1480"/>
      <c r="G132" s="1480"/>
      <c r="H132" s="1480"/>
      <c r="I132" s="1481"/>
    </row>
    <row r="133" spans="1:9" ht="10.5" customHeight="1">
      <c r="A133" s="1479" t="s">
        <v>736</v>
      </c>
      <c r="B133" s="1480"/>
      <c r="C133" s="1480"/>
      <c r="D133" s="1480"/>
      <c r="E133" s="1480"/>
      <c r="F133" s="1480"/>
      <c r="G133" s="1480"/>
      <c r="H133" s="1480"/>
      <c r="I133" s="1481"/>
    </row>
    <row r="134" spans="1:9">
      <c r="A134" s="76"/>
      <c r="B134" s="76"/>
      <c r="C134" s="76"/>
      <c r="D134" s="76"/>
      <c r="E134" s="76"/>
      <c r="F134" s="76"/>
      <c r="G134" s="76"/>
      <c r="H134" s="76"/>
      <c r="I134" s="76"/>
    </row>
    <row r="135" spans="1:9">
      <c r="A135" s="486" t="s">
        <v>213</v>
      </c>
    </row>
    <row r="136" spans="1:9">
      <c r="A136" s="486" t="s">
        <v>214</v>
      </c>
    </row>
    <row r="137" spans="1:9">
      <c r="A137" s="486"/>
    </row>
    <row r="138" spans="1:9">
      <c r="A138" s="2" t="s">
        <v>737</v>
      </c>
    </row>
  </sheetData>
  <mergeCells count="112">
    <mergeCell ref="A122:B122"/>
    <mergeCell ref="F122:G122"/>
    <mergeCell ref="A127:I127"/>
    <mergeCell ref="A129:I129"/>
    <mergeCell ref="A132:I132"/>
    <mergeCell ref="A133:I133"/>
    <mergeCell ref="A93:B98"/>
    <mergeCell ref="F93:F98"/>
    <mergeCell ref="G93:G98"/>
    <mergeCell ref="A99:B109"/>
    <mergeCell ref="F99:F109"/>
    <mergeCell ref="G99:G109"/>
    <mergeCell ref="F110:G110"/>
    <mergeCell ref="A120:B120"/>
    <mergeCell ref="A121:B121"/>
    <mergeCell ref="A131:I131"/>
    <mergeCell ref="A125:I125"/>
    <mergeCell ref="A75:B76"/>
    <mergeCell ref="F75:F76"/>
    <mergeCell ref="G75:G76"/>
    <mergeCell ref="A77:B79"/>
    <mergeCell ref="F77:F79"/>
    <mergeCell ref="G77:G79"/>
    <mergeCell ref="A80:B81"/>
    <mergeCell ref="F80:F81"/>
    <mergeCell ref="G80:G81"/>
    <mergeCell ref="A69:B70"/>
    <mergeCell ref="F69:F70"/>
    <mergeCell ref="G69:G70"/>
    <mergeCell ref="A71:B72"/>
    <mergeCell ref="F71:F72"/>
    <mergeCell ref="G71:G72"/>
    <mergeCell ref="A73:B74"/>
    <mergeCell ref="F73:F74"/>
    <mergeCell ref="G73:G74"/>
    <mergeCell ref="A49:I49"/>
    <mergeCell ref="A51:B51"/>
    <mergeCell ref="A52:B53"/>
    <mergeCell ref="F52:F53"/>
    <mergeCell ref="G52:G53"/>
    <mergeCell ref="A54:B55"/>
    <mergeCell ref="F54:F55"/>
    <mergeCell ref="G54:G55"/>
    <mergeCell ref="A56:B59"/>
    <mergeCell ref="F56:F59"/>
    <mergeCell ref="G56:G59"/>
    <mergeCell ref="D32:I34"/>
    <mergeCell ref="C35:I35"/>
    <mergeCell ref="A37:I37"/>
    <mergeCell ref="D39:I39"/>
    <mergeCell ref="D40:I40"/>
    <mergeCell ref="C41:I41"/>
    <mergeCell ref="A43:I43"/>
    <mergeCell ref="C46:I46"/>
    <mergeCell ref="C47:I47"/>
    <mergeCell ref="C45:I45"/>
    <mergeCell ref="A1:I1"/>
    <mergeCell ref="A15:A17"/>
    <mergeCell ref="A9:B9"/>
    <mergeCell ref="D9:I9"/>
    <mergeCell ref="F25:I25"/>
    <mergeCell ref="F26:I26"/>
    <mergeCell ref="F27:I27"/>
    <mergeCell ref="D31:I31"/>
    <mergeCell ref="A29:I29"/>
    <mergeCell ref="A20:I20"/>
    <mergeCell ref="F22:I22"/>
    <mergeCell ref="F23:I23"/>
    <mergeCell ref="F24:I24"/>
    <mergeCell ref="A3:I3"/>
    <mergeCell ref="A11:I11"/>
    <mergeCell ref="A5:B5"/>
    <mergeCell ref="A6:B6"/>
    <mergeCell ref="A7:B7"/>
    <mergeCell ref="A8:B8"/>
    <mergeCell ref="D5:I5"/>
    <mergeCell ref="D6:I6"/>
    <mergeCell ref="D7:I7"/>
    <mergeCell ref="D8:I8"/>
    <mergeCell ref="F65:F66"/>
    <mergeCell ref="G65:G66"/>
    <mergeCell ref="A67:B68"/>
    <mergeCell ref="F67:F68"/>
    <mergeCell ref="G67:G68"/>
    <mergeCell ref="A65:B66"/>
    <mergeCell ref="A60:B61"/>
    <mergeCell ref="F60:F61"/>
    <mergeCell ref="G60:G61"/>
    <mergeCell ref="A62:B64"/>
    <mergeCell ref="F62:F64"/>
    <mergeCell ref="G62:G64"/>
    <mergeCell ref="A82:B83"/>
    <mergeCell ref="F82:F83"/>
    <mergeCell ref="G82:G83"/>
    <mergeCell ref="A119:B119"/>
    <mergeCell ref="A114:B114"/>
    <mergeCell ref="A115:B115"/>
    <mergeCell ref="A116:B116"/>
    <mergeCell ref="A117:B117"/>
    <mergeCell ref="A118:B118"/>
    <mergeCell ref="A110:B110"/>
    <mergeCell ref="A112:B112"/>
    <mergeCell ref="A113:B113"/>
    <mergeCell ref="A84:B87"/>
    <mergeCell ref="F84:F87"/>
    <mergeCell ref="G84:G87"/>
    <mergeCell ref="A88:B90"/>
    <mergeCell ref="F88:F90"/>
    <mergeCell ref="G88:G90"/>
    <mergeCell ref="A91:B92"/>
    <mergeCell ref="F91:F92"/>
    <mergeCell ref="G91:G92"/>
  </mergeCells>
  <pageMargins left="0.23622047244094491" right="0.23622047244094491" top="0.74803149606299213" bottom="0.74803149606299213" header="0.31496062992125984" footer="0.31496062992125984"/>
  <pageSetup paperSize="9" firstPageNumber="158" fitToHeight="5"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E12" sqref="E12"/>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16384" width="6.5" style="114"/>
  </cols>
  <sheetData>
    <row r="1" spans="1:24" s="72" customFormat="1" ht="15.75">
      <c r="A1" s="1262" t="s">
        <v>115</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317"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315" customFormat="1" ht="9.75" customHeight="1">
      <c r="A6" s="247" t="s">
        <v>0</v>
      </c>
      <c r="B6" s="1172" t="s">
        <v>1</v>
      </c>
      <c r="C6" s="1172"/>
      <c r="D6" s="248" t="s">
        <v>25</v>
      </c>
      <c r="E6" s="249">
        <f>SUM(E7:E9)</f>
        <v>47072562</v>
      </c>
      <c r="F6" s="250">
        <f>SUM(F7:F9)</f>
        <v>49411923.129999995</v>
      </c>
      <c r="G6" s="250">
        <f>SUM(G7:G9)</f>
        <v>49244358.539999999</v>
      </c>
      <c r="H6" s="251">
        <f t="shared" ref="H6:H37" si="0">G6/F6*100</f>
        <v>99.660882274184829</v>
      </c>
      <c r="I6" s="252">
        <f>SUM(I7:I9)</f>
        <v>45280200.330000006</v>
      </c>
      <c r="J6" s="249">
        <f>SUM(J7:J9)</f>
        <v>4699000</v>
      </c>
      <c r="K6" s="250">
        <f t="shared" ref="K6:X6" si="1">SUM(K7:K9)</f>
        <v>5519077.4000000004</v>
      </c>
      <c r="L6" s="250">
        <f t="shared" si="1"/>
        <v>5351512.8100000005</v>
      </c>
      <c r="M6" s="251">
        <f t="shared" ref="M6:M37" si="2">L6/K6*100</f>
        <v>96.96390215509571</v>
      </c>
      <c r="N6" s="252">
        <f t="shared" si="1"/>
        <v>5065318.3899999997</v>
      </c>
      <c r="O6" s="249">
        <f t="shared" si="1"/>
        <v>42373562</v>
      </c>
      <c r="P6" s="250">
        <f t="shared" si="1"/>
        <v>43892845.729999997</v>
      </c>
      <c r="Q6" s="250">
        <f t="shared" si="1"/>
        <v>43892845.729999997</v>
      </c>
      <c r="R6" s="251">
        <f t="shared" ref="R6:R37" si="3">Q6/P6*100</f>
        <v>100</v>
      </c>
      <c r="S6" s="252">
        <f t="shared" si="1"/>
        <v>40214881.940000005</v>
      </c>
      <c r="T6" s="249">
        <f t="shared" si="1"/>
        <v>156295</v>
      </c>
      <c r="U6" s="250">
        <f t="shared" si="1"/>
        <v>157495</v>
      </c>
      <c r="V6" s="250">
        <f t="shared" si="1"/>
        <v>135724</v>
      </c>
      <c r="W6" s="251">
        <f t="shared" ref="W6:W33" si="4">V6/U6*100</f>
        <v>86.176704022349909</v>
      </c>
      <c r="X6" s="252">
        <f t="shared" si="1"/>
        <v>77629</v>
      </c>
    </row>
    <row r="7" spans="1:24" s="315" customFormat="1" ht="9.75">
      <c r="A7" s="230" t="s">
        <v>2</v>
      </c>
      <c r="B7" s="1160" t="s">
        <v>44</v>
      </c>
      <c r="C7" s="1160"/>
      <c r="D7" s="245" t="s">
        <v>25</v>
      </c>
      <c r="E7" s="198">
        <f t="shared" ref="E7:G10" si="5">SUM(J7,O7)</f>
        <v>897700</v>
      </c>
      <c r="F7" s="184">
        <f t="shared" si="5"/>
        <v>1174285.9100000001</v>
      </c>
      <c r="G7" s="184">
        <f t="shared" si="5"/>
        <v>1051387.01</v>
      </c>
      <c r="H7" s="185">
        <f t="shared" si="0"/>
        <v>89.534158678613437</v>
      </c>
      <c r="I7" s="199">
        <f>SUM(N7,S7)</f>
        <v>810199.52</v>
      </c>
      <c r="J7" s="203">
        <v>897700</v>
      </c>
      <c r="K7" s="186">
        <v>917497.4</v>
      </c>
      <c r="L7" s="186">
        <v>794598.5</v>
      </c>
      <c r="M7" s="185">
        <f t="shared" si="2"/>
        <v>86.604986564539573</v>
      </c>
      <c r="N7" s="204">
        <v>773499.92</v>
      </c>
      <c r="O7" s="219"/>
      <c r="P7" s="186">
        <v>256788.51</v>
      </c>
      <c r="Q7" s="186">
        <v>256788.51</v>
      </c>
      <c r="R7" s="185">
        <f t="shared" si="3"/>
        <v>100</v>
      </c>
      <c r="S7" s="204">
        <v>36699.599999999999</v>
      </c>
      <c r="T7" s="219">
        <v>156295</v>
      </c>
      <c r="U7" s="186">
        <v>157495</v>
      </c>
      <c r="V7" s="186">
        <v>135724</v>
      </c>
      <c r="W7" s="185">
        <f t="shared" si="4"/>
        <v>86.176704022349909</v>
      </c>
      <c r="X7" s="204">
        <v>77629</v>
      </c>
    </row>
    <row r="8" spans="1:24" s="315" customFormat="1" ht="9.75">
      <c r="A8" s="231" t="s">
        <v>3</v>
      </c>
      <c r="B8" s="1173" t="s">
        <v>45</v>
      </c>
      <c r="C8" s="1173"/>
      <c r="D8" s="245" t="s">
        <v>25</v>
      </c>
      <c r="E8" s="198">
        <f t="shared" si="5"/>
        <v>1300</v>
      </c>
      <c r="F8" s="184">
        <f t="shared" si="5"/>
        <v>2200</v>
      </c>
      <c r="G8" s="184">
        <f t="shared" si="5"/>
        <v>2114.31</v>
      </c>
      <c r="H8" s="185">
        <f t="shared" si="0"/>
        <v>96.10499999999999</v>
      </c>
      <c r="I8" s="199">
        <f>SUM(N8,S8)</f>
        <v>2287.0500000000002</v>
      </c>
      <c r="J8" s="205">
        <v>1300</v>
      </c>
      <c r="K8" s="184">
        <v>2200</v>
      </c>
      <c r="L8" s="184">
        <v>2114.31</v>
      </c>
      <c r="M8" s="185">
        <f t="shared" si="2"/>
        <v>96.10499999999999</v>
      </c>
      <c r="N8" s="199">
        <v>2287.0500000000002</v>
      </c>
      <c r="O8" s="198"/>
      <c r="P8" s="184"/>
      <c r="Q8" s="184"/>
      <c r="R8" s="185"/>
      <c r="S8" s="199"/>
      <c r="T8" s="198"/>
      <c r="U8" s="184"/>
      <c r="V8" s="184"/>
      <c r="W8" s="185"/>
      <c r="X8" s="199"/>
    </row>
    <row r="9" spans="1:24" s="315" customFormat="1" ht="9.75">
      <c r="A9" s="231" t="s">
        <v>4</v>
      </c>
      <c r="B9" s="187" t="s">
        <v>60</v>
      </c>
      <c r="C9" s="262"/>
      <c r="D9" s="245" t="s">
        <v>25</v>
      </c>
      <c r="E9" s="198">
        <f t="shared" si="5"/>
        <v>46173562</v>
      </c>
      <c r="F9" s="184">
        <f t="shared" si="5"/>
        <v>48235437.219999999</v>
      </c>
      <c r="G9" s="184">
        <f t="shared" si="5"/>
        <v>48190857.219999999</v>
      </c>
      <c r="H9" s="185">
        <f t="shared" si="0"/>
        <v>99.907578322973052</v>
      </c>
      <c r="I9" s="199">
        <f>SUM(N9,S9)</f>
        <v>44467713.760000005</v>
      </c>
      <c r="J9" s="205">
        <v>3800000</v>
      </c>
      <c r="K9" s="184">
        <v>4599380</v>
      </c>
      <c r="L9" s="184">
        <v>4554800</v>
      </c>
      <c r="M9" s="185">
        <f t="shared" si="2"/>
        <v>99.030738925681277</v>
      </c>
      <c r="N9" s="199">
        <v>4289531.42</v>
      </c>
      <c r="O9" s="198">
        <v>42373562</v>
      </c>
      <c r="P9" s="184">
        <v>43636057.219999999</v>
      </c>
      <c r="Q9" s="184">
        <v>43636057.219999999</v>
      </c>
      <c r="R9" s="185">
        <f t="shared" si="3"/>
        <v>100</v>
      </c>
      <c r="S9" s="199">
        <v>40178182.340000004</v>
      </c>
      <c r="T9" s="198"/>
      <c r="U9" s="184"/>
      <c r="V9" s="184"/>
      <c r="W9" s="185"/>
      <c r="X9" s="199"/>
    </row>
    <row r="10" spans="1:24" s="315" customFormat="1" ht="9.75">
      <c r="A10" s="229" t="s">
        <v>5</v>
      </c>
      <c r="B10" s="1158" t="s">
        <v>7</v>
      </c>
      <c r="C10" s="1158"/>
      <c r="D10" s="245" t="s">
        <v>25</v>
      </c>
      <c r="E10" s="200">
        <f t="shared" si="5"/>
        <v>0</v>
      </c>
      <c r="F10" s="182">
        <f t="shared" si="5"/>
        <v>130000</v>
      </c>
      <c r="G10" s="182">
        <f t="shared" si="5"/>
        <v>130000</v>
      </c>
      <c r="H10" s="180">
        <f t="shared" si="0"/>
        <v>100</v>
      </c>
      <c r="I10" s="201">
        <f>SUM(N10,S10)</f>
        <v>300000</v>
      </c>
      <c r="J10" s="206">
        <v>0</v>
      </c>
      <c r="K10" s="182">
        <v>130000</v>
      </c>
      <c r="L10" s="182">
        <v>130000</v>
      </c>
      <c r="M10" s="180">
        <f>L10/K10*100</f>
        <v>100</v>
      </c>
      <c r="N10" s="201">
        <v>300000</v>
      </c>
      <c r="O10" s="200"/>
      <c r="P10" s="182"/>
      <c r="Q10" s="182"/>
      <c r="R10" s="180"/>
      <c r="S10" s="201"/>
      <c r="T10" s="200"/>
      <c r="U10" s="182"/>
      <c r="V10" s="182"/>
      <c r="W10" s="180"/>
      <c r="X10" s="201"/>
    </row>
    <row r="11" spans="1:24" s="315" customFormat="1" ht="9.75">
      <c r="A11" s="229" t="s">
        <v>6</v>
      </c>
      <c r="B11" s="1158" t="s">
        <v>9</v>
      </c>
      <c r="C11" s="1158"/>
      <c r="D11" s="245" t="s">
        <v>25</v>
      </c>
      <c r="E11" s="196">
        <f>SUM(E12:E31)</f>
        <v>47072562</v>
      </c>
      <c r="F11" s="181">
        <f>SUM(F12:F31)</f>
        <v>49411923.129999995</v>
      </c>
      <c r="G11" s="181">
        <f>SUM(G12:G31)</f>
        <v>49182214.150000006</v>
      </c>
      <c r="H11" s="180">
        <f t="shared" si="0"/>
        <v>99.535114269089192</v>
      </c>
      <c r="I11" s="197">
        <f>SUM(I12:I31)</f>
        <v>45276208.579999998</v>
      </c>
      <c r="J11" s="196">
        <f>SUM(J12:J31)</f>
        <v>4699000</v>
      </c>
      <c r="K11" s="181">
        <f>SUM(K12:K31)</f>
        <v>5519077.4000000004</v>
      </c>
      <c r="L11" s="181">
        <f>SUM(L12:L31)</f>
        <v>5289368.42</v>
      </c>
      <c r="M11" s="180">
        <f t="shared" si="2"/>
        <v>95.83790979267657</v>
      </c>
      <c r="N11" s="197">
        <f>SUM(N12:N31)</f>
        <v>5061326.6399999997</v>
      </c>
      <c r="O11" s="196">
        <f>SUM(O12:O31)</f>
        <v>42373562</v>
      </c>
      <c r="P11" s="181">
        <f>SUM(P12:P31)</f>
        <v>43892845.729999997</v>
      </c>
      <c r="Q11" s="181">
        <f>SUM(Q12:Q31)</f>
        <v>43892845.729999997</v>
      </c>
      <c r="R11" s="180">
        <f t="shared" si="3"/>
        <v>100</v>
      </c>
      <c r="S11" s="197">
        <f>SUM(S12:S31)</f>
        <v>40214881.939999998</v>
      </c>
      <c r="T11" s="196">
        <f>SUM(T12:T31)</f>
        <v>110045</v>
      </c>
      <c r="U11" s="181">
        <f>SUM(U12:U31)</f>
        <v>111245</v>
      </c>
      <c r="V11" s="181">
        <f>SUM(V12:V31)</f>
        <v>83850.039999999994</v>
      </c>
      <c r="W11" s="180">
        <f t="shared" si="4"/>
        <v>75.374210076857381</v>
      </c>
      <c r="X11" s="197">
        <f>SUM(X12:X31)</f>
        <v>30234.53</v>
      </c>
    </row>
    <row r="12" spans="1:24" s="315" customFormat="1" ht="9.75">
      <c r="A12" s="232" t="s">
        <v>8</v>
      </c>
      <c r="B12" s="1159" t="s">
        <v>28</v>
      </c>
      <c r="C12" s="1159"/>
      <c r="D12" s="245" t="s">
        <v>25</v>
      </c>
      <c r="E12" s="198">
        <f>SUM(J12,O12)</f>
        <v>825000</v>
      </c>
      <c r="F12" s="184">
        <f t="shared" ref="E12:I27" si="6">SUM(K12,P12)</f>
        <v>1216104.8599999999</v>
      </c>
      <c r="G12" s="184">
        <f t="shared" si="6"/>
        <v>1203873.73</v>
      </c>
      <c r="H12" s="185">
        <f t="shared" si="0"/>
        <v>98.994237223918347</v>
      </c>
      <c r="I12" s="199">
        <f t="shared" si="6"/>
        <v>926830.63000000012</v>
      </c>
      <c r="J12" s="207">
        <v>525000</v>
      </c>
      <c r="K12" s="188">
        <v>634300</v>
      </c>
      <c r="L12" s="188">
        <v>622068.87</v>
      </c>
      <c r="M12" s="185">
        <f t="shared" si="2"/>
        <v>98.071712123600818</v>
      </c>
      <c r="N12" s="208">
        <v>700786.43</v>
      </c>
      <c r="O12" s="220">
        <v>300000</v>
      </c>
      <c r="P12" s="188">
        <v>581804.86</v>
      </c>
      <c r="Q12" s="188">
        <v>581804.86</v>
      </c>
      <c r="R12" s="185">
        <f t="shared" si="3"/>
        <v>100</v>
      </c>
      <c r="S12" s="221">
        <v>226044.2</v>
      </c>
      <c r="T12" s="220">
        <v>597</v>
      </c>
      <c r="U12" s="188">
        <v>597</v>
      </c>
      <c r="V12" s="188">
        <v>287</v>
      </c>
      <c r="W12" s="185">
        <f t="shared" si="4"/>
        <v>48.073701842546065</v>
      </c>
      <c r="X12" s="208">
        <v>486</v>
      </c>
    </row>
    <row r="13" spans="1:24" s="315" customFormat="1" ht="9.75">
      <c r="A13" s="230" t="s">
        <v>10</v>
      </c>
      <c r="B13" s="1160" t="s">
        <v>29</v>
      </c>
      <c r="C13" s="1160"/>
      <c r="D13" s="245" t="s">
        <v>25</v>
      </c>
      <c r="E13" s="198">
        <f t="shared" si="6"/>
        <v>1520000</v>
      </c>
      <c r="F13" s="184">
        <f t="shared" si="6"/>
        <v>1475000</v>
      </c>
      <c r="G13" s="184">
        <f t="shared" si="6"/>
        <v>1435744.97</v>
      </c>
      <c r="H13" s="185">
        <f t="shared" si="0"/>
        <v>97.33864203389831</v>
      </c>
      <c r="I13" s="199">
        <f t="shared" si="6"/>
        <v>1144923.93</v>
      </c>
      <c r="J13" s="207">
        <v>1520000</v>
      </c>
      <c r="K13" s="184">
        <v>1475000</v>
      </c>
      <c r="L13" s="184">
        <v>1435744.97</v>
      </c>
      <c r="M13" s="185">
        <f t="shared" si="2"/>
        <v>97.33864203389831</v>
      </c>
      <c r="N13" s="199">
        <v>1144923.93</v>
      </c>
      <c r="O13" s="198"/>
      <c r="P13" s="184"/>
      <c r="Q13" s="184"/>
      <c r="R13" s="185"/>
      <c r="S13" s="199"/>
      <c r="T13" s="198">
        <v>17577</v>
      </c>
      <c r="U13" s="184">
        <v>17577</v>
      </c>
      <c r="V13" s="184">
        <v>15587</v>
      </c>
      <c r="W13" s="185">
        <f t="shared" si="4"/>
        <v>88.6783865278489</v>
      </c>
      <c r="X13" s="199">
        <v>15796</v>
      </c>
    </row>
    <row r="14" spans="1:24" s="315" customFormat="1" ht="9.75">
      <c r="A14" s="230" t="s">
        <v>11</v>
      </c>
      <c r="B14" s="260" t="s">
        <v>61</v>
      </c>
      <c r="C14" s="260"/>
      <c r="D14" s="245" t="s">
        <v>25</v>
      </c>
      <c r="E14" s="198">
        <f t="shared" si="6"/>
        <v>7000</v>
      </c>
      <c r="F14" s="184">
        <f t="shared" si="6"/>
        <v>7000</v>
      </c>
      <c r="G14" s="184">
        <f t="shared" si="6"/>
        <v>5670</v>
      </c>
      <c r="H14" s="185">
        <f t="shared" si="0"/>
        <v>81</v>
      </c>
      <c r="I14" s="199">
        <f t="shared" si="6"/>
        <v>6660</v>
      </c>
      <c r="J14" s="207">
        <v>7000</v>
      </c>
      <c r="K14" s="184">
        <v>7000</v>
      </c>
      <c r="L14" s="184">
        <v>5670</v>
      </c>
      <c r="M14" s="185">
        <f t="shared" si="2"/>
        <v>81</v>
      </c>
      <c r="N14" s="199">
        <v>6660</v>
      </c>
      <c r="O14" s="198"/>
      <c r="P14" s="184"/>
      <c r="Q14" s="184"/>
      <c r="R14" s="185"/>
      <c r="S14" s="199"/>
      <c r="T14" s="198"/>
      <c r="U14" s="184"/>
      <c r="V14" s="184"/>
      <c r="W14" s="185"/>
      <c r="X14" s="199"/>
    </row>
    <row r="15" spans="1:24" s="315" customFormat="1" ht="9.75">
      <c r="A15" s="230" t="s">
        <v>12</v>
      </c>
      <c r="B15" s="1160" t="s">
        <v>62</v>
      </c>
      <c r="C15" s="1160"/>
      <c r="D15" s="245" t="s">
        <v>25</v>
      </c>
      <c r="E15" s="198">
        <f t="shared" si="6"/>
        <v>761000</v>
      </c>
      <c r="F15" s="184">
        <f t="shared" si="6"/>
        <v>1130180</v>
      </c>
      <c r="G15" s="184">
        <f t="shared" si="6"/>
        <v>1047917.09</v>
      </c>
      <c r="H15" s="185">
        <f t="shared" si="0"/>
        <v>92.72125590613885</v>
      </c>
      <c r="I15" s="199">
        <f t="shared" si="6"/>
        <v>1252846.92</v>
      </c>
      <c r="J15" s="207">
        <v>761000</v>
      </c>
      <c r="K15" s="184">
        <v>1130180</v>
      </c>
      <c r="L15" s="184">
        <v>1047917.09</v>
      </c>
      <c r="M15" s="185">
        <f t="shared" si="2"/>
        <v>92.72125590613885</v>
      </c>
      <c r="N15" s="199">
        <v>1252846.92</v>
      </c>
      <c r="O15" s="198"/>
      <c r="P15" s="184"/>
      <c r="Q15" s="184"/>
      <c r="R15" s="185"/>
      <c r="S15" s="199"/>
      <c r="T15" s="198">
        <v>11779</v>
      </c>
      <c r="U15" s="184">
        <v>9679</v>
      </c>
      <c r="V15" s="184">
        <v>1022</v>
      </c>
      <c r="W15" s="185">
        <f t="shared" si="4"/>
        <v>10.558942039466887</v>
      </c>
      <c r="X15" s="199">
        <v>988</v>
      </c>
    </row>
    <row r="16" spans="1:24" s="315" customFormat="1" ht="9.75">
      <c r="A16" s="230" t="s">
        <v>13</v>
      </c>
      <c r="B16" s="1160" t="s">
        <v>30</v>
      </c>
      <c r="C16" s="1160"/>
      <c r="D16" s="245" t="s">
        <v>25</v>
      </c>
      <c r="E16" s="198">
        <f t="shared" si="6"/>
        <v>26642</v>
      </c>
      <c r="F16" s="184">
        <f t="shared" si="6"/>
        <v>15052</v>
      </c>
      <c r="G16" s="184">
        <f t="shared" si="6"/>
        <v>10792</v>
      </c>
      <c r="H16" s="185">
        <f t="shared" si="0"/>
        <v>71.698113207547166</v>
      </c>
      <c r="I16" s="199">
        <f t="shared" si="6"/>
        <v>18217</v>
      </c>
      <c r="J16" s="207">
        <v>6642</v>
      </c>
      <c r="K16" s="184">
        <v>6642</v>
      </c>
      <c r="L16" s="184">
        <v>2382</v>
      </c>
      <c r="M16" s="185">
        <f t="shared" si="2"/>
        <v>35.862691960252931</v>
      </c>
      <c r="N16" s="199">
        <v>1912</v>
      </c>
      <c r="O16" s="198">
        <v>20000</v>
      </c>
      <c r="P16" s="184">
        <v>8410</v>
      </c>
      <c r="Q16" s="184">
        <v>8410</v>
      </c>
      <c r="R16" s="185">
        <f t="shared" si="3"/>
        <v>100</v>
      </c>
      <c r="S16" s="199">
        <v>16305</v>
      </c>
      <c r="T16" s="198"/>
      <c r="U16" s="184"/>
      <c r="V16" s="184"/>
      <c r="W16" s="185"/>
      <c r="X16" s="199"/>
    </row>
    <row r="17" spans="1:24" s="315" customFormat="1" ht="9.75">
      <c r="A17" s="230" t="s">
        <v>14</v>
      </c>
      <c r="B17" s="260" t="s">
        <v>46</v>
      </c>
      <c r="C17" s="260"/>
      <c r="D17" s="245" t="s">
        <v>25</v>
      </c>
      <c r="E17" s="198">
        <f t="shared" si="6"/>
        <v>4000</v>
      </c>
      <c r="F17" s="184">
        <f t="shared" si="6"/>
        <v>3234</v>
      </c>
      <c r="G17" s="184">
        <f t="shared" si="6"/>
        <v>649</v>
      </c>
      <c r="H17" s="185">
        <f t="shared" si="0"/>
        <v>20.068027210884352</v>
      </c>
      <c r="I17" s="199">
        <f t="shared" si="6"/>
        <v>2129</v>
      </c>
      <c r="J17" s="207">
        <v>3000</v>
      </c>
      <c r="K17" s="184">
        <v>3000</v>
      </c>
      <c r="L17" s="184">
        <v>415</v>
      </c>
      <c r="M17" s="185">
        <f t="shared" si="2"/>
        <v>13.833333333333334</v>
      </c>
      <c r="N17" s="199">
        <v>2129</v>
      </c>
      <c r="O17" s="198">
        <v>1000</v>
      </c>
      <c r="P17" s="184">
        <v>234</v>
      </c>
      <c r="Q17" s="184">
        <v>234</v>
      </c>
      <c r="R17" s="185">
        <f t="shared" si="3"/>
        <v>100</v>
      </c>
      <c r="S17" s="199"/>
      <c r="T17" s="198">
        <v>800</v>
      </c>
      <c r="U17" s="184">
        <v>800</v>
      </c>
      <c r="V17" s="184">
        <v>0</v>
      </c>
      <c r="W17" s="185">
        <f t="shared" si="4"/>
        <v>0</v>
      </c>
      <c r="X17" s="199">
        <v>0</v>
      </c>
    </row>
    <row r="18" spans="1:24" s="315" customFormat="1" ht="9.75">
      <c r="A18" s="230" t="s">
        <v>15</v>
      </c>
      <c r="B18" s="1160" t="s">
        <v>31</v>
      </c>
      <c r="C18" s="1160"/>
      <c r="D18" s="245" t="s">
        <v>25</v>
      </c>
      <c r="E18" s="198">
        <f t="shared" si="6"/>
        <v>967400</v>
      </c>
      <c r="F18" s="184">
        <f t="shared" si="6"/>
        <v>1061474.71</v>
      </c>
      <c r="G18" s="184">
        <f t="shared" si="6"/>
        <v>1019782.05</v>
      </c>
      <c r="H18" s="185">
        <f t="shared" si="0"/>
        <v>96.072194692231534</v>
      </c>
      <c r="I18" s="199">
        <f t="shared" si="6"/>
        <v>1056865.53</v>
      </c>
      <c r="J18" s="207">
        <v>738400</v>
      </c>
      <c r="K18" s="184">
        <v>717223.4</v>
      </c>
      <c r="L18" s="184">
        <v>675530.74</v>
      </c>
      <c r="M18" s="185">
        <f t="shared" si="2"/>
        <v>94.186935339811825</v>
      </c>
      <c r="N18" s="199">
        <v>577064.77</v>
      </c>
      <c r="O18" s="198">
        <v>229000</v>
      </c>
      <c r="P18" s="184">
        <v>344251.31</v>
      </c>
      <c r="Q18" s="184">
        <v>344251.31</v>
      </c>
      <c r="R18" s="185">
        <f t="shared" si="3"/>
        <v>100</v>
      </c>
      <c r="S18" s="199">
        <v>479800.76</v>
      </c>
      <c r="T18" s="198">
        <v>69033</v>
      </c>
      <c r="U18" s="184">
        <v>72333</v>
      </c>
      <c r="V18" s="184">
        <v>59235.96</v>
      </c>
      <c r="W18" s="185">
        <f t="shared" si="4"/>
        <v>81.893409647049069</v>
      </c>
      <c r="X18" s="199">
        <v>3294</v>
      </c>
    </row>
    <row r="19" spans="1:24" s="318" customFormat="1" ht="9.75">
      <c r="A19" s="230" t="s">
        <v>16</v>
      </c>
      <c r="B19" s="1160" t="s">
        <v>32</v>
      </c>
      <c r="C19" s="1160"/>
      <c r="D19" s="245" t="s">
        <v>25</v>
      </c>
      <c r="E19" s="198">
        <f t="shared" si="6"/>
        <v>30891592</v>
      </c>
      <c r="F19" s="184">
        <f t="shared" si="6"/>
        <v>31767100</v>
      </c>
      <c r="G19" s="184">
        <f t="shared" si="6"/>
        <v>31721970</v>
      </c>
      <c r="H19" s="185">
        <f t="shared" si="0"/>
        <v>99.857934781582202</v>
      </c>
      <c r="I19" s="199">
        <f t="shared" si="6"/>
        <v>28789881</v>
      </c>
      <c r="J19" s="209">
        <v>328780</v>
      </c>
      <c r="K19" s="184">
        <v>335580</v>
      </c>
      <c r="L19" s="184">
        <v>290450</v>
      </c>
      <c r="M19" s="185">
        <f t="shared" si="2"/>
        <v>86.551641933369098</v>
      </c>
      <c r="N19" s="199">
        <v>306954</v>
      </c>
      <c r="O19" s="198">
        <v>30562812</v>
      </c>
      <c r="P19" s="184">
        <v>31431520</v>
      </c>
      <c r="Q19" s="184">
        <v>31431520</v>
      </c>
      <c r="R19" s="185">
        <f t="shared" si="3"/>
        <v>100</v>
      </c>
      <c r="S19" s="199">
        <v>28482927</v>
      </c>
      <c r="T19" s="225">
        <v>987</v>
      </c>
      <c r="U19" s="190">
        <v>987</v>
      </c>
      <c r="V19" s="190">
        <v>591</v>
      </c>
      <c r="W19" s="185">
        <f t="shared" si="4"/>
        <v>59.878419452887542</v>
      </c>
      <c r="X19" s="226">
        <v>805</v>
      </c>
    </row>
    <row r="20" spans="1:24" s="315" customFormat="1" ht="9.75">
      <c r="A20" s="230" t="s">
        <v>17</v>
      </c>
      <c r="B20" s="1160" t="s">
        <v>47</v>
      </c>
      <c r="C20" s="1160"/>
      <c r="D20" s="245" t="s">
        <v>25</v>
      </c>
      <c r="E20" s="198">
        <f t="shared" si="6"/>
        <v>10541066</v>
      </c>
      <c r="F20" s="184">
        <f t="shared" si="6"/>
        <v>10621516.4</v>
      </c>
      <c r="G20" s="184">
        <f t="shared" si="6"/>
        <v>10621103.810000001</v>
      </c>
      <c r="H20" s="185">
        <f t="shared" si="0"/>
        <v>99.996115526404495</v>
      </c>
      <c r="I20" s="199">
        <f t="shared" si="6"/>
        <v>9672618.9000000004</v>
      </c>
      <c r="J20" s="207">
        <v>82471</v>
      </c>
      <c r="K20" s="184">
        <v>85421</v>
      </c>
      <c r="L20" s="184">
        <v>85008.41</v>
      </c>
      <c r="M20" s="185">
        <f t="shared" si="2"/>
        <v>99.516992308682887</v>
      </c>
      <c r="N20" s="199">
        <v>86464.82</v>
      </c>
      <c r="O20" s="198">
        <v>10458595</v>
      </c>
      <c r="P20" s="184">
        <v>10536095.4</v>
      </c>
      <c r="Q20" s="184">
        <v>10536095.4</v>
      </c>
      <c r="R20" s="185">
        <f t="shared" si="3"/>
        <v>100</v>
      </c>
      <c r="S20" s="199">
        <v>9586154.0800000001</v>
      </c>
      <c r="T20" s="198">
        <v>339</v>
      </c>
      <c r="U20" s="184">
        <v>339</v>
      </c>
      <c r="V20" s="184">
        <v>202.26</v>
      </c>
      <c r="W20" s="185">
        <f t="shared" si="4"/>
        <v>59.663716814159287</v>
      </c>
      <c r="X20" s="199">
        <v>275.43</v>
      </c>
    </row>
    <row r="21" spans="1:24" s="315" customFormat="1" ht="9.75">
      <c r="A21" s="230" t="s">
        <v>18</v>
      </c>
      <c r="B21" s="1160" t="s">
        <v>48</v>
      </c>
      <c r="C21" s="1160"/>
      <c r="D21" s="245" t="s">
        <v>25</v>
      </c>
      <c r="E21" s="198">
        <f t="shared" si="6"/>
        <v>616077</v>
      </c>
      <c r="F21" s="184">
        <f t="shared" si="6"/>
        <v>741288.47</v>
      </c>
      <c r="G21" s="184">
        <f t="shared" si="6"/>
        <v>740965.15</v>
      </c>
      <c r="H21" s="185">
        <f t="shared" si="0"/>
        <v>99.956384051137348</v>
      </c>
      <c r="I21" s="199">
        <f t="shared" si="6"/>
        <v>626644.22</v>
      </c>
      <c r="J21" s="207">
        <v>4820</v>
      </c>
      <c r="K21" s="184">
        <v>18820</v>
      </c>
      <c r="L21" s="184">
        <v>18496.68</v>
      </c>
      <c r="M21" s="185">
        <f t="shared" si="2"/>
        <v>98.282040382571736</v>
      </c>
      <c r="N21" s="199">
        <v>8363.6</v>
      </c>
      <c r="O21" s="198">
        <v>611257</v>
      </c>
      <c r="P21" s="184">
        <v>722468.47</v>
      </c>
      <c r="Q21" s="184">
        <v>722468.47</v>
      </c>
      <c r="R21" s="185">
        <f t="shared" si="3"/>
        <v>100</v>
      </c>
      <c r="S21" s="199">
        <v>618280.62</v>
      </c>
      <c r="T21" s="198">
        <v>20</v>
      </c>
      <c r="U21" s="184">
        <v>20</v>
      </c>
      <c r="V21" s="184">
        <v>11.82</v>
      </c>
      <c r="W21" s="185">
        <f t="shared" si="4"/>
        <v>59.099999999999994</v>
      </c>
      <c r="X21" s="199">
        <v>16.100000000000001</v>
      </c>
    </row>
    <row r="22" spans="1:24" s="315" customFormat="1" ht="9.75">
      <c r="A22" s="230" t="s">
        <v>19</v>
      </c>
      <c r="B22" s="1160" t="s">
        <v>63</v>
      </c>
      <c r="C22" s="1160"/>
      <c r="D22" s="245" t="s">
        <v>25</v>
      </c>
      <c r="E22" s="198">
        <f t="shared" si="6"/>
        <v>0</v>
      </c>
      <c r="F22" s="184">
        <f t="shared" si="6"/>
        <v>180</v>
      </c>
      <c r="G22" s="184">
        <f t="shared" si="6"/>
        <v>180</v>
      </c>
      <c r="H22" s="185">
        <f t="shared" si="0"/>
        <v>100</v>
      </c>
      <c r="I22" s="199">
        <f t="shared" si="6"/>
        <v>0</v>
      </c>
      <c r="J22" s="207"/>
      <c r="K22" s="184">
        <v>180</v>
      </c>
      <c r="L22" s="184">
        <v>180</v>
      </c>
      <c r="M22" s="185">
        <f t="shared" si="2"/>
        <v>100</v>
      </c>
      <c r="N22" s="199"/>
      <c r="O22" s="198"/>
      <c r="P22" s="184"/>
      <c r="Q22" s="184"/>
      <c r="R22" s="185"/>
      <c r="S22" s="199"/>
      <c r="T22" s="198"/>
      <c r="U22" s="184"/>
      <c r="V22" s="184"/>
      <c r="W22" s="185"/>
      <c r="X22" s="199"/>
    </row>
    <row r="23" spans="1:24" s="315" customFormat="1" ht="9.75">
      <c r="A23" s="230" t="s">
        <v>20</v>
      </c>
      <c r="B23" s="260" t="s">
        <v>64</v>
      </c>
      <c r="C23" s="260"/>
      <c r="D23" s="245" t="s">
        <v>25</v>
      </c>
      <c r="E23" s="198">
        <f t="shared" si="6"/>
        <v>0</v>
      </c>
      <c r="F23" s="184">
        <f t="shared" si="6"/>
        <v>0</v>
      </c>
      <c r="G23" s="184">
        <f t="shared" si="6"/>
        <v>0</v>
      </c>
      <c r="H23" s="185"/>
      <c r="I23" s="199">
        <f t="shared" si="6"/>
        <v>0</v>
      </c>
      <c r="J23" s="207"/>
      <c r="K23" s="184"/>
      <c r="L23" s="184"/>
      <c r="M23" s="185"/>
      <c r="N23" s="199"/>
      <c r="O23" s="198"/>
      <c r="P23" s="184"/>
      <c r="Q23" s="184"/>
      <c r="R23" s="185"/>
      <c r="S23" s="199"/>
      <c r="T23" s="198"/>
      <c r="U23" s="184"/>
      <c r="V23" s="184"/>
      <c r="W23" s="185"/>
      <c r="X23" s="199"/>
    </row>
    <row r="24" spans="1:24" s="315" customFormat="1" ht="9.75">
      <c r="A24" s="230" t="s">
        <v>21</v>
      </c>
      <c r="B24" s="260" t="s">
        <v>71</v>
      </c>
      <c r="C24" s="260"/>
      <c r="D24" s="245" t="s">
        <v>25</v>
      </c>
      <c r="E24" s="198">
        <f t="shared" si="6"/>
        <v>0</v>
      </c>
      <c r="F24" s="184">
        <f t="shared" si="6"/>
        <v>0</v>
      </c>
      <c r="G24" s="184">
        <f t="shared" si="6"/>
        <v>0</v>
      </c>
      <c r="H24" s="185"/>
      <c r="I24" s="199">
        <f t="shared" si="6"/>
        <v>0</v>
      </c>
      <c r="J24" s="207"/>
      <c r="K24" s="184"/>
      <c r="L24" s="184"/>
      <c r="M24" s="185"/>
      <c r="N24" s="199"/>
      <c r="O24" s="198"/>
      <c r="P24" s="184"/>
      <c r="Q24" s="184"/>
      <c r="R24" s="185"/>
      <c r="S24" s="199"/>
      <c r="T24" s="198"/>
      <c r="U24" s="184"/>
      <c r="V24" s="184"/>
      <c r="W24" s="185"/>
      <c r="X24" s="199"/>
    </row>
    <row r="25" spans="1:24" s="315" customFormat="1" ht="9.75">
      <c r="A25" s="232" t="s">
        <v>22</v>
      </c>
      <c r="B25" s="264" t="s">
        <v>66</v>
      </c>
      <c r="C25" s="264"/>
      <c r="D25" s="245" t="s">
        <v>25</v>
      </c>
      <c r="E25" s="198">
        <f t="shared" si="6"/>
        <v>444</v>
      </c>
      <c r="F25" s="184">
        <f t="shared" si="6"/>
        <v>444</v>
      </c>
      <c r="G25" s="184">
        <f t="shared" si="6"/>
        <v>444</v>
      </c>
      <c r="H25" s="185">
        <f t="shared" si="0"/>
        <v>100</v>
      </c>
      <c r="I25" s="199">
        <f t="shared" si="6"/>
        <v>444</v>
      </c>
      <c r="J25" s="207">
        <v>444</v>
      </c>
      <c r="K25" s="188">
        <v>444</v>
      </c>
      <c r="L25" s="188">
        <v>444</v>
      </c>
      <c r="M25" s="185">
        <f t="shared" si="2"/>
        <v>100</v>
      </c>
      <c r="N25" s="208">
        <v>444</v>
      </c>
      <c r="O25" s="220"/>
      <c r="P25" s="188"/>
      <c r="Q25" s="188"/>
      <c r="R25" s="185"/>
      <c r="S25" s="221"/>
      <c r="T25" s="220"/>
      <c r="U25" s="188"/>
      <c r="V25" s="188"/>
      <c r="W25" s="185"/>
      <c r="X25" s="221"/>
    </row>
    <row r="26" spans="1:24" s="319" customFormat="1" ht="9.75">
      <c r="A26" s="230" t="s">
        <v>23</v>
      </c>
      <c r="B26" s="1160" t="s">
        <v>67</v>
      </c>
      <c r="C26" s="1160"/>
      <c r="D26" s="245" t="s">
        <v>25</v>
      </c>
      <c r="E26" s="198">
        <f t="shared" si="6"/>
        <v>601443</v>
      </c>
      <c r="F26" s="184">
        <f t="shared" si="6"/>
        <v>601787</v>
      </c>
      <c r="G26" s="184">
        <f t="shared" si="6"/>
        <v>601651</v>
      </c>
      <c r="H26" s="191">
        <f t="shared" si="0"/>
        <v>99.97740064175531</v>
      </c>
      <c r="I26" s="199">
        <f t="shared" si="6"/>
        <v>599551</v>
      </c>
      <c r="J26" s="207">
        <v>601443</v>
      </c>
      <c r="K26" s="189">
        <v>601787</v>
      </c>
      <c r="L26" s="189">
        <v>601651</v>
      </c>
      <c r="M26" s="185">
        <f t="shared" si="2"/>
        <v>99.97740064175531</v>
      </c>
      <c r="N26" s="199">
        <v>599551</v>
      </c>
      <c r="O26" s="222"/>
      <c r="P26" s="189"/>
      <c r="Q26" s="189"/>
      <c r="R26" s="185"/>
      <c r="S26" s="208"/>
      <c r="T26" s="497">
        <v>8913</v>
      </c>
      <c r="U26" s="498">
        <v>8913</v>
      </c>
      <c r="V26" s="498">
        <v>6913</v>
      </c>
      <c r="W26" s="185">
        <f t="shared" si="4"/>
        <v>77.560866150566582</v>
      </c>
      <c r="X26" s="499">
        <v>8574</v>
      </c>
    </row>
    <row r="27" spans="1:24" s="320" customFormat="1" ht="9.75">
      <c r="A27" s="230" t="s">
        <v>43</v>
      </c>
      <c r="B27" s="260" t="s">
        <v>68</v>
      </c>
      <c r="C27" s="260"/>
      <c r="D27" s="245" t="s">
        <v>25</v>
      </c>
      <c r="E27" s="198">
        <f t="shared" si="6"/>
        <v>0</v>
      </c>
      <c r="F27" s="184">
        <f t="shared" si="6"/>
        <v>0</v>
      </c>
      <c r="G27" s="184">
        <f t="shared" si="6"/>
        <v>0</v>
      </c>
      <c r="H27" s="191"/>
      <c r="I27" s="199">
        <f t="shared" si="6"/>
        <v>0</v>
      </c>
      <c r="J27" s="207"/>
      <c r="K27" s="189"/>
      <c r="L27" s="189"/>
      <c r="M27" s="185"/>
      <c r="N27" s="208"/>
      <c r="O27" s="222"/>
      <c r="P27" s="189"/>
      <c r="Q27" s="189"/>
      <c r="R27" s="185"/>
      <c r="S27" s="208"/>
      <c r="T27" s="227"/>
      <c r="U27" s="192"/>
      <c r="V27" s="192"/>
      <c r="W27" s="185"/>
      <c r="X27" s="228"/>
    </row>
    <row r="28" spans="1:24" s="320" customFormat="1" ht="9.75">
      <c r="A28" s="230" t="s">
        <v>49</v>
      </c>
      <c r="B28" s="260" t="s">
        <v>72</v>
      </c>
      <c r="C28" s="260"/>
      <c r="D28" s="245" t="s">
        <v>25</v>
      </c>
      <c r="E28" s="198">
        <v>310898</v>
      </c>
      <c r="F28" s="184">
        <v>768961.69</v>
      </c>
      <c r="G28" s="184">
        <v>768871.35</v>
      </c>
      <c r="H28" s="191">
        <f t="shared" si="0"/>
        <v>99.988251690406059</v>
      </c>
      <c r="I28" s="199">
        <v>1136558.45</v>
      </c>
      <c r="J28" s="207">
        <v>120000</v>
      </c>
      <c r="K28" s="189">
        <v>500900</v>
      </c>
      <c r="L28" s="189">
        <v>500809.66</v>
      </c>
      <c r="M28" s="185">
        <f t="shared" si="2"/>
        <v>99.981964463964857</v>
      </c>
      <c r="N28" s="208">
        <v>331188.17</v>
      </c>
      <c r="O28" s="222">
        <v>190898</v>
      </c>
      <c r="P28" s="189">
        <v>268061.69</v>
      </c>
      <c r="Q28" s="189">
        <v>268061.69</v>
      </c>
      <c r="R28" s="185">
        <f t="shared" si="3"/>
        <v>100</v>
      </c>
      <c r="S28" s="208">
        <v>805370.28</v>
      </c>
      <c r="T28" s="227"/>
      <c r="U28" s="192"/>
      <c r="V28" s="192"/>
      <c r="W28" s="185"/>
      <c r="X28" s="228"/>
    </row>
    <row r="29" spans="1:24" s="319" customFormat="1" ht="9.75">
      <c r="A29" s="230" t="s">
        <v>50</v>
      </c>
      <c r="B29" s="1160" t="s">
        <v>65</v>
      </c>
      <c r="C29" s="1160"/>
      <c r="D29" s="245" t="s">
        <v>25</v>
      </c>
      <c r="E29" s="198">
        <f t="shared" ref="E29:G31" si="7">SUM(J29,O29)</f>
        <v>0</v>
      </c>
      <c r="F29" s="184">
        <f t="shared" si="7"/>
        <v>2600</v>
      </c>
      <c r="G29" s="184">
        <f t="shared" si="7"/>
        <v>2600</v>
      </c>
      <c r="H29" s="191">
        <f t="shared" si="0"/>
        <v>100</v>
      </c>
      <c r="I29" s="199">
        <f>SUM(N29,S29)</f>
        <v>42038</v>
      </c>
      <c r="J29" s="207"/>
      <c r="K29" s="189">
        <v>2600</v>
      </c>
      <c r="L29" s="189">
        <v>2600</v>
      </c>
      <c r="M29" s="185"/>
      <c r="N29" s="208">
        <v>42038</v>
      </c>
      <c r="O29" s="222"/>
      <c r="P29" s="189"/>
      <c r="Q29" s="189"/>
      <c r="R29" s="185"/>
      <c r="S29" s="208"/>
      <c r="T29" s="227"/>
      <c r="U29" s="192"/>
      <c r="V29" s="192"/>
      <c r="W29" s="185"/>
      <c r="X29" s="228"/>
    </row>
    <row r="30" spans="1:24" s="315" customFormat="1" ht="9.75">
      <c r="A30" s="230" t="s">
        <v>52</v>
      </c>
      <c r="B30" s="260" t="s">
        <v>51</v>
      </c>
      <c r="C30" s="260"/>
      <c r="D30" s="245" t="s">
        <v>25</v>
      </c>
      <c r="E30" s="198">
        <f t="shared" si="7"/>
        <v>0</v>
      </c>
      <c r="F30" s="184">
        <f t="shared" si="7"/>
        <v>0</v>
      </c>
      <c r="G30" s="184">
        <f t="shared" si="7"/>
        <v>0</v>
      </c>
      <c r="H30" s="191"/>
      <c r="I30" s="199">
        <f>SUM(N30,S30)</f>
        <v>0</v>
      </c>
      <c r="J30" s="207"/>
      <c r="K30" s="189"/>
      <c r="L30" s="189"/>
      <c r="M30" s="185"/>
      <c r="N30" s="208"/>
      <c r="O30" s="222"/>
      <c r="P30" s="189"/>
      <c r="Q30" s="189"/>
      <c r="R30" s="185"/>
      <c r="S30" s="208"/>
      <c r="T30" s="227"/>
      <c r="U30" s="192"/>
      <c r="V30" s="192"/>
      <c r="W30" s="185"/>
      <c r="X30" s="228"/>
    </row>
    <row r="31" spans="1:24" s="321" customFormat="1" ht="9.75">
      <c r="A31" s="230" t="s">
        <v>53</v>
      </c>
      <c r="B31" s="260" t="s">
        <v>69</v>
      </c>
      <c r="C31" s="260"/>
      <c r="D31" s="245" t="s">
        <v>25</v>
      </c>
      <c r="E31" s="198">
        <f t="shared" si="7"/>
        <v>0</v>
      </c>
      <c r="F31" s="184">
        <f t="shared" si="7"/>
        <v>0</v>
      </c>
      <c r="G31" s="184">
        <f t="shared" si="7"/>
        <v>0</v>
      </c>
      <c r="H31" s="191"/>
      <c r="I31" s="199">
        <f>SUM(N31,S31)</f>
        <v>0</v>
      </c>
      <c r="J31" s="207"/>
      <c r="K31" s="193"/>
      <c r="L31" s="193"/>
      <c r="M31" s="185"/>
      <c r="N31" s="210"/>
      <c r="O31" s="223"/>
      <c r="P31" s="193"/>
      <c r="Q31" s="193"/>
      <c r="R31" s="185"/>
      <c r="S31" s="210"/>
      <c r="T31" s="224"/>
      <c r="U31" s="194"/>
      <c r="V31" s="194"/>
      <c r="W31" s="185"/>
      <c r="X31" s="212"/>
    </row>
    <row r="32" spans="1:24" s="321" customFormat="1" ht="9.75">
      <c r="A32" s="232" t="s">
        <v>54</v>
      </c>
      <c r="B32" s="264" t="s">
        <v>70</v>
      </c>
      <c r="C32" s="264"/>
      <c r="D32" s="245" t="s">
        <v>25</v>
      </c>
      <c r="E32" s="198">
        <f>SUM(J32,O32)</f>
        <v>0</v>
      </c>
      <c r="F32" s="184">
        <f>SUM(K32,P32)</f>
        <v>0</v>
      </c>
      <c r="G32" s="184">
        <f>SUM(L32,Q32)</f>
        <v>0</v>
      </c>
      <c r="H32" s="191"/>
      <c r="I32" s="199">
        <f>SUM(N32,S32)</f>
        <v>0</v>
      </c>
      <c r="J32" s="211"/>
      <c r="K32" s="194"/>
      <c r="L32" s="194"/>
      <c r="M32" s="185"/>
      <c r="N32" s="212"/>
      <c r="O32" s="224"/>
      <c r="P32" s="194"/>
      <c r="Q32" s="194"/>
      <c r="R32" s="185"/>
      <c r="S32" s="212"/>
      <c r="T32" s="224"/>
      <c r="U32" s="194"/>
      <c r="V32" s="194"/>
      <c r="W32" s="185"/>
      <c r="X32" s="212"/>
    </row>
    <row r="33" spans="1:24" s="321" customFormat="1" ht="9.75">
      <c r="A33" s="229" t="s">
        <v>55</v>
      </c>
      <c r="B33" s="263" t="s">
        <v>56</v>
      </c>
      <c r="C33" s="263"/>
      <c r="D33" s="245" t="s">
        <v>25</v>
      </c>
      <c r="E33" s="196">
        <f>E6-E11</f>
        <v>0</v>
      </c>
      <c r="F33" s="181">
        <f t="shared" ref="F33:G33" si="8">F6-F11</f>
        <v>0</v>
      </c>
      <c r="G33" s="181">
        <f t="shared" si="8"/>
        <v>62144.389999993145</v>
      </c>
      <c r="H33" s="195" t="e">
        <f t="shared" si="0"/>
        <v>#DIV/0!</v>
      </c>
      <c r="I33" s="197">
        <f t="shared" ref="I33:L33" si="9">I6-I11</f>
        <v>3991.7500000074506</v>
      </c>
      <c r="J33" s="196">
        <f t="shared" si="9"/>
        <v>0</v>
      </c>
      <c r="K33" s="181">
        <f t="shared" si="9"/>
        <v>0</v>
      </c>
      <c r="L33" s="181">
        <f t="shared" si="9"/>
        <v>62144.390000000596</v>
      </c>
      <c r="M33" s="180"/>
      <c r="N33" s="197">
        <f t="shared" ref="N33:Q33" si="10">N6-N11</f>
        <v>3991.75</v>
      </c>
      <c r="O33" s="196">
        <f t="shared" si="10"/>
        <v>0</v>
      </c>
      <c r="P33" s="181">
        <f t="shared" si="10"/>
        <v>0</v>
      </c>
      <c r="Q33" s="181">
        <f t="shared" si="10"/>
        <v>0</v>
      </c>
      <c r="R33" s="180" t="e">
        <f t="shared" si="3"/>
        <v>#DIV/0!</v>
      </c>
      <c r="S33" s="197">
        <f t="shared" ref="S33:V33" si="11">S6-S11</f>
        <v>0</v>
      </c>
      <c r="T33" s="196">
        <f t="shared" si="11"/>
        <v>46250</v>
      </c>
      <c r="U33" s="181">
        <f t="shared" si="11"/>
        <v>46250</v>
      </c>
      <c r="V33" s="181">
        <f t="shared" si="11"/>
        <v>51873.960000000006</v>
      </c>
      <c r="W33" s="180">
        <f t="shared" si="4"/>
        <v>112.15991351351353</v>
      </c>
      <c r="X33" s="197">
        <f>X6-X11</f>
        <v>47394.47</v>
      </c>
    </row>
    <row r="34" spans="1:24" s="322" customFormat="1" ht="9.75">
      <c r="A34" s="254" t="s">
        <v>57</v>
      </c>
      <c r="B34" s="1157" t="s">
        <v>237</v>
      </c>
      <c r="C34" s="1157"/>
      <c r="D34" s="258" t="s">
        <v>25</v>
      </c>
      <c r="E34" s="233"/>
      <c r="F34" s="234"/>
      <c r="G34" s="234"/>
      <c r="H34" s="191" t="e">
        <f t="shared" si="0"/>
        <v>#DIV/0!</v>
      </c>
      <c r="I34" s="237"/>
      <c r="J34" s="213">
        <v>18270</v>
      </c>
      <c r="K34" s="183">
        <v>18270</v>
      </c>
      <c r="L34" s="183">
        <v>18434</v>
      </c>
      <c r="M34" s="185">
        <f t="shared" si="2"/>
        <v>100.89764641488779</v>
      </c>
      <c r="N34" s="214">
        <v>18492</v>
      </c>
      <c r="O34" s="239"/>
      <c r="P34" s="240"/>
      <c r="Q34" s="240"/>
      <c r="R34" s="185" t="e">
        <f t="shared" si="3"/>
        <v>#DIV/0!</v>
      </c>
      <c r="S34" s="243"/>
      <c r="T34" s="213">
        <v>0</v>
      </c>
      <c r="U34" s="183">
        <v>0</v>
      </c>
      <c r="V34" s="183">
        <v>0</v>
      </c>
      <c r="W34" s="185">
        <v>0</v>
      </c>
      <c r="X34" s="214">
        <v>0</v>
      </c>
    </row>
    <row r="35" spans="1:24" s="322" customFormat="1" ht="9.75">
      <c r="A35" s="255" t="s">
        <v>58</v>
      </c>
      <c r="B35" s="1156" t="s">
        <v>238</v>
      </c>
      <c r="C35" s="1156"/>
      <c r="D35" s="259" t="s">
        <v>26</v>
      </c>
      <c r="E35" s="233"/>
      <c r="F35" s="234"/>
      <c r="G35" s="234"/>
      <c r="H35" s="191" t="e">
        <f t="shared" si="0"/>
        <v>#DIV/0!</v>
      </c>
      <c r="I35" s="237"/>
      <c r="J35" s="213">
        <v>1</v>
      </c>
      <c r="K35" s="183">
        <v>1</v>
      </c>
      <c r="L35" s="183">
        <v>1.0960000000000001</v>
      </c>
      <c r="M35" s="185">
        <f t="shared" si="2"/>
        <v>109.60000000000001</v>
      </c>
      <c r="N35" s="214">
        <v>1</v>
      </c>
      <c r="O35" s="239"/>
      <c r="P35" s="240"/>
      <c r="Q35" s="240"/>
      <c r="R35" s="185" t="e">
        <f t="shared" si="3"/>
        <v>#DIV/0!</v>
      </c>
      <c r="S35" s="243"/>
      <c r="T35" s="213">
        <v>0</v>
      </c>
      <c r="U35" s="183">
        <v>0</v>
      </c>
      <c r="V35" s="183">
        <v>0</v>
      </c>
      <c r="W35" s="185">
        <v>0</v>
      </c>
      <c r="X35" s="214">
        <v>0</v>
      </c>
    </row>
    <row r="36" spans="1:24" s="322" customFormat="1" ht="9.75">
      <c r="A36" s="255" t="s">
        <v>59</v>
      </c>
      <c r="B36" s="1156" t="s">
        <v>239</v>
      </c>
      <c r="C36" s="1156"/>
      <c r="D36" s="259" t="s">
        <v>26</v>
      </c>
      <c r="E36" s="233"/>
      <c r="F36" s="234"/>
      <c r="G36" s="234"/>
      <c r="H36" s="191" t="e">
        <f t="shared" si="0"/>
        <v>#DIV/0!</v>
      </c>
      <c r="I36" s="237"/>
      <c r="J36" s="213">
        <v>1</v>
      </c>
      <c r="K36" s="183">
        <v>1</v>
      </c>
      <c r="L36" s="183">
        <v>1</v>
      </c>
      <c r="M36" s="185">
        <f t="shared" si="2"/>
        <v>100</v>
      </c>
      <c r="N36" s="214">
        <v>1</v>
      </c>
      <c r="O36" s="239"/>
      <c r="P36" s="240"/>
      <c r="Q36" s="240"/>
      <c r="R36" s="185" t="e">
        <f t="shared" si="3"/>
        <v>#DIV/0!</v>
      </c>
      <c r="S36" s="243"/>
      <c r="T36" s="213">
        <v>0</v>
      </c>
      <c r="U36" s="183">
        <v>0</v>
      </c>
      <c r="V36" s="183">
        <v>0</v>
      </c>
      <c r="W36" s="185">
        <v>0</v>
      </c>
      <c r="X36" s="214">
        <v>0</v>
      </c>
    </row>
    <row r="37" spans="1:24" s="322" customFormat="1" ht="10.5" thickBot="1">
      <c r="A37" s="256" t="s">
        <v>240</v>
      </c>
      <c r="B37" s="1174" t="s">
        <v>241</v>
      </c>
      <c r="C37" s="1174"/>
      <c r="D37" s="257" t="s">
        <v>242</v>
      </c>
      <c r="E37" s="235"/>
      <c r="F37" s="236"/>
      <c r="G37" s="236"/>
      <c r="H37" s="202" t="e">
        <f t="shared" si="0"/>
        <v>#DIV/0!</v>
      </c>
      <c r="I37" s="238"/>
      <c r="J37" s="215">
        <v>5</v>
      </c>
      <c r="K37" s="216">
        <v>5</v>
      </c>
      <c r="L37" s="216">
        <v>2</v>
      </c>
      <c r="M37" s="217">
        <f t="shared" si="2"/>
        <v>40</v>
      </c>
      <c r="N37" s="218">
        <v>5</v>
      </c>
      <c r="O37" s="241"/>
      <c r="P37" s="242"/>
      <c r="Q37" s="242"/>
      <c r="R37" s="217" t="e">
        <f t="shared" si="3"/>
        <v>#DIV/0!</v>
      </c>
      <c r="S37" s="244"/>
      <c r="T37" s="215">
        <v>0</v>
      </c>
      <c r="U37" s="216">
        <v>0</v>
      </c>
      <c r="V37" s="216">
        <v>0</v>
      </c>
      <c r="W37" s="217">
        <v>0</v>
      </c>
      <c r="X37" s="218">
        <v>0</v>
      </c>
    </row>
  </sheetData>
  <mergeCells count="40">
    <mergeCell ref="S4:S5"/>
    <mergeCell ref="I4:I5"/>
    <mergeCell ref="J3:N3"/>
    <mergeCell ref="J4:J5"/>
    <mergeCell ref="E3:I3"/>
    <mergeCell ref="B37:C37"/>
    <mergeCell ref="B13:C13"/>
    <mergeCell ref="B15:C15"/>
    <mergeCell ref="B16:C16"/>
    <mergeCell ref="B18:C18"/>
    <mergeCell ref="B19:C19"/>
    <mergeCell ref="B34:C34"/>
    <mergeCell ref="B35:C35"/>
    <mergeCell ref="B20:C20"/>
    <mergeCell ref="B21:C21"/>
    <mergeCell ref="B22:C22"/>
    <mergeCell ref="B26:C26"/>
    <mergeCell ref="B36:C36"/>
    <mergeCell ref="B29:C29"/>
    <mergeCell ref="A1:X1"/>
    <mergeCell ref="E4:E5"/>
    <mergeCell ref="B8:C8"/>
    <mergeCell ref="B10:C10"/>
    <mergeCell ref="B11:C11"/>
    <mergeCell ref="T4:T5"/>
    <mergeCell ref="U4:W4"/>
    <mergeCell ref="X4:X5"/>
    <mergeCell ref="T3:X3"/>
    <mergeCell ref="A3:A5"/>
    <mergeCell ref="B3:C5"/>
    <mergeCell ref="D3:D5"/>
    <mergeCell ref="P4:R4"/>
    <mergeCell ref="N4:N5"/>
    <mergeCell ref="O3:S3"/>
    <mergeCell ref="F4:H4"/>
    <mergeCell ref="B12:C12"/>
    <mergeCell ref="O4:O5"/>
    <mergeCell ref="K4:M4"/>
    <mergeCell ref="B6:C6"/>
    <mergeCell ref="B7:C7"/>
  </mergeCells>
  <pageMargins left="0.23622047244094491" right="0.23622047244094491" top="0.74803149606299213" bottom="0.74803149606299213" header="0.31496062992125984" footer="0.31496062992125984"/>
  <pageSetup paperSize="9" scale="95" firstPageNumber="162" orientation="landscape" useFirstPageNumber="1"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opLeftCell="A133" zoomScaleNormal="100" workbookViewId="0">
      <selection activeCell="D7" sqref="D7:I7"/>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277" t="s">
        <v>738</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114018.35</v>
      </c>
      <c r="D6" s="1207"/>
      <c r="E6" s="1208"/>
      <c r="F6" s="1208"/>
      <c r="G6" s="1208"/>
      <c r="H6" s="1208"/>
      <c r="I6" s="1209"/>
    </row>
    <row r="7" spans="1:9" s="2" customFormat="1" ht="90" customHeight="1">
      <c r="A7" s="1199" t="s">
        <v>75</v>
      </c>
      <c r="B7" s="1200"/>
      <c r="C7" s="17">
        <v>62144.39</v>
      </c>
      <c r="D7" s="1205" t="s">
        <v>739</v>
      </c>
      <c r="E7" s="1205"/>
      <c r="F7" s="1205"/>
      <c r="G7" s="1205"/>
      <c r="H7" s="1205"/>
      <c r="I7" s="1206"/>
    </row>
    <row r="8" spans="1:9" s="281" customFormat="1" ht="45.75" customHeight="1">
      <c r="A8" s="1201" t="s">
        <v>76</v>
      </c>
      <c r="B8" s="1202"/>
      <c r="C8" s="18">
        <v>51873.96</v>
      </c>
      <c r="D8" s="1205" t="s">
        <v>740</v>
      </c>
      <c r="E8" s="1205"/>
      <c r="F8" s="1205"/>
      <c r="G8" s="1205"/>
      <c r="H8" s="1205"/>
      <c r="I8" s="1206"/>
    </row>
    <row r="9" spans="1:9" s="281" customFormat="1" ht="15" customHeight="1">
      <c r="A9" s="1203" t="s">
        <v>77</v>
      </c>
      <c r="B9" s="1204"/>
      <c r="C9" s="62">
        <v>0</v>
      </c>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136</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113882.35</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114018.35</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51" customHeight="1">
      <c r="A23" s="68" t="s">
        <v>83</v>
      </c>
      <c r="B23" s="32">
        <v>1010637.14</v>
      </c>
      <c r="C23" s="32">
        <v>976195.6</v>
      </c>
      <c r="D23" s="32">
        <v>908044.03</v>
      </c>
      <c r="E23" s="32">
        <f>B23+C23-D23</f>
        <v>1078788.71</v>
      </c>
      <c r="F23" s="1194" t="s">
        <v>741</v>
      </c>
      <c r="G23" s="1195"/>
      <c r="H23" s="1195"/>
      <c r="I23" s="1196"/>
    </row>
    <row r="24" spans="1:9" s="2" customFormat="1" ht="38.25" customHeight="1">
      <c r="A24" s="69" t="s">
        <v>84</v>
      </c>
      <c r="B24" s="33">
        <v>51164.07</v>
      </c>
      <c r="C24" s="33">
        <v>788564</v>
      </c>
      <c r="D24" s="33">
        <v>721115</v>
      </c>
      <c r="E24" s="33">
        <f>B24+C24-D24</f>
        <v>118613.06999999995</v>
      </c>
      <c r="F24" s="1183" t="s">
        <v>742</v>
      </c>
      <c r="G24" s="1184"/>
      <c r="H24" s="1184"/>
      <c r="I24" s="1185"/>
    </row>
    <row r="25" spans="1:9" s="2" customFormat="1" ht="31.5" customHeight="1">
      <c r="A25" s="69" t="s">
        <v>82</v>
      </c>
      <c r="B25" s="33">
        <v>63035.15</v>
      </c>
      <c r="C25" s="33">
        <v>0</v>
      </c>
      <c r="D25" s="33">
        <v>4800</v>
      </c>
      <c r="E25" s="33">
        <f>B25+C25-D25</f>
        <v>58235.15</v>
      </c>
      <c r="F25" s="1183" t="s">
        <v>743</v>
      </c>
      <c r="G25" s="1184"/>
      <c r="H25" s="1184"/>
      <c r="I25" s="1185"/>
    </row>
    <row r="26" spans="1:9" s="2" customFormat="1" ht="60.75" customHeight="1">
      <c r="A26" s="70" t="s">
        <v>85</v>
      </c>
      <c r="B26" s="34">
        <v>1071453.3999999999</v>
      </c>
      <c r="C26" s="34">
        <v>626963.84</v>
      </c>
      <c r="D26" s="34">
        <v>509606</v>
      </c>
      <c r="E26" s="33">
        <f t="shared" ref="E26" si="0">B26+C26-D26</f>
        <v>1188811.2399999998</v>
      </c>
      <c r="F26" s="1186" t="s">
        <v>744</v>
      </c>
      <c r="G26" s="1187"/>
      <c r="H26" s="1187"/>
      <c r="I26" s="1188"/>
    </row>
    <row r="27" spans="1:9" s="281" customFormat="1" ht="10.5">
      <c r="A27" s="3" t="s">
        <v>34</v>
      </c>
      <c r="B27" s="16">
        <f>SUM(B23:B26)</f>
        <v>2196289.7599999998</v>
      </c>
      <c r="C27" s="16">
        <f t="shared" ref="C27:E27" si="1">SUM(C23:C26)</f>
        <v>2391723.44</v>
      </c>
      <c r="D27" s="16">
        <f t="shared" si="1"/>
        <v>2143565.0300000003</v>
      </c>
      <c r="E27" s="16">
        <f t="shared" si="1"/>
        <v>2444448.1699999995</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t="s">
        <v>116</v>
      </c>
      <c r="B32" s="32"/>
      <c r="C32" s="8"/>
      <c r="D32" s="1215"/>
      <c r="E32" s="1216"/>
      <c r="F32" s="1216"/>
      <c r="G32" s="1216"/>
      <c r="H32" s="1216"/>
      <c r="I32" s="1217"/>
    </row>
    <row r="33" spans="1:9" s="2" customFormat="1" ht="15" customHeight="1">
      <c r="A33" s="80"/>
      <c r="B33" s="34"/>
      <c r="C33" s="13"/>
      <c r="D33" s="1218"/>
      <c r="E33" s="1219"/>
      <c r="F33" s="1219"/>
      <c r="G33" s="1219"/>
      <c r="H33" s="1219"/>
      <c r="I33" s="1220"/>
    </row>
    <row r="34" spans="1:9" s="2" customFormat="1" ht="15" customHeight="1">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t="s">
        <v>117</v>
      </c>
      <c r="B40" s="32"/>
      <c r="C40" s="8"/>
      <c r="D40" s="1226"/>
      <c r="E40" s="1227"/>
      <c r="F40" s="1227"/>
      <c r="G40" s="1227"/>
      <c r="H40" s="1227"/>
      <c r="I40" s="1228"/>
    </row>
    <row r="41" spans="1:9" s="2" customFormat="1" ht="15" customHeight="1">
      <c r="A41" s="86"/>
      <c r="B41" s="33"/>
      <c r="C41" s="9"/>
      <c r="D41" s="1183"/>
      <c r="E41" s="1229"/>
      <c r="F41" s="1229"/>
      <c r="G41" s="1229"/>
      <c r="H41" s="1229"/>
      <c r="I41" s="1230"/>
    </row>
    <row r="42" spans="1:9" s="2" customFormat="1" ht="15" customHeight="1">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v>19500</v>
      </c>
      <c r="B48" s="36">
        <v>10975</v>
      </c>
      <c r="C48" s="1239" t="s">
        <v>745</v>
      </c>
      <c r="D48" s="1239"/>
      <c r="E48" s="1239"/>
      <c r="F48" s="1239"/>
      <c r="G48" s="1239"/>
      <c r="H48" s="1239"/>
      <c r="I48" s="1240"/>
    </row>
    <row r="49" spans="1:9" s="2" customFormat="1" ht="10.15" customHeight="1">
      <c r="A49" s="71"/>
      <c r="B49" s="33"/>
      <c r="C49" s="1241"/>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A51" s="16">
        <f>A48+A49+A50</f>
        <v>19500</v>
      </c>
      <c r="B51" s="16">
        <f>B48+B49+B50</f>
        <v>10975</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234" t="s">
        <v>259</v>
      </c>
      <c r="B55" s="1235"/>
      <c r="C55" s="56" t="s">
        <v>179</v>
      </c>
      <c r="D55" s="56" t="s">
        <v>118</v>
      </c>
      <c r="E55" s="56" t="s">
        <v>119</v>
      </c>
      <c r="F55" s="56" t="s">
        <v>244</v>
      </c>
      <c r="G55" s="56" t="s">
        <v>180</v>
      </c>
    </row>
    <row r="56" spans="1:9" s="41" customFormat="1" ht="23.45" customHeight="1">
      <c r="A56" s="1488" t="s">
        <v>746</v>
      </c>
      <c r="B56" s="1489"/>
      <c r="C56" s="42" t="s">
        <v>747</v>
      </c>
      <c r="D56" s="43"/>
      <c r="E56" s="44">
        <v>100</v>
      </c>
      <c r="F56" s="45">
        <v>44200</v>
      </c>
      <c r="G56" s="45">
        <v>44200</v>
      </c>
    </row>
    <row r="57" spans="1:9" s="41" customFormat="1" ht="21.95" customHeight="1">
      <c r="A57" s="1486" t="s">
        <v>748</v>
      </c>
      <c r="B57" s="1487"/>
      <c r="C57" s="46" t="s">
        <v>749</v>
      </c>
      <c r="D57" s="47"/>
      <c r="E57" s="48">
        <v>180</v>
      </c>
      <c r="F57" s="49">
        <v>44200</v>
      </c>
      <c r="G57" s="49">
        <v>44200</v>
      </c>
    </row>
    <row r="58" spans="1:9" s="41" customFormat="1" ht="21.95" customHeight="1">
      <c r="A58" s="1486" t="s">
        <v>750</v>
      </c>
      <c r="B58" s="1487"/>
      <c r="C58" s="46" t="s">
        <v>149</v>
      </c>
      <c r="D58" s="47"/>
      <c r="E58" s="48">
        <v>-80</v>
      </c>
      <c r="F58" s="49">
        <v>44200</v>
      </c>
      <c r="G58" s="49">
        <v>44200</v>
      </c>
    </row>
    <row r="59" spans="1:9" s="41" customFormat="1" ht="21.95" customHeight="1">
      <c r="A59" s="1486" t="s">
        <v>751</v>
      </c>
      <c r="B59" s="1487"/>
      <c r="C59" s="46" t="s">
        <v>164</v>
      </c>
      <c r="D59" s="500">
        <v>200</v>
      </c>
      <c r="E59" s="48"/>
      <c r="F59" s="49">
        <v>44200</v>
      </c>
      <c r="G59" s="49">
        <v>44200</v>
      </c>
    </row>
    <row r="60" spans="1:9" s="41" customFormat="1" ht="21.95" customHeight="1">
      <c r="A60" s="1486" t="s">
        <v>752</v>
      </c>
      <c r="B60" s="1487"/>
      <c r="C60" s="46" t="s">
        <v>159</v>
      </c>
      <c r="D60" s="47"/>
      <c r="E60" s="48">
        <v>3000</v>
      </c>
      <c r="F60" s="49">
        <v>44343</v>
      </c>
      <c r="G60" s="49">
        <v>44343</v>
      </c>
    </row>
    <row r="61" spans="1:9" s="41" customFormat="1" ht="21.95" customHeight="1">
      <c r="A61" s="1486" t="s">
        <v>750</v>
      </c>
      <c r="B61" s="1487"/>
      <c r="C61" s="46" t="s">
        <v>149</v>
      </c>
      <c r="D61" s="47"/>
      <c r="E61" s="48">
        <v>-3000</v>
      </c>
      <c r="F61" s="49">
        <v>44343</v>
      </c>
      <c r="G61" s="49">
        <v>44343</v>
      </c>
    </row>
    <row r="62" spans="1:9" s="41" customFormat="1" ht="21.95" customHeight="1">
      <c r="A62" s="1486" t="s">
        <v>753</v>
      </c>
      <c r="B62" s="1487"/>
      <c r="C62" s="46" t="s">
        <v>124</v>
      </c>
      <c r="D62" s="47"/>
      <c r="E62" s="48">
        <v>350</v>
      </c>
      <c r="F62" s="48" t="s">
        <v>754</v>
      </c>
      <c r="G62" s="49">
        <v>44348</v>
      </c>
    </row>
    <row r="63" spans="1:9" s="41" customFormat="1" ht="21.95" customHeight="1">
      <c r="A63" s="1486" t="s">
        <v>755</v>
      </c>
      <c r="B63" s="1487"/>
      <c r="C63" s="46" t="s">
        <v>125</v>
      </c>
      <c r="D63" s="47"/>
      <c r="E63" s="48">
        <v>900</v>
      </c>
      <c r="F63" s="48" t="s">
        <v>754</v>
      </c>
      <c r="G63" s="49">
        <v>44348</v>
      </c>
    </row>
    <row r="64" spans="1:9" s="41" customFormat="1" ht="21.95" customHeight="1">
      <c r="A64" s="1486" t="s">
        <v>756</v>
      </c>
      <c r="B64" s="1487"/>
      <c r="C64" s="46" t="s">
        <v>126</v>
      </c>
      <c r="D64" s="47"/>
      <c r="E64" s="48">
        <v>600</v>
      </c>
      <c r="F64" s="48" t="s">
        <v>754</v>
      </c>
      <c r="G64" s="49">
        <v>44348</v>
      </c>
    </row>
    <row r="65" spans="1:7" s="41" customFormat="1" ht="21.95" customHeight="1">
      <c r="A65" s="1486" t="s">
        <v>750</v>
      </c>
      <c r="B65" s="1487"/>
      <c r="C65" s="46" t="s">
        <v>149</v>
      </c>
      <c r="D65" s="47"/>
      <c r="E65" s="48">
        <v>-1850</v>
      </c>
      <c r="F65" s="49" t="s">
        <v>754</v>
      </c>
      <c r="G65" s="49">
        <v>44348</v>
      </c>
    </row>
    <row r="66" spans="1:7" s="41" customFormat="1" ht="21.95" customHeight="1">
      <c r="A66" s="1486" t="s">
        <v>757</v>
      </c>
      <c r="B66" s="1487"/>
      <c r="C66" s="46" t="s">
        <v>758</v>
      </c>
      <c r="D66" s="47"/>
      <c r="E66" s="48">
        <v>6000</v>
      </c>
      <c r="F66" s="49">
        <v>44377</v>
      </c>
      <c r="G66" s="49">
        <v>44377</v>
      </c>
    </row>
    <row r="67" spans="1:7" s="41" customFormat="1" ht="21.95" customHeight="1">
      <c r="A67" s="1486" t="s">
        <v>750</v>
      </c>
      <c r="B67" s="1487"/>
      <c r="C67" s="46" t="s">
        <v>149</v>
      </c>
      <c r="D67" s="47"/>
      <c r="E67" s="48">
        <v>-4400</v>
      </c>
      <c r="F67" s="49">
        <v>44377</v>
      </c>
      <c r="G67" s="49">
        <v>44377</v>
      </c>
    </row>
    <row r="68" spans="1:7" s="41" customFormat="1" ht="21.95" customHeight="1">
      <c r="A68" s="1486" t="s">
        <v>751</v>
      </c>
      <c r="B68" s="1487"/>
      <c r="C68" s="46" t="s">
        <v>164</v>
      </c>
      <c r="D68" s="500">
        <v>100</v>
      </c>
      <c r="E68" s="48"/>
      <c r="F68" s="49">
        <v>44377</v>
      </c>
      <c r="G68" s="49">
        <v>44377</v>
      </c>
    </row>
    <row r="69" spans="1:7" s="41" customFormat="1" ht="21.95" customHeight="1">
      <c r="A69" s="1486" t="s">
        <v>759</v>
      </c>
      <c r="B69" s="1487"/>
      <c r="C69" s="46" t="s">
        <v>760</v>
      </c>
      <c r="D69" s="500">
        <v>1500</v>
      </c>
      <c r="E69" s="48"/>
      <c r="F69" s="49">
        <v>44377</v>
      </c>
      <c r="G69" s="49">
        <v>44377</v>
      </c>
    </row>
    <row r="70" spans="1:7" s="41" customFormat="1" ht="23.45" customHeight="1">
      <c r="A70" s="1488" t="s">
        <v>333</v>
      </c>
      <c r="B70" s="1489"/>
      <c r="C70" s="42" t="s">
        <v>128</v>
      </c>
      <c r="D70" s="43"/>
      <c r="E70" s="44">
        <v>5825</v>
      </c>
      <c r="F70" s="45">
        <v>44377</v>
      </c>
      <c r="G70" s="45">
        <v>44377</v>
      </c>
    </row>
    <row r="71" spans="1:7" s="41" customFormat="1" ht="21.95" customHeight="1">
      <c r="A71" s="1486" t="s">
        <v>334</v>
      </c>
      <c r="B71" s="1487"/>
      <c r="C71" s="46" t="s">
        <v>133</v>
      </c>
      <c r="D71" s="500">
        <v>5825</v>
      </c>
      <c r="E71" s="48"/>
      <c r="F71" s="49">
        <v>44377</v>
      </c>
      <c r="G71" s="49">
        <v>44377</v>
      </c>
    </row>
    <row r="72" spans="1:7" s="41" customFormat="1" ht="21.95" customHeight="1">
      <c r="A72" s="1486" t="s">
        <v>331</v>
      </c>
      <c r="B72" s="1487"/>
      <c r="C72" s="46" t="s">
        <v>139</v>
      </c>
      <c r="D72" s="47"/>
      <c r="E72" s="48">
        <v>29000</v>
      </c>
      <c r="F72" s="48" t="s">
        <v>761</v>
      </c>
      <c r="G72" s="49">
        <v>44377</v>
      </c>
    </row>
    <row r="73" spans="1:7" s="41" customFormat="1" ht="21.95" customHeight="1">
      <c r="A73" s="1486" t="s">
        <v>332</v>
      </c>
      <c r="B73" s="1487"/>
      <c r="C73" s="46" t="s">
        <v>138</v>
      </c>
      <c r="D73" s="500">
        <v>29000</v>
      </c>
      <c r="E73" s="48"/>
      <c r="F73" s="48" t="s">
        <v>761</v>
      </c>
      <c r="G73" s="49">
        <v>44377</v>
      </c>
    </row>
    <row r="74" spans="1:7" s="41" customFormat="1" ht="21.95" customHeight="1">
      <c r="A74" s="1486" t="s">
        <v>762</v>
      </c>
      <c r="B74" s="1487"/>
      <c r="C74" s="46" t="s">
        <v>130</v>
      </c>
      <c r="D74" s="47"/>
      <c r="E74" s="48">
        <v>14390</v>
      </c>
      <c r="F74" s="49" t="s">
        <v>763</v>
      </c>
      <c r="G74" s="49">
        <v>44377</v>
      </c>
    </row>
    <row r="75" spans="1:7" s="41" customFormat="1" ht="21.95" customHeight="1">
      <c r="A75" s="1486" t="s">
        <v>762</v>
      </c>
      <c r="B75" s="1487"/>
      <c r="C75" s="46" t="s">
        <v>173</v>
      </c>
      <c r="D75" s="47"/>
      <c r="E75" s="48">
        <v>85610</v>
      </c>
      <c r="F75" s="49" t="s">
        <v>763</v>
      </c>
      <c r="G75" s="49">
        <v>44377</v>
      </c>
    </row>
    <row r="76" spans="1:7" s="41" customFormat="1" ht="21.95" customHeight="1">
      <c r="A76" s="1486" t="s">
        <v>764</v>
      </c>
      <c r="B76" s="1487"/>
      <c r="C76" s="46" t="s">
        <v>136</v>
      </c>
      <c r="D76" s="500">
        <v>100000</v>
      </c>
      <c r="E76" s="48"/>
      <c r="F76" s="48" t="s">
        <v>765</v>
      </c>
      <c r="G76" s="49">
        <v>44377</v>
      </c>
    </row>
    <row r="77" spans="1:7" s="41" customFormat="1" ht="21.95" customHeight="1">
      <c r="A77" s="1486" t="s">
        <v>148</v>
      </c>
      <c r="B77" s="1487"/>
      <c r="C77" s="46" t="s">
        <v>120</v>
      </c>
      <c r="D77" s="47"/>
      <c r="E77" s="48">
        <v>4800</v>
      </c>
      <c r="F77" s="49" t="s">
        <v>766</v>
      </c>
      <c r="G77" s="49">
        <v>44412</v>
      </c>
    </row>
    <row r="78" spans="1:7" s="41" customFormat="1" ht="21.95" customHeight="1">
      <c r="A78" s="1486" t="s">
        <v>146</v>
      </c>
      <c r="B78" s="1487"/>
      <c r="C78" s="46" t="s">
        <v>147</v>
      </c>
      <c r="D78" s="500">
        <v>4800</v>
      </c>
      <c r="E78" s="48"/>
      <c r="F78" s="49" t="s">
        <v>767</v>
      </c>
      <c r="G78" s="49">
        <v>44412</v>
      </c>
    </row>
    <row r="79" spans="1:7" s="41" customFormat="1" ht="21">
      <c r="A79" s="1488" t="s">
        <v>768</v>
      </c>
      <c r="B79" s="1490"/>
      <c r="C79" s="42" t="s">
        <v>137</v>
      </c>
      <c r="D79" s="43"/>
      <c r="E79" s="44">
        <v>220000</v>
      </c>
      <c r="F79" s="44" t="s">
        <v>769</v>
      </c>
      <c r="G79" s="45">
        <v>44438</v>
      </c>
    </row>
    <row r="80" spans="1:7" s="41" customFormat="1" ht="21.95" customHeight="1">
      <c r="A80" s="1486" t="s">
        <v>770</v>
      </c>
      <c r="B80" s="1487"/>
      <c r="C80" s="46" t="s">
        <v>136</v>
      </c>
      <c r="D80" s="500">
        <v>220000</v>
      </c>
      <c r="E80" s="48"/>
      <c r="F80" s="48" t="s">
        <v>769</v>
      </c>
      <c r="G80" s="49">
        <v>44438</v>
      </c>
    </row>
    <row r="81" spans="1:7" s="41" customFormat="1" ht="21">
      <c r="A81" s="1488" t="s">
        <v>771</v>
      </c>
      <c r="B81" s="1490"/>
      <c r="C81" s="42" t="s">
        <v>137</v>
      </c>
      <c r="D81" s="43"/>
      <c r="E81" s="44">
        <v>401380</v>
      </c>
      <c r="F81" s="44" t="s">
        <v>772</v>
      </c>
      <c r="G81" s="45">
        <v>44476</v>
      </c>
    </row>
    <row r="82" spans="1:7" s="41" customFormat="1" ht="21.95" customHeight="1">
      <c r="A82" s="1486" t="s">
        <v>773</v>
      </c>
      <c r="B82" s="1487"/>
      <c r="C82" s="46" t="s">
        <v>136</v>
      </c>
      <c r="D82" s="500">
        <v>401380</v>
      </c>
      <c r="E82" s="48"/>
      <c r="F82" s="48" t="s">
        <v>772</v>
      </c>
      <c r="G82" s="49">
        <v>44476</v>
      </c>
    </row>
    <row r="83" spans="1:7" s="41" customFormat="1" ht="21">
      <c r="A83" s="1488" t="s">
        <v>774</v>
      </c>
      <c r="B83" s="1490"/>
      <c r="C83" s="42" t="s">
        <v>130</v>
      </c>
      <c r="D83" s="43"/>
      <c r="E83" s="44">
        <v>11710</v>
      </c>
      <c r="F83" s="44" t="s">
        <v>775</v>
      </c>
      <c r="G83" s="45">
        <v>44510</v>
      </c>
    </row>
    <row r="84" spans="1:7" s="41" customFormat="1" ht="21">
      <c r="A84" s="1488" t="s">
        <v>776</v>
      </c>
      <c r="B84" s="1490"/>
      <c r="C84" s="42" t="s">
        <v>132</v>
      </c>
      <c r="D84" s="43"/>
      <c r="E84" s="44">
        <v>37290</v>
      </c>
      <c r="F84" s="44" t="s">
        <v>775</v>
      </c>
      <c r="G84" s="45">
        <v>44510</v>
      </c>
    </row>
    <row r="85" spans="1:7" s="41" customFormat="1" ht="21.95" customHeight="1">
      <c r="A85" s="1486" t="s">
        <v>777</v>
      </c>
      <c r="B85" s="1487"/>
      <c r="C85" s="46" t="s">
        <v>136</v>
      </c>
      <c r="D85" s="500">
        <v>49000</v>
      </c>
      <c r="E85" s="48"/>
      <c r="F85" s="48" t="s">
        <v>772</v>
      </c>
      <c r="G85" s="49">
        <v>44476</v>
      </c>
    </row>
    <row r="86" spans="1:7" s="41" customFormat="1" ht="21.95" customHeight="1">
      <c r="A86" s="1486" t="s">
        <v>778</v>
      </c>
      <c r="B86" s="1487"/>
      <c r="C86" s="46" t="s">
        <v>141</v>
      </c>
      <c r="D86" s="47"/>
      <c r="E86" s="48">
        <v>3108</v>
      </c>
      <c r="F86" s="49" t="s">
        <v>779</v>
      </c>
      <c r="G86" s="49">
        <v>44547</v>
      </c>
    </row>
    <row r="87" spans="1:7" s="41" customFormat="1" ht="21.95" customHeight="1">
      <c r="A87" s="1486" t="s">
        <v>780</v>
      </c>
      <c r="B87" s="1487"/>
      <c r="C87" s="46" t="s">
        <v>142</v>
      </c>
      <c r="D87" s="47"/>
      <c r="E87" s="48">
        <v>-2764</v>
      </c>
      <c r="F87" s="49" t="s">
        <v>779</v>
      </c>
      <c r="G87" s="49">
        <v>44547</v>
      </c>
    </row>
    <row r="88" spans="1:7" s="41" customFormat="1" ht="21.95" customHeight="1">
      <c r="A88" s="1486" t="s">
        <v>781</v>
      </c>
      <c r="B88" s="1487"/>
      <c r="C88" s="46" t="s">
        <v>131</v>
      </c>
      <c r="D88" s="47"/>
      <c r="E88" s="48">
        <v>-15821.6</v>
      </c>
      <c r="F88" s="49" t="s">
        <v>779</v>
      </c>
      <c r="G88" s="49">
        <v>44547</v>
      </c>
    </row>
    <row r="89" spans="1:7" s="41" customFormat="1" ht="21.95" customHeight="1">
      <c r="A89" s="1486" t="s">
        <v>782</v>
      </c>
      <c r="B89" s="1487"/>
      <c r="C89" s="46" t="s">
        <v>120</v>
      </c>
      <c r="D89" s="47"/>
      <c r="E89" s="48">
        <v>2000</v>
      </c>
      <c r="F89" s="49" t="s">
        <v>779</v>
      </c>
      <c r="G89" s="49">
        <v>44547</v>
      </c>
    </row>
    <row r="90" spans="1:7" s="41" customFormat="1" ht="21.95" customHeight="1">
      <c r="A90" s="1486" t="s">
        <v>783</v>
      </c>
      <c r="B90" s="1487"/>
      <c r="C90" s="46" t="s">
        <v>121</v>
      </c>
      <c r="D90" s="47"/>
      <c r="E90" s="48">
        <v>634.6</v>
      </c>
      <c r="F90" s="49" t="s">
        <v>779</v>
      </c>
      <c r="G90" s="49">
        <v>44547</v>
      </c>
    </row>
    <row r="91" spans="1:7" s="41" customFormat="1" ht="21.95" customHeight="1">
      <c r="A91" s="1486" t="s">
        <v>784</v>
      </c>
      <c r="B91" s="1487"/>
      <c r="C91" s="46" t="s">
        <v>153</v>
      </c>
      <c r="D91" s="47"/>
      <c r="E91" s="48">
        <v>1190.4000000000001</v>
      </c>
      <c r="F91" s="49" t="s">
        <v>779</v>
      </c>
      <c r="G91" s="49">
        <v>44547</v>
      </c>
    </row>
    <row r="92" spans="1:7" s="41" customFormat="1" ht="21.95" customHeight="1">
      <c r="A92" s="1486" t="s">
        <v>785</v>
      </c>
      <c r="B92" s="1487"/>
      <c r="C92" s="46" t="s">
        <v>122</v>
      </c>
      <c r="D92" s="47"/>
      <c r="E92" s="48">
        <v>243</v>
      </c>
      <c r="F92" s="49" t="s">
        <v>779</v>
      </c>
      <c r="G92" s="49">
        <v>44547</v>
      </c>
    </row>
    <row r="93" spans="1:7" s="41" customFormat="1" ht="21.95" customHeight="1">
      <c r="A93" s="1486" t="s">
        <v>786</v>
      </c>
      <c r="B93" s="1487"/>
      <c r="C93" s="46" t="s">
        <v>154</v>
      </c>
      <c r="D93" s="47"/>
      <c r="E93" s="48">
        <v>432</v>
      </c>
      <c r="F93" s="49" t="s">
        <v>779</v>
      </c>
      <c r="G93" s="49">
        <v>44547</v>
      </c>
    </row>
    <row r="94" spans="1:7" s="41" customFormat="1" ht="21.95" customHeight="1">
      <c r="A94" s="1486" t="s">
        <v>787</v>
      </c>
      <c r="B94" s="1487"/>
      <c r="C94" s="46" t="s">
        <v>123</v>
      </c>
      <c r="D94" s="47"/>
      <c r="E94" s="48">
        <v>10</v>
      </c>
      <c r="F94" s="49" t="s">
        <v>779</v>
      </c>
      <c r="G94" s="49">
        <v>44547</v>
      </c>
    </row>
    <row r="95" spans="1:7" s="41" customFormat="1" ht="21.95" customHeight="1">
      <c r="A95" s="1486" t="s">
        <v>788</v>
      </c>
      <c r="B95" s="1487"/>
      <c r="C95" s="46" t="s">
        <v>124</v>
      </c>
      <c r="D95" s="47"/>
      <c r="E95" s="48">
        <v>90</v>
      </c>
      <c r="F95" s="49" t="s">
        <v>779</v>
      </c>
      <c r="G95" s="49">
        <v>44547</v>
      </c>
    </row>
    <row r="96" spans="1:7" s="41" customFormat="1" ht="21.95" customHeight="1">
      <c r="A96" s="1486" t="s">
        <v>789</v>
      </c>
      <c r="B96" s="1487"/>
      <c r="C96" s="46" t="s">
        <v>125</v>
      </c>
      <c r="D96" s="47"/>
      <c r="E96" s="48">
        <v>1200</v>
      </c>
      <c r="F96" s="49" t="s">
        <v>779</v>
      </c>
      <c r="G96" s="49">
        <v>44547</v>
      </c>
    </row>
    <row r="97" spans="1:7" s="41" customFormat="1" ht="21.95" customHeight="1">
      <c r="A97" s="1486" t="s">
        <v>790</v>
      </c>
      <c r="B97" s="1487"/>
      <c r="C97" s="46" t="s">
        <v>249</v>
      </c>
      <c r="D97" s="47"/>
      <c r="E97" s="48">
        <v>11300</v>
      </c>
      <c r="F97" s="49" t="s">
        <v>779</v>
      </c>
      <c r="G97" s="49">
        <v>44547</v>
      </c>
    </row>
    <row r="98" spans="1:7" s="41" customFormat="1" ht="21.95" customHeight="1">
      <c r="A98" s="1486" t="s">
        <v>791</v>
      </c>
      <c r="B98" s="1487"/>
      <c r="C98" s="46" t="s">
        <v>792</v>
      </c>
      <c r="D98" s="500">
        <v>1622.4</v>
      </c>
      <c r="E98" s="48"/>
      <c r="F98" s="49" t="s">
        <v>779</v>
      </c>
      <c r="G98" s="49">
        <v>44547</v>
      </c>
    </row>
    <row r="99" spans="1:7" s="41" customFormat="1" ht="21.95" customHeight="1">
      <c r="A99" s="1486" t="s">
        <v>793</v>
      </c>
      <c r="B99" s="1487"/>
      <c r="C99" s="46" t="s">
        <v>152</v>
      </c>
      <c r="D99" s="47"/>
      <c r="E99" s="48">
        <v>45000</v>
      </c>
      <c r="F99" s="49">
        <v>44561</v>
      </c>
      <c r="G99" s="49">
        <v>44561</v>
      </c>
    </row>
    <row r="100" spans="1:7" s="41" customFormat="1" ht="21.95" customHeight="1">
      <c r="A100" s="1486" t="s">
        <v>794</v>
      </c>
      <c r="B100" s="1487"/>
      <c r="C100" s="46" t="s">
        <v>151</v>
      </c>
      <c r="D100" s="47"/>
      <c r="E100" s="48">
        <v>48000</v>
      </c>
      <c r="F100" s="49">
        <v>44561</v>
      </c>
      <c r="G100" s="49">
        <v>44561</v>
      </c>
    </row>
    <row r="101" spans="1:7" s="41" customFormat="1" ht="21.95" customHeight="1">
      <c r="A101" s="1486" t="s">
        <v>795</v>
      </c>
      <c r="B101" s="1487"/>
      <c r="C101" s="46" t="s">
        <v>132</v>
      </c>
      <c r="D101" s="47"/>
      <c r="E101" s="48">
        <v>45000</v>
      </c>
      <c r="F101" s="49">
        <v>44561</v>
      </c>
      <c r="G101" s="49">
        <v>44561</v>
      </c>
    </row>
    <row r="102" spans="1:7" s="41" customFormat="1" ht="21.95" customHeight="1">
      <c r="A102" s="1486" t="s">
        <v>796</v>
      </c>
      <c r="B102" s="1487"/>
      <c r="C102" s="46" t="s">
        <v>151</v>
      </c>
      <c r="D102" s="47"/>
      <c r="E102" s="48">
        <v>-138000</v>
      </c>
      <c r="F102" s="49">
        <v>44561</v>
      </c>
      <c r="G102" s="49">
        <v>44561</v>
      </c>
    </row>
    <row r="103" spans="1:7" s="41" customFormat="1" ht="23.45" customHeight="1">
      <c r="A103" s="1488" t="s">
        <v>333</v>
      </c>
      <c r="B103" s="1489"/>
      <c r="C103" s="42" t="s">
        <v>128</v>
      </c>
      <c r="D103" s="43"/>
      <c r="E103" s="44">
        <v>5150</v>
      </c>
      <c r="F103" s="45">
        <v>44561</v>
      </c>
      <c r="G103" s="45">
        <v>44561</v>
      </c>
    </row>
    <row r="104" spans="1:7" s="41" customFormat="1" ht="21.95" customHeight="1">
      <c r="A104" s="1486" t="s">
        <v>334</v>
      </c>
      <c r="B104" s="1487"/>
      <c r="C104" s="46" t="s">
        <v>133</v>
      </c>
      <c r="D104" s="500">
        <v>5150</v>
      </c>
      <c r="E104" s="48"/>
      <c r="F104" s="49">
        <v>44561</v>
      </c>
      <c r="G104" s="49">
        <v>44561</v>
      </c>
    </row>
    <row r="105" spans="1:7" s="41" customFormat="1" ht="21.95" customHeight="1">
      <c r="A105" s="1486" t="s">
        <v>797</v>
      </c>
      <c r="B105" s="1487"/>
      <c r="C105" s="46" t="s">
        <v>798</v>
      </c>
      <c r="D105" s="47"/>
      <c r="E105" s="48">
        <v>-12000</v>
      </c>
      <c r="F105" s="49">
        <v>44561</v>
      </c>
      <c r="G105" s="49">
        <v>44561</v>
      </c>
    </row>
    <row r="106" spans="1:7" s="41" customFormat="1" ht="21.95" customHeight="1">
      <c r="A106" s="1486" t="s">
        <v>799</v>
      </c>
      <c r="B106" s="1487"/>
      <c r="C106" s="46" t="s">
        <v>155</v>
      </c>
      <c r="D106" s="47"/>
      <c r="E106" s="48">
        <v>13900</v>
      </c>
      <c r="F106" s="49">
        <v>44561</v>
      </c>
      <c r="G106" s="49">
        <v>44561</v>
      </c>
    </row>
    <row r="107" spans="1:7" s="41" customFormat="1" ht="21.95" customHeight="1">
      <c r="A107" s="1486" t="s">
        <v>800</v>
      </c>
      <c r="B107" s="1487"/>
      <c r="C107" s="46" t="s">
        <v>156</v>
      </c>
      <c r="D107" s="47"/>
      <c r="E107" s="48">
        <v>600</v>
      </c>
      <c r="F107" s="49">
        <v>44561</v>
      </c>
      <c r="G107" s="49">
        <v>44561</v>
      </c>
    </row>
    <row r="108" spans="1:7" s="41" customFormat="1" ht="21.95" customHeight="1">
      <c r="A108" s="1486" t="s">
        <v>801</v>
      </c>
      <c r="B108" s="1487"/>
      <c r="C108" s="46" t="s">
        <v>157</v>
      </c>
      <c r="D108" s="47"/>
      <c r="E108" s="48">
        <v>25400</v>
      </c>
      <c r="F108" s="49">
        <v>44561</v>
      </c>
      <c r="G108" s="49">
        <v>44561</v>
      </c>
    </row>
    <row r="109" spans="1:7" s="41" customFormat="1" ht="21.95" customHeight="1">
      <c r="A109" s="1486" t="s">
        <v>802</v>
      </c>
      <c r="B109" s="1487"/>
      <c r="C109" s="46" t="s">
        <v>803</v>
      </c>
      <c r="D109" s="47"/>
      <c r="E109" s="48">
        <v>-10000</v>
      </c>
      <c r="F109" s="49">
        <v>44561</v>
      </c>
      <c r="G109" s="49">
        <v>44561</v>
      </c>
    </row>
    <row r="110" spans="1:7" s="41" customFormat="1" ht="21.95" customHeight="1">
      <c r="A110" s="1486" t="s">
        <v>804</v>
      </c>
      <c r="B110" s="1487"/>
      <c r="C110" s="46" t="s">
        <v>440</v>
      </c>
      <c r="D110" s="47"/>
      <c r="E110" s="48">
        <v>800</v>
      </c>
      <c r="F110" s="49">
        <v>44561</v>
      </c>
      <c r="G110" s="49">
        <v>44561</v>
      </c>
    </row>
    <row r="111" spans="1:7" s="41" customFormat="1" ht="21.95" customHeight="1">
      <c r="A111" s="1486" t="s">
        <v>805</v>
      </c>
      <c r="B111" s="1487"/>
      <c r="C111" s="46" t="s">
        <v>130</v>
      </c>
      <c r="D111" s="47"/>
      <c r="E111" s="48">
        <v>25100</v>
      </c>
      <c r="F111" s="49">
        <v>44561</v>
      </c>
      <c r="G111" s="49">
        <v>44561</v>
      </c>
    </row>
    <row r="112" spans="1:7" s="41" customFormat="1" ht="21.95" customHeight="1">
      <c r="A112" s="1486" t="s">
        <v>806</v>
      </c>
      <c r="B112" s="1487"/>
      <c r="C112" s="46" t="s">
        <v>159</v>
      </c>
      <c r="D112" s="47"/>
      <c r="E112" s="48">
        <v>1400</v>
      </c>
      <c r="F112" s="49">
        <v>44561</v>
      </c>
      <c r="G112" s="49">
        <v>44561</v>
      </c>
    </row>
    <row r="113" spans="1:7" s="41" customFormat="1" ht="21.95" customHeight="1">
      <c r="A113" s="1486" t="s">
        <v>807</v>
      </c>
      <c r="B113" s="1487"/>
      <c r="C113" s="46" t="s">
        <v>145</v>
      </c>
      <c r="D113" s="47"/>
      <c r="E113" s="48">
        <v>-3200</v>
      </c>
      <c r="F113" s="49">
        <v>44561</v>
      </c>
      <c r="G113" s="49">
        <v>44561</v>
      </c>
    </row>
    <row r="114" spans="1:7" s="41" customFormat="1" ht="21.95" customHeight="1">
      <c r="A114" s="1486" t="s">
        <v>808</v>
      </c>
      <c r="B114" s="1487"/>
      <c r="C114" s="46" t="s">
        <v>137</v>
      </c>
      <c r="D114" s="47"/>
      <c r="E114" s="48">
        <v>-249000</v>
      </c>
      <c r="F114" s="49">
        <v>44561</v>
      </c>
      <c r="G114" s="49">
        <v>44561</v>
      </c>
    </row>
    <row r="115" spans="1:7" s="41" customFormat="1" ht="21.95" customHeight="1">
      <c r="A115" s="1486" t="s">
        <v>809</v>
      </c>
      <c r="B115" s="1487"/>
      <c r="C115" s="46" t="s">
        <v>810</v>
      </c>
      <c r="D115" s="47"/>
      <c r="E115" s="48">
        <v>8400</v>
      </c>
      <c r="F115" s="49">
        <v>44561</v>
      </c>
      <c r="G115" s="49">
        <v>44561</v>
      </c>
    </row>
    <row r="116" spans="1:7" s="41" customFormat="1" ht="21.95" customHeight="1">
      <c r="A116" s="1486" t="s">
        <v>811</v>
      </c>
      <c r="B116" s="1487"/>
      <c r="C116" s="46" t="s">
        <v>812</v>
      </c>
      <c r="D116" s="47"/>
      <c r="E116" s="48">
        <v>1200</v>
      </c>
      <c r="F116" s="49">
        <v>44561</v>
      </c>
      <c r="G116" s="49">
        <v>44561</v>
      </c>
    </row>
    <row r="117" spans="1:7" s="41" customFormat="1" ht="21.95" customHeight="1">
      <c r="A117" s="1486" t="s">
        <v>813</v>
      </c>
      <c r="B117" s="1487"/>
      <c r="C117" s="46" t="s">
        <v>149</v>
      </c>
      <c r="D117" s="47"/>
      <c r="E117" s="48">
        <v>-11000</v>
      </c>
      <c r="F117" s="49">
        <v>44561</v>
      </c>
      <c r="G117" s="49">
        <v>44561</v>
      </c>
    </row>
    <row r="118" spans="1:7" s="41" customFormat="1" ht="21.95" customHeight="1">
      <c r="A118" s="1486" t="s">
        <v>814</v>
      </c>
      <c r="B118" s="1487"/>
      <c r="C118" s="46" t="s">
        <v>161</v>
      </c>
      <c r="D118" s="47"/>
      <c r="E118" s="48">
        <v>-23000</v>
      </c>
      <c r="F118" s="49">
        <v>44561</v>
      </c>
      <c r="G118" s="49">
        <v>44561</v>
      </c>
    </row>
    <row r="119" spans="1:7" s="41" customFormat="1" ht="21.95" customHeight="1">
      <c r="A119" s="1486" t="s">
        <v>815</v>
      </c>
      <c r="B119" s="1487"/>
      <c r="C119" s="46" t="s">
        <v>162</v>
      </c>
      <c r="D119" s="47"/>
      <c r="E119" s="501">
        <v>48300</v>
      </c>
      <c r="F119" s="49">
        <v>44561</v>
      </c>
      <c r="G119" s="49">
        <v>44561</v>
      </c>
    </row>
    <row r="120" spans="1:7" s="41" customFormat="1" ht="21.95" customHeight="1">
      <c r="A120" s="1486" t="s">
        <v>816</v>
      </c>
      <c r="B120" s="1487"/>
      <c r="C120" s="46" t="s">
        <v>817</v>
      </c>
      <c r="D120" s="47"/>
      <c r="E120" s="48">
        <v>-13000</v>
      </c>
      <c r="F120" s="49">
        <v>44561</v>
      </c>
      <c r="G120" s="49">
        <v>44561</v>
      </c>
    </row>
    <row r="121" spans="1:7" s="41" customFormat="1" ht="21.95" customHeight="1">
      <c r="A121" s="1486" t="s">
        <v>818</v>
      </c>
      <c r="B121" s="1487"/>
      <c r="C121" s="46" t="s">
        <v>819</v>
      </c>
      <c r="D121" s="47"/>
      <c r="E121" s="48">
        <v>-18000</v>
      </c>
      <c r="F121" s="49">
        <v>44561</v>
      </c>
      <c r="G121" s="49">
        <v>44561</v>
      </c>
    </row>
    <row r="122" spans="1:7" s="41" customFormat="1" ht="21.95" customHeight="1">
      <c r="A122" s="1486" t="s">
        <v>820</v>
      </c>
      <c r="B122" s="1487"/>
      <c r="C122" s="46" t="s">
        <v>129</v>
      </c>
      <c r="D122" s="47"/>
      <c r="E122" s="501">
        <v>2600</v>
      </c>
      <c r="F122" s="49">
        <v>44561</v>
      </c>
      <c r="G122" s="49">
        <v>44561</v>
      </c>
    </row>
    <row r="123" spans="1:7" s="41" customFormat="1" ht="21.95" customHeight="1">
      <c r="A123" s="1486" t="s">
        <v>821</v>
      </c>
      <c r="B123" s="1487"/>
      <c r="C123" s="46" t="s">
        <v>132</v>
      </c>
      <c r="D123" s="47"/>
      <c r="E123" s="501">
        <v>151300</v>
      </c>
      <c r="F123" s="49">
        <v>44561</v>
      </c>
      <c r="G123" s="49">
        <v>44561</v>
      </c>
    </row>
    <row r="124" spans="1:7" s="41" customFormat="1" ht="21.95" customHeight="1">
      <c r="A124" s="1486" t="s">
        <v>822</v>
      </c>
      <c r="B124" s="1487"/>
      <c r="C124" s="46" t="s">
        <v>173</v>
      </c>
      <c r="D124" s="47"/>
      <c r="E124" s="501">
        <v>61700</v>
      </c>
      <c r="F124" s="49">
        <v>44561</v>
      </c>
      <c r="G124" s="49">
        <v>44561</v>
      </c>
    </row>
    <row r="125" spans="1:7" s="41" customFormat="1" ht="21.95" customHeight="1">
      <c r="A125" s="1486" t="s">
        <v>823</v>
      </c>
      <c r="B125" s="1487"/>
      <c r="C125" s="46" t="s">
        <v>824</v>
      </c>
      <c r="D125" s="500">
        <v>200</v>
      </c>
      <c r="E125" s="48"/>
      <c r="F125" s="49">
        <v>44561</v>
      </c>
      <c r="G125" s="49">
        <v>44561</v>
      </c>
    </row>
    <row r="126" spans="1:7" s="41" customFormat="1" ht="21.95" customHeight="1">
      <c r="A126" s="1486" t="s">
        <v>825</v>
      </c>
      <c r="B126" s="1487"/>
      <c r="C126" s="46" t="s">
        <v>359</v>
      </c>
      <c r="D126" s="500">
        <v>400</v>
      </c>
      <c r="E126" s="48"/>
      <c r="F126" s="49">
        <v>44561</v>
      </c>
      <c r="G126" s="49">
        <v>44561</v>
      </c>
    </row>
    <row r="127" spans="1:7" s="41" customFormat="1" ht="21.95" customHeight="1">
      <c r="A127" s="1486" t="s">
        <v>336</v>
      </c>
      <c r="B127" s="1487"/>
      <c r="C127" s="46" t="s">
        <v>165</v>
      </c>
      <c r="D127" s="500">
        <v>900</v>
      </c>
      <c r="E127" s="48"/>
      <c r="F127" s="49">
        <v>44561</v>
      </c>
      <c r="G127" s="49">
        <v>44561</v>
      </c>
    </row>
    <row r="128" spans="1:7" s="41" customFormat="1" ht="21.95" customHeight="1">
      <c r="A128" s="1486" t="s">
        <v>807</v>
      </c>
      <c r="B128" s="1487"/>
      <c r="C128" s="46" t="s">
        <v>826</v>
      </c>
      <c r="D128" s="47"/>
      <c r="E128" s="48">
        <v>-2100</v>
      </c>
      <c r="F128" s="49">
        <v>44561</v>
      </c>
      <c r="G128" s="49">
        <v>44561</v>
      </c>
    </row>
    <row r="129" spans="1:9" s="41" customFormat="1" ht="21.95" customHeight="1">
      <c r="A129" s="1486" t="s">
        <v>827</v>
      </c>
      <c r="B129" s="1487"/>
      <c r="C129" s="46" t="s">
        <v>337</v>
      </c>
      <c r="D129" s="47"/>
      <c r="E129" s="501">
        <v>3300</v>
      </c>
      <c r="F129" s="49">
        <v>44561</v>
      </c>
      <c r="G129" s="49">
        <v>44561</v>
      </c>
    </row>
    <row r="130" spans="1:9" s="41" customFormat="1" ht="21.95" customHeight="1">
      <c r="A130" s="1486" t="s">
        <v>828</v>
      </c>
      <c r="B130" s="1487"/>
      <c r="C130" s="46" t="s">
        <v>166</v>
      </c>
      <c r="D130" s="500">
        <v>900</v>
      </c>
      <c r="E130" s="48"/>
      <c r="F130" s="49">
        <v>44561</v>
      </c>
      <c r="G130" s="49">
        <v>44561</v>
      </c>
    </row>
    <row r="131" spans="1:9" s="41" customFormat="1" ht="21.95" customHeight="1">
      <c r="A131" s="1486" t="s">
        <v>829</v>
      </c>
      <c r="B131" s="1487"/>
      <c r="C131" s="46" t="s">
        <v>167</v>
      </c>
      <c r="D131" s="500">
        <v>300</v>
      </c>
      <c r="E131" s="48"/>
      <c r="F131" s="49">
        <v>44561</v>
      </c>
      <c r="G131" s="49">
        <v>44561</v>
      </c>
    </row>
    <row r="132" spans="1:9" s="2" customFormat="1" ht="10.15" customHeight="1">
      <c r="A132" s="1254" t="s">
        <v>458</v>
      </c>
      <c r="B132" s="1255"/>
      <c r="C132" s="92"/>
      <c r="D132" s="93">
        <f>SUM(D56:D131)</f>
        <v>821277.4</v>
      </c>
      <c r="E132" s="93">
        <f>SUM(E56:E131)</f>
        <v>821277.4</v>
      </c>
      <c r="F132" s="1256"/>
      <c r="G132" s="1257"/>
    </row>
    <row r="133" spans="1:9" s="2" customFormat="1" ht="11.25">
      <c r="A133" s="76"/>
      <c r="B133" s="76"/>
      <c r="C133" s="37"/>
      <c r="D133" s="37"/>
      <c r="E133" s="38"/>
    </row>
    <row r="134" spans="1:9" s="2" customFormat="1" ht="11.25">
      <c r="A134" s="1261" t="s">
        <v>459</v>
      </c>
      <c r="B134" s="1261"/>
      <c r="C134" s="1261"/>
      <c r="D134" s="1261"/>
      <c r="E134" s="1261"/>
      <c r="F134" s="1261"/>
      <c r="G134" s="1261"/>
      <c r="H134" s="1261"/>
      <c r="I134" s="1261"/>
    </row>
    <row r="135" spans="1:9" s="2" customFormat="1" ht="11.25">
      <c r="A135" s="2" t="s">
        <v>90</v>
      </c>
    </row>
    <row r="136" spans="1:9" s="2" customFormat="1" ht="11.25">
      <c r="A136" s="1258" t="s">
        <v>168</v>
      </c>
      <c r="B136" s="1259"/>
      <c r="C136" s="1259"/>
      <c r="D136" s="1259"/>
      <c r="E136" s="1259"/>
      <c r="F136" s="1259"/>
      <c r="G136" s="1259"/>
      <c r="H136" s="1259"/>
      <c r="I136" s="1260"/>
    </row>
    <row r="137" spans="1:9" s="2" customFormat="1" ht="11.25">
      <c r="A137" s="1258"/>
      <c r="B137" s="1259"/>
      <c r="C137" s="1259"/>
      <c r="D137" s="1259"/>
      <c r="E137" s="1259"/>
      <c r="F137" s="1259"/>
      <c r="G137" s="1259"/>
      <c r="H137" s="1259"/>
      <c r="I137" s="1260"/>
    </row>
    <row r="138" spans="1:9" s="2" customFormat="1" ht="0.75" customHeight="1">
      <c r="A138" s="1258"/>
      <c r="B138" s="1259"/>
      <c r="C138" s="1259"/>
      <c r="D138" s="1259"/>
      <c r="E138" s="1259"/>
      <c r="F138" s="1259"/>
      <c r="G138" s="1259"/>
      <c r="H138" s="1259"/>
      <c r="I138" s="1260"/>
    </row>
    <row r="139" spans="1:9" s="2" customFormat="1" ht="11.25" hidden="1"/>
    <row r="140" spans="1:9" s="281" customFormat="1" ht="10.5">
      <c r="A140" s="1189" t="s">
        <v>461</v>
      </c>
      <c r="B140" s="1189"/>
      <c r="C140" s="1189"/>
      <c r="D140" s="1189"/>
      <c r="E140" s="1189"/>
      <c r="F140" s="1189"/>
      <c r="G140" s="1189"/>
      <c r="H140" s="1189"/>
      <c r="I140" s="1189"/>
    </row>
    <row r="141" spans="1:9" s="2" customFormat="1" ht="11.25">
      <c r="A141" s="2" t="s">
        <v>90</v>
      </c>
    </row>
    <row r="142" spans="1:9" s="2" customFormat="1" ht="55.5" customHeight="1">
      <c r="A142" s="1258" t="s">
        <v>830</v>
      </c>
      <c r="B142" s="1259"/>
      <c r="C142" s="1259"/>
      <c r="D142" s="1259"/>
      <c r="E142" s="1259"/>
      <c r="F142" s="1259"/>
      <c r="G142" s="1259"/>
      <c r="H142" s="1259"/>
      <c r="I142" s="1260"/>
    </row>
    <row r="143" spans="1:9" s="2" customFormat="1" ht="16.149999999999999" customHeight="1">
      <c r="A143" s="1258"/>
      <c r="B143" s="1259"/>
      <c r="C143" s="1259"/>
      <c r="D143" s="1259"/>
      <c r="E143" s="1259"/>
      <c r="F143" s="1259"/>
      <c r="G143" s="1259"/>
      <c r="H143" s="1259"/>
      <c r="I143" s="1260"/>
    </row>
    <row r="144" spans="1:9" s="2" customFormat="1" ht="16.149999999999999" customHeight="1">
      <c r="A144" s="76"/>
      <c r="B144" s="76"/>
      <c r="C144" s="76"/>
      <c r="D144" s="76"/>
      <c r="E144" s="76"/>
      <c r="F144" s="76"/>
      <c r="G144" s="76"/>
      <c r="H144" s="76"/>
      <c r="I144" s="76"/>
    </row>
    <row r="145" spans="1:2">
      <c r="A145" s="2" t="s">
        <v>253</v>
      </c>
      <c r="B145" s="14" t="s">
        <v>338</v>
      </c>
    </row>
    <row r="146" spans="1:2">
      <c r="A146" s="2" t="s">
        <v>254</v>
      </c>
      <c r="B146" s="14" t="s">
        <v>339</v>
      </c>
    </row>
    <row r="147" spans="1:2">
      <c r="A147" s="2"/>
    </row>
    <row r="148" spans="1:2">
      <c r="A148" s="2" t="s">
        <v>340</v>
      </c>
      <c r="B148" s="131">
        <v>44648</v>
      </c>
    </row>
  </sheetData>
  <mergeCells count="123">
    <mergeCell ref="F132:G132"/>
    <mergeCell ref="A134:I134"/>
    <mergeCell ref="A136:I136"/>
    <mergeCell ref="A137:I137"/>
    <mergeCell ref="A138:I138"/>
    <mergeCell ref="A140:I140"/>
    <mergeCell ref="A142:I142"/>
    <mergeCell ref="A143:I143"/>
    <mergeCell ref="A8:B8"/>
    <mergeCell ref="D8:I8"/>
    <mergeCell ref="A9:B9"/>
    <mergeCell ref="D9:I9"/>
    <mergeCell ref="A11:I11"/>
    <mergeCell ref="A15:A17"/>
    <mergeCell ref="D31:I31"/>
    <mergeCell ref="D32:I34"/>
    <mergeCell ref="C35:I35"/>
    <mergeCell ref="A37:I37"/>
    <mergeCell ref="C47:I47"/>
    <mergeCell ref="C48:I48"/>
    <mergeCell ref="C49:I49"/>
    <mergeCell ref="C50:I50"/>
    <mergeCell ref="C51:I51"/>
    <mergeCell ref="A53:I53"/>
    <mergeCell ref="A3:I3"/>
    <mergeCell ref="A5:B5"/>
    <mergeCell ref="D5:I5"/>
    <mergeCell ref="A6:B6"/>
    <mergeCell ref="D6:I6"/>
    <mergeCell ref="A7:B7"/>
    <mergeCell ref="D7:I7"/>
    <mergeCell ref="F27:I27"/>
    <mergeCell ref="A29:I29"/>
    <mergeCell ref="A20:I20"/>
    <mergeCell ref="F22:I22"/>
    <mergeCell ref="F23:I23"/>
    <mergeCell ref="F24:I24"/>
    <mergeCell ref="F25:I25"/>
    <mergeCell ref="F26:I26"/>
    <mergeCell ref="D39:I39"/>
    <mergeCell ref="D40:I40"/>
    <mergeCell ref="D41:I41"/>
    <mergeCell ref="D42:I42"/>
    <mergeCell ref="C43:I43"/>
    <mergeCell ref="A45:I45"/>
    <mergeCell ref="A67:B67"/>
    <mergeCell ref="A68:B68"/>
    <mergeCell ref="A69:B69"/>
    <mergeCell ref="A61:B61"/>
    <mergeCell ref="A62:B62"/>
    <mergeCell ref="A63:B63"/>
    <mergeCell ref="A55:B55"/>
    <mergeCell ref="A56:B56"/>
    <mergeCell ref="A57:B57"/>
    <mergeCell ref="A58:B58"/>
    <mergeCell ref="A59:B59"/>
    <mergeCell ref="A60:B60"/>
    <mergeCell ref="A70:B70"/>
    <mergeCell ref="A71:B71"/>
    <mergeCell ref="A72:B72"/>
    <mergeCell ref="A64:B64"/>
    <mergeCell ref="A65:B65"/>
    <mergeCell ref="A66:B66"/>
    <mergeCell ref="A79:B79"/>
    <mergeCell ref="A80:B80"/>
    <mergeCell ref="A81:B81"/>
    <mergeCell ref="A82:B82"/>
    <mergeCell ref="A83:B83"/>
    <mergeCell ref="A84:B84"/>
    <mergeCell ref="A73:B73"/>
    <mergeCell ref="A74:B74"/>
    <mergeCell ref="A75:B75"/>
    <mergeCell ref="A76:B76"/>
    <mergeCell ref="A77:B77"/>
    <mergeCell ref="A78:B78"/>
    <mergeCell ref="A91:B91"/>
    <mergeCell ref="A92:B92"/>
    <mergeCell ref="A93:B93"/>
    <mergeCell ref="A94:B94"/>
    <mergeCell ref="A95:B95"/>
    <mergeCell ref="A96:B96"/>
    <mergeCell ref="A85:B85"/>
    <mergeCell ref="A86:B86"/>
    <mergeCell ref="A87:B87"/>
    <mergeCell ref="A88:B88"/>
    <mergeCell ref="A89:B89"/>
    <mergeCell ref="A90:B90"/>
    <mergeCell ref="A103:B103"/>
    <mergeCell ref="A104:B104"/>
    <mergeCell ref="A105:B105"/>
    <mergeCell ref="A106:B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0:B130"/>
    <mergeCell ref="A131:B131"/>
    <mergeCell ref="A132:B132"/>
    <mergeCell ref="A121:B121"/>
    <mergeCell ref="A122:B122"/>
    <mergeCell ref="A123:B123"/>
    <mergeCell ref="A124:B124"/>
    <mergeCell ref="A125:B125"/>
    <mergeCell ref="A126:B126"/>
  </mergeCells>
  <pageMargins left="0.23622047244094491" right="0.23622047244094491" top="0.74803149606299213" bottom="0.74803149606299213" header="0.31496062992125984" footer="0.31496062992125984"/>
  <pageSetup paperSize="9" scale="81" firstPageNumber="163" fitToHeight="5" orientation="landscape"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F14" sqref="F14"/>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16384" width="6.5" style="114"/>
  </cols>
  <sheetData>
    <row r="1" spans="1:24" s="72" customFormat="1" ht="15.75">
      <c r="A1" s="1262" t="s">
        <v>169</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317"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315" customFormat="1" ht="9.75" customHeight="1">
      <c r="A6" s="247" t="s">
        <v>0</v>
      </c>
      <c r="B6" s="1172" t="s">
        <v>1</v>
      </c>
      <c r="C6" s="1172"/>
      <c r="D6" s="248" t="s">
        <v>25</v>
      </c>
      <c r="E6" s="249">
        <f>SUM(E7:E9)</f>
        <v>84158892</v>
      </c>
      <c r="F6" s="250">
        <f>SUM(F7:F9)</f>
        <v>84762353</v>
      </c>
      <c r="G6" s="250">
        <f>SUM(G7:G9)</f>
        <v>84786342</v>
      </c>
      <c r="H6" s="251">
        <f t="shared" ref="H6:H37" si="0">G6/F6*100</f>
        <v>100.02830147954953</v>
      </c>
      <c r="I6" s="252">
        <f>SUM(I7:I9)</f>
        <v>77074849.780000001</v>
      </c>
      <c r="J6" s="249">
        <f>SUM(J7:J9)</f>
        <v>13934200</v>
      </c>
      <c r="K6" s="250">
        <f t="shared" ref="K6:V6" si="1">SUM(K7:K9)</f>
        <v>14318393</v>
      </c>
      <c r="L6" s="250">
        <f t="shared" si="1"/>
        <v>14342382</v>
      </c>
      <c r="M6" s="251">
        <f t="shared" ref="M6:M37" si="2">L6/K6*100</f>
        <v>100.16753975114385</v>
      </c>
      <c r="N6" s="181">
        <f t="shared" ref="N6" si="3">SUM(N7:N9)</f>
        <v>13550740.780000001</v>
      </c>
      <c r="O6" s="250">
        <f t="shared" si="1"/>
        <v>70224692</v>
      </c>
      <c r="P6" s="250">
        <f t="shared" si="1"/>
        <v>70443960</v>
      </c>
      <c r="Q6" s="250">
        <f t="shared" si="1"/>
        <v>70443960</v>
      </c>
      <c r="R6" s="251">
        <f t="shared" ref="R6:R37" si="4">Q6/P6*100</f>
        <v>100</v>
      </c>
      <c r="S6" s="181">
        <f t="shared" ref="S6" si="5">SUM(S7:S9)</f>
        <v>63524109</v>
      </c>
      <c r="T6" s="249">
        <f t="shared" si="1"/>
        <v>260000</v>
      </c>
      <c r="U6" s="250">
        <f t="shared" si="1"/>
        <v>324000</v>
      </c>
      <c r="V6" s="181">
        <f t="shared" si="1"/>
        <v>312485</v>
      </c>
      <c r="W6" s="251">
        <f t="shared" ref="W6:W37" si="6">V6/U6*100</f>
        <v>96.445987654320987</v>
      </c>
      <c r="X6" s="181">
        <f t="shared" ref="X6" si="7">SUM(X7:X9)</f>
        <v>229364.03</v>
      </c>
    </row>
    <row r="7" spans="1:24" s="315" customFormat="1" ht="9.75">
      <c r="A7" s="230" t="s">
        <v>2</v>
      </c>
      <c r="B7" s="1160" t="s">
        <v>44</v>
      </c>
      <c r="C7" s="1160"/>
      <c r="D7" s="245" t="s">
        <v>25</v>
      </c>
      <c r="E7" s="198">
        <f t="shared" ref="E7:G10" si="8">SUM(J7,O7)</f>
        <v>6433000</v>
      </c>
      <c r="F7" s="184">
        <f t="shared" si="8"/>
        <v>5964348</v>
      </c>
      <c r="G7" s="184">
        <f t="shared" si="8"/>
        <v>5986325</v>
      </c>
      <c r="H7" s="185">
        <f t="shared" si="0"/>
        <v>100.36847279870322</v>
      </c>
      <c r="I7" s="199">
        <f>SUM(N7,S7)</f>
        <v>4327843.78</v>
      </c>
      <c r="J7" s="203">
        <v>6433000</v>
      </c>
      <c r="K7" s="186">
        <v>5964348</v>
      </c>
      <c r="L7" s="186">
        <v>5986325</v>
      </c>
      <c r="M7" s="185">
        <f t="shared" si="2"/>
        <v>100.36847279870322</v>
      </c>
      <c r="N7" s="186">
        <v>4327843.78</v>
      </c>
      <c r="O7" s="219"/>
      <c r="P7" s="186"/>
      <c r="Q7" s="186"/>
      <c r="R7" s="185" t="e">
        <f t="shared" si="4"/>
        <v>#DIV/0!</v>
      </c>
      <c r="S7" s="186"/>
      <c r="T7" s="219">
        <v>260000</v>
      </c>
      <c r="U7" s="186">
        <v>324000</v>
      </c>
      <c r="V7" s="186">
        <v>312485</v>
      </c>
      <c r="W7" s="185">
        <f t="shared" si="6"/>
        <v>96.445987654320987</v>
      </c>
      <c r="X7" s="186">
        <v>229364.03</v>
      </c>
    </row>
    <row r="8" spans="1:24" s="315" customFormat="1" ht="9.75">
      <c r="A8" s="231" t="s">
        <v>3</v>
      </c>
      <c r="B8" s="1173" t="s">
        <v>45</v>
      </c>
      <c r="C8" s="1173"/>
      <c r="D8" s="245" t="s">
        <v>25</v>
      </c>
      <c r="E8" s="198">
        <f t="shared" si="8"/>
        <v>1200</v>
      </c>
      <c r="F8" s="184">
        <f t="shared" si="8"/>
        <v>1200</v>
      </c>
      <c r="G8" s="184">
        <f t="shared" si="8"/>
        <v>3212</v>
      </c>
      <c r="H8" s="185">
        <f t="shared" si="0"/>
        <v>267.66666666666669</v>
      </c>
      <c r="I8" s="199">
        <f>SUM(N8,S8)</f>
        <v>3266</v>
      </c>
      <c r="J8" s="205">
        <v>1200</v>
      </c>
      <c r="K8" s="184">
        <v>1200</v>
      </c>
      <c r="L8" s="184">
        <v>3212</v>
      </c>
      <c r="M8" s="185">
        <f t="shared" si="2"/>
        <v>267.66666666666669</v>
      </c>
      <c r="N8" s="184">
        <v>3266</v>
      </c>
      <c r="O8" s="198"/>
      <c r="P8" s="184"/>
      <c r="Q8" s="184"/>
      <c r="R8" s="185" t="e">
        <f t="shared" si="4"/>
        <v>#DIV/0!</v>
      </c>
      <c r="S8" s="184"/>
      <c r="T8" s="198"/>
      <c r="U8" s="184"/>
      <c r="V8" s="184"/>
      <c r="W8" s="185" t="e">
        <f t="shared" si="6"/>
        <v>#DIV/0!</v>
      </c>
      <c r="X8" s="184"/>
    </row>
    <row r="9" spans="1:24" s="315" customFormat="1" ht="9.75">
      <c r="A9" s="231" t="s">
        <v>4</v>
      </c>
      <c r="B9" s="187" t="s">
        <v>60</v>
      </c>
      <c r="C9" s="262"/>
      <c r="D9" s="245" t="s">
        <v>25</v>
      </c>
      <c r="E9" s="198">
        <f t="shared" si="8"/>
        <v>77724692</v>
      </c>
      <c r="F9" s="184">
        <f t="shared" si="8"/>
        <v>78796805</v>
      </c>
      <c r="G9" s="184">
        <f t="shared" si="8"/>
        <v>78796805</v>
      </c>
      <c r="H9" s="185">
        <f t="shared" si="0"/>
        <v>100</v>
      </c>
      <c r="I9" s="199">
        <f>SUM(N9,S9)</f>
        <v>72743740</v>
      </c>
      <c r="J9" s="205">
        <v>7500000</v>
      </c>
      <c r="K9" s="184">
        <v>8352845</v>
      </c>
      <c r="L9" s="184">
        <v>8352845</v>
      </c>
      <c r="M9" s="185">
        <f t="shared" si="2"/>
        <v>100</v>
      </c>
      <c r="N9" s="184">
        <v>9219631</v>
      </c>
      <c r="O9" s="198">
        <v>70224692</v>
      </c>
      <c r="P9" s="184">
        <v>70443960</v>
      </c>
      <c r="Q9" s="184">
        <v>70443960</v>
      </c>
      <c r="R9" s="185">
        <f t="shared" si="4"/>
        <v>100</v>
      </c>
      <c r="S9" s="184">
        <v>63524109</v>
      </c>
      <c r="T9" s="198"/>
      <c r="U9" s="184"/>
      <c r="V9" s="184"/>
      <c r="W9" s="185" t="e">
        <f t="shared" si="6"/>
        <v>#DIV/0!</v>
      </c>
      <c r="X9" s="184"/>
    </row>
    <row r="10" spans="1:24" s="315" customFormat="1" ht="9.75">
      <c r="A10" s="229" t="s">
        <v>5</v>
      </c>
      <c r="B10" s="1158" t="s">
        <v>7</v>
      </c>
      <c r="C10" s="1158"/>
      <c r="D10" s="245" t="s">
        <v>25</v>
      </c>
      <c r="E10" s="200">
        <f t="shared" si="8"/>
        <v>0</v>
      </c>
      <c r="F10" s="182">
        <f t="shared" si="8"/>
        <v>262000</v>
      </c>
      <c r="G10" s="182">
        <f t="shared" si="8"/>
        <v>262000</v>
      </c>
      <c r="H10" s="180">
        <f t="shared" si="0"/>
        <v>100</v>
      </c>
      <c r="I10" s="201">
        <f>SUM(N10,S10)</f>
        <v>0</v>
      </c>
      <c r="J10" s="206"/>
      <c r="K10" s="182">
        <v>262000</v>
      </c>
      <c r="L10" s="182">
        <v>262000</v>
      </c>
      <c r="M10" s="180">
        <f t="shared" si="2"/>
        <v>100</v>
      </c>
      <c r="N10" s="182">
        <v>0</v>
      </c>
      <c r="O10" s="200"/>
      <c r="P10" s="182"/>
      <c r="Q10" s="182"/>
      <c r="R10" s="180" t="e">
        <f t="shared" si="4"/>
        <v>#DIV/0!</v>
      </c>
      <c r="S10" s="182">
        <v>0</v>
      </c>
      <c r="T10" s="200"/>
      <c r="U10" s="182"/>
      <c r="V10" s="182"/>
      <c r="W10" s="180" t="e">
        <f t="shared" si="6"/>
        <v>#DIV/0!</v>
      </c>
      <c r="X10" s="182"/>
    </row>
    <row r="11" spans="1:24" s="315" customFormat="1" ht="9.75">
      <c r="A11" s="229" t="s">
        <v>6</v>
      </c>
      <c r="B11" s="1158" t="s">
        <v>9</v>
      </c>
      <c r="C11" s="1158"/>
      <c r="D11" s="245" t="s">
        <v>25</v>
      </c>
      <c r="E11" s="196">
        <f>SUM(E12:E31)</f>
        <v>84158892</v>
      </c>
      <c r="F11" s="181">
        <f>SUM(F12:F31)</f>
        <v>84762353</v>
      </c>
      <c r="G11" s="181">
        <f>SUM(G12:G31)</f>
        <v>84621350</v>
      </c>
      <c r="H11" s="180">
        <f t="shared" si="0"/>
        <v>99.833649025765013</v>
      </c>
      <c r="I11" s="197">
        <f>SUM(I12:I31)</f>
        <v>76927640.599999994</v>
      </c>
      <c r="J11" s="196">
        <f>SUM(J12:J31)</f>
        <v>13934200</v>
      </c>
      <c r="K11" s="181">
        <f>SUM(K12:K31)</f>
        <v>14318393</v>
      </c>
      <c r="L11" s="181">
        <f>SUM(L12:L31)</f>
        <v>14177390</v>
      </c>
      <c r="M11" s="180">
        <f t="shared" si="2"/>
        <v>99.015231667408486</v>
      </c>
      <c r="N11" s="181">
        <f>SUM(N12:N31)</f>
        <v>13396527.6</v>
      </c>
      <c r="O11" s="196">
        <f>SUM(O12:O31)</f>
        <v>70224692</v>
      </c>
      <c r="P11" s="181">
        <f>SUM(P12:P31)</f>
        <v>70443960</v>
      </c>
      <c r="Q11" s="181">
        <f>SUM(Q12:Q31)</f>
        <v>70443960</v>
      </c>
      <c r="R11" s="180">
        <f t="shared" si="4"/>
        <v>100</v>
      </c>
      <c r="S11" s="181">
        <f>SUM(S12:S32)</f>
        <v>63531113</v>
      </c>
      <c r="T11" s="196">
        <f>SUM(T12:T31)</f>
        <v>163200</v>
      </c>
      <c r="U11" s="181">
        <f>SUM(U12:U31)</f>
        <v>227200</v>
      </c>
      <c r="V11" s="181">
        <f>SUM(V12:V31)</f>
        <v>214941</v>
      </c>
      <c r="W11" s="180">
        <f t="shared" si="6"/>
        <v>94.604313380281695</v>
      </c>
      <c r="X11" s="181">
        <f>SUM(X12:X31)</f>
        <v>183801</v>
      </c>
    </row>
    <row r="12" spans="1:24" s="315" customFormat="1" ht="9.75">
      <c r="A12" s="232" t="s">
        <v>8</v>
      </c>
      <c r="B12" s="1159" t="s">
        <v>28</v>
      </c>
      <c r="C12" s="1159"/>
      <c r="D12" s="245" t="s">
        <v>25</v>
      </c>
      <c r="E12" s="198">
        <f>SUM(J12,O12)</f>
        <v>6959228</v>
      </c>
      <c r="F12" s="184">
        <f t="shared" ref="E12:I28" si="9">SUM(K12,P12)</f>
        <v>6480288</v>
      </c>
      <c r="G12" s="184">
        <f t="shared" si="9"/>
        <v>6478806</v>
      </c>
      <c r="H12" s="185">
        <f t="shared" si="0"/>
        <v>99.977130646045367</v>
      </c>
      <c r="I12" s="199">
        <f t="shared" si="9"/>
        <v>4919717</v>
      </c>
      <c r="J12" s="207">
        <v>6539228</v>
      </c>
      <c r="K12" s="188">
        <v>6066778</v>
      </c>
      <c r="L12" s="188">
        <v>6065029</v>
      </c>
      <c r="M12" s="185">
        <f t="shared" si="2"/>
        <v>99.971170858732592</v>
      </c>
      <c r="N12" s="188">
        <v>4719198</v>
      </c>
      <c r="O12" s="220">
        <v>420000</v>
      </c>
      <c r="P12" s="188">
        <v>413510</v>
      </c>
      <c r="Q12" s="188">
        <v>413777</v>
      </c>
      <c r="R12" s="185">
        <f t="shared" si="4"/>
        <v>100.06456917607798</v>
      </c>
      <c r="S12" s="188">
        <v>200519</v>
      </c>
      <c r="T12" s="220">
        <v>71500</v>
      </c>
      <c r="U12" s="188">
        <v>136500</v>
      </c>
      <c r="V12" s="188">
        <v>136756</v>
      </c>
      <c r="W12" s="185">
        <f t="shared" si="6"/>
        <v>100.18754578754579</v>
      </c>
      <c r="X12" s="188">
        <v>87443</v>
      </c>
    </row>
    <row r="13" spans="1:24" s="315" customFormat="1" ht="9.75">
      <c r="A13" s="230" t="s">
        <v>10</v>
      </c>
      <c r="B13" s="1160" t="s">
        <v>29</v>
      </c>
      <c r="C13" s="1160"/>
      <c r="D13" s="245" t="s">
        <v>25</v>
      </c>
      <c r="E13" s="198">
        <f t="shared" si="9"/>
        <v>2960000</v>
      </c>
      <c r="F13" s="184">
        <f t="shared" si="9"/>
        <v>2580000</v>
      </c>
      <c r="G13" s="184">
        <f t="shared" si="9"/>
        <v>2509109</v>
      </c>
      <c r="H13" s="185">
        <f t="shared" si="0"/>
        <v>97.252286821705425</v>
      </c>
      <c r="I13" s="199">
        <f t="shared" si="9"/>
        <v>2428694</v>
      </c>
      <c r="J13" s="207">
        <v>2960000</v>
      </c>
      <c r="K13" s="184">
        <v>2580000</v>
      </c>
      <c r="L13" s="184">
        <v>2509109</v>
      </c>
      <c r="M13" s="185">
        <f t="shared" si="2"/>
        <v>97.252286821705425</v>
      </c>
      <c r="N13" s="184">
        <v>2428694</v>
      </c>
      <c r="O13" s="198"/>
      <c r="P13" s="184"/>
      <c r="Q13" s="184"/>
      <c r="R13" s="185" t="e">
        <f t="shared" si="4"/>
        <v>#DIV/0!</v>
      </c>
      <c r="S13" s="184"/>
      <c r="T13" s="198">
        <v>35500</v>
      </c>
      <c r="U13" s="184">
        <v>23500</v>
      </c>
      <c r="V13" s="184">
        <v>18048</v>
      </c>
      <c r="W13" s="185">
        <f t="shared" si="6"/>
        <v>76.8</v>
      </c>
      <c r="X13" s="184">
        <v>11968</v>
      </c>
    </row>
    <row r="14" spans="1:24" s="315" customFormat="1" ht="9.75">
      <c r="A14" s="230" t="s">
        <v>11</v>
      </c>
      <c r="B14" s="260" t="s">
        <v>61</v>
      </c>
      <c r="C14" s="260"/>
      <c r="D14" s="245" t="s">
        <v>25</v>
      </c>
      <c r="E14" s="198">
        <f t="shared" si="9"/>
        <v>0</v>
      </c>
      <c r="F14" s="184">
        <f t="shared" si="9"/>
        <v>0</v>
      </c>
      <c r="G14" s="184">
        <f t="shared" si="9"/>
        <v>0</v>
      </c>
      <c r="H14" s="185" t="e">
        <f t="shared" si="0"/>
        <v>#DIV/0!</v>
      </c>
      <c r="I14" s="199">
        <f t="shared" si="9"/>
        <v>0</v>
      </c>
      <c r="J14" s="207"/>
      <c r="K14" s="184"/>
      <c r="L14" s="184"/>
      <c r="M14" s="185" t="e">
        <f t="shared" si="2"/>
        <v>#DIV/0!</v>
      </c>
      <c r="N14" s="184"/>
      <c r="O14" s="198"/>
      <c r="P14" s="184"/>
      <c r="Q14" s="184"/>
      <c r="R14" s="185" t="e">
        <f t="shared" si="4"/>
        <v>#DIV/0!</v>
      </c>
      <c r="S14" s="184"/>
      <c r="T14" s="198"/>
      <c r="U14" s="184"/>
      <c r="V14" s="184"/>
      <c r="W14" s="185" t="e">
        <f t="shared" si="6"/>
        <v>#DIV/0!</v>
      </c>
      <c r="X14" s="184"/>
    </row>
    <row r="15" spans="1:24" s="315" customFormat="1" ht="9.75">
      <c r="A15" s="230" t="s">
        <v>12</v>
      </c>
      <c r="B15" s="1160" t="s">
        <v>62</v>
      </c>
      <c r="C15" s="1160"/>
      <c r="D15" s="245" t="s">
        <v>25</v>
      </c>
      <c r="E15" s="198">
        <f t="shared" si="9"/>
        <v>1040000</v>
      </c>
      <c r="F15" s="184">
        <f t="shared" si="9"/>
        <v>1858000</v>
      </c>
      <c r="G15" s="184">
        <f t="shared" si="9"/>
        <v>1837398</v>
      </c>
      <c r="H15" s="185">
        <f t="shared" si="0"/>
        <v>98.891173304628637</v>
      </c>
      <c r="I15" s="199">
        <f t="shared" si="9"/>
        <v>1888081</v>
      </c>
      <c r="J15" s="207">
        <v>1040000</v>
      </c>
      <c r="K15" s="184">
        <v>1858000</v>
      </c>
      <c r="L15" s="184">
        <v>1837398</v>
      </c>
      <c r="M15" s="185">
        <f t="shared" si="2"/>
        <v>98.891173304628637</v>
      </c>
      <c r="N15" s="184">
        <v>1888081</v>
      </c>
      <c r="O15" s="198"/>
      <c r="P15" s="184"/>
      <c r="Q15" s="184"/>
      <c r="R15" s="185" t="e">
        <f t="shared" si="4"/>
        <v>#DIV/0!</v>
      </c>
      <c r="S15" s="184"/>
      <c r="T15" s="198">
        <v>2000</v>
      </c>
      <c r="U15" s="184">
        <v>3500</v>
      </c>
      <c r="V15" s="184">
        <v>3424</v>
      </c>
      <c r="W15" s="185">
        <f t="shared" si="6"/>
        <v>97.828571428571436</v>
      </c>
      <c r="X15" s="184">
        <v>6793</v>
      </c>
    </row>
    <row r="16" spans="1:24" s="315" customFormat="1" ht="9.75">
      <c r="A16" s="230" t="s">
        <v>13</v>
      </c>
      <c r="B16" s="1160" t="s">
        <v>30</v>
      </c>
      <c r="C16" s="1160"/>
      <c r="D16" s="245" t="s">
        <v>25</v>
      </c>
      <c r="E16" s="198">
        <f t="shared" si="9"/>
        <v>20000</v>
      </c>
      <c r="F16" s="184">
        <f t="shared" si="9"/>
        <v>11350</v>
      </c>
      <c r="G16" s="184">
        <f t="shared" si="9"/>
        <v>11195</v>
      </c>
      <c r="H16" s="185">
        <f t="shared" si="0"/>
        <v>98.634361233480178</v>
      </c>
      <c r="I16" s="199">
        <f t="shared" si="9"/>
        <v>59559</v>
      </c>
      <c r="J16" s="207">
        <v>10000</v>
      </c>
      <c r="K16" s="184">
        <v>1500</v>
      </c>
      <c r="L16" s="184">
        <v>1393</v>
      </c>
      <c r="M16" s="185">
        <f t="shared" si="2"/>
        <v>92.86666666666666</v>
      </c>
      <c r="N16" s="184">
        <v>0</v>
      </c>
      <c r="O16" s="198">
        <v>10000</v>
      </c>
      <c r="P16" s="184">
        <v>9850</v>
      </c>
      <c r="Q16" s="184">
        <v>9802</v>
      </c>
      <c r="R16" s="185">
        <f t="shared" si="4"/>
        <v>99.512690355329951</v>
      </c>
      <c r="S16" s="184">
        <v>59559</v>
      </c>
      <c r="T16" s="198"/>
      <c r="U16" s="184"/>
      <c r="V16" s="184"/>
      <c r="W16" s="185" t="e">
        <f t="shared" si="6"/>
        <v>#DIV/0!</v>
      </c>
      <c r="X16" s="184"/>
    </row>
    <row r="17" spans="1:24" s="315" customFormat="1" ht="9.75">
      <c r="A17" s="230" t="s">
        <v>14</v>
      </c>
      <c r="B17" s="260" t="s">
        <v>46</v>
      </c>
      <c r="C17" s="260"/>
      <c r="D17" s="245" t="s">
        <v>25</v>
      </c>
      <c r="E17" s="198">
        <f t="shared" si="9"/>
        <v>5000</v>
      </c>
      <c r="F17" s="184">
        <f t="shared" si="9"/>
        <v>3000</v>
      </c>
      <c r="G17" s="184">
        <f t="shared" si="9"/>
        <v>2812</v>
      </c>
      <c r="H17" s="185">
        <f t="shared" si="0"/>
        <v>93.733333333333334</v>
      </c>
      <c r="I17" s="199">
        <f t="shared" si="9"/>
        <v>4667</v>
      </c>
      <c r="J17" s="207">
        <v>5000</v>
      </c>
      <c r="K17" s="184">
        <v>3000</v>
      </c>
      <c r="L17" s="184">
        <v>2812</v>
      </c>
      <c r="M17" s="185">
        <f t="shared" si="2"/>
        <v>93.733333333333334</v>
      </c>
      <c r="N17" s="184">
        <v>4667</v>
      </c>
      <c r="O17" s="198"/>
      <c r="P17" s="184"/>
      <c r="Q17" s="184"/>
      <c r="R17" s="185" t="e">
        <f t="shared" si="4"/>
        <v>#DIV/0!</v>
      </c>
      <c r="S17" s="184"/>
      <c r="T17" s="198"/>
      <c r="U17" s="184"/>
      <c r="V17" s="184"/>
      <c r="W17" s="185" t="e">
        <f t="shared" si="6"/>
        <v>#DIV/0!</v>
      </c>
      <c r="X17" s="184"/>
    </row>
    <row r="18" spans="1:24" s="315" customFormat="1" ht="9.75">
      <c r="A18" s="230" t="s">
        <v>15</v>
      </c>
      <c r="B18" s="1160" t="s">
        <v>31</v>
      </c>
      <c r="C18" s="1160"/>
      <c r="D18" s="245" t="s">
        <v>25</v>
      </c>
      <c r="E18" s="198">
        <f t="shared" si="9"/>
        <v>1071310</v>
      </c>
      <c r="F18" s="184">
        <f t="shared" si="9"/>
        <v>1169199</v>
      </c>
      <c r="G18" s="184">
        <f t="shared" si="9"/>
        <v>1167558</v>
      </c>
      <c r="H18" s="185">
        <f t="shared" si="0"/>
        <v>99.859647502264366</v>
      </c>
      <c r="I18" s="199">
        <f t="shared" si="9"/>
        <v>1364933</v>
      </c>
      <c r="J18" s="207">
        <v>731310</v>
      </c>
      <c r="K18" s="184">
        <v>809399</v>
      </c>
      <c r="L18" s="184">
        <v>807731</v>
      </c>
      <c r="M18" s="185">
        <f t="shared" si="2"/>
        <v>99.793921168669598</v>
      </c>
      <c r="N18" s="184">
        <v>812256</v>
      </c>
      <c r="O18" s="198">
        <v>340000</v>
      </c>
      <c r="P18" s="184">
        <v>359800</v>
      </c>
      <c r="Q18" s="184">
        <v>359827</v>
      </c>
      <c r="R18" s="185">
        <f t="shared" si="4"/>
        <v>100.00750416898276</v>
      </c>
      <c r="S18" s="184">
        <v>552677</v>
      </c>
      <c r="T18" s="198">
        <v>5000</v>
      </c>
      <c r="U18" s="184">
        <v>5000</v>
      </c>
      <c r="V18" s="184">
        <v>3901</v>
      </c>
      <c r="W18" s="185">
        <f t="shared" si="6"/>
        <v>78.02</v>
      </c>
      <c r="X18" s="184">
        <v>11727</v>
      </c>
    </row>
    <row r="19" spans="1:24" s="318" customFormat="1" ht="9.75">
      <c r="A19" s="230" t="s">
        <v>16</v>
      </c>
      <c r="B19" s="1160" t="s">
        <v>32</v>
      </c>
      <c r="C19" s="1160"/>
      <c r="D19" s="245" t="s">
        <v>25</v>
      </c>
      <c r="E19" s="198">
        <f t="shared" si="9"/>
        <v>51105128</v>
      </c>
      <c r="F19" s="184">
        <f t="shared" si="9"/>
        <v>51284800</v>
      </c>
      <c r="G19" s="184">
        <f t="shared" si="9"/>
        <v>51284800</v>
      </c>
      <c r="H19" s="185">
        <f t="shared" si="0"/>
        <v>100</v>
      </c>
      <c r="I19" s="199">
        <f t="shared" si="9"/>
        <v>46111644</v>
      </c>
      <c r="J19" s="209">
        <v>571666</v>
      </c>
      <c r="K19" s="184">
        <v>608800</v>
      </c>
      <c r="L19" s="78">
        <v>608800</v>
      </c>
      <c r="M19" s="185">
        <f t="shared" si="2"/>
        <v>100</v>
      </c>
      <c r="N19" s="184">
        <v>545350</v>
      </c>
      <c r="O19" s="198">
        <v>50533462</v>
      </c>
      <c r="P19" s="184">
        <v>50676000</v>
      </c>
      <c r="Q19" s="184">
        <v>50676000</v>
      </c>
      <c r="R19" s="185">
        <f t="shared" si="4"/>
        <v>100</v>
      </c>
      <c r="S19" s="184">
        <v>45566294</v>
      </c>
      <c r="T19" s="225">
        <v>32200</v>
      </c>
      <c r="U19" s="190">
        <v>32200</v>
      </c>
      <c r="V19" s="502">
        <v>28535</v>
      </c>
      <c r="W19" s="185">
        <f t="shared" si="6"/>
        <v>88.618012422360252</v>
      </c>
      <c r="X19" s="190">
        <v>41152</v>
      </c>
    </row>
    <row r="20" spans="1:24" s="315" customFormat="1" ht="9.75">
      <c r="A20" s="230" t="s">
        <v>17</v>
      </c>
      <c r="B20" s="1160" t="s">
        <v>47</v>
      </c>
      <c r="C20" s="1160"/>
      <c r="D20" s="245" t="s">
        <v>25</v>
      </c>
      <c r="E20" s="198">
        <f t="shared" si="9"/>
        <v>17040300</v>
      </c>
      <c r="F20" s="184">
        <f t="shared" si="9"/>
        <v>17088500</v>
      </c>
      <c r="G20" s="184">
        <f t="shared" si="9"/>
        <v>17085904</v>
      </c>
      <c r="H20" s="185">
        <f t="shared" si="0"/>
        <v>99.984808496942392</v>
      </c>
      <c r="I20" s="199">
        <f t="shared" si="9"/>
        <v>15504851</v>
      </c>
      <c r="J20" s="207">
        <v>154300</v>
      </c>
      <c r="K20" s="184">
        <v>154300</v>
      </c>
      <c r="L20" s="78">
        <v>151861</v>
      </c>
      <c r="M20" s="185">
        <f t="shared" si="2"/>
        <v>98.419313026571615</v>
      </c>
      <c r="N20" s="184">
        <v>160479</v>
      </c>
      <c r="O20" s="198">
        <v>16886000</v>
      </c>
      <c r="P20" s="184">
        <v>16934200</v>
      </c>
      <c r="Q20" s="184">
        <v>16934043</v>
      </c>
      <c r="R20" s="185">
        <f t="shared" si="4"/>
        <v>99.999072882096584</v>
      </c>
      <c r="S20" s="184">
        <v>15344372</v>
      </c>
      <c r="T20" s="198">
        <v>11500</v>
      </c>
      <c r="U20" s="184">
        <v>11500</v>
      </c>
      <c r="V20" s="78">
        <v>9657</v>
      </c>
      <c r="W20" s="185">
        <f t="shared" si="6"/>
        <v>83.973913043478262</v>
      </c>
      <c r="X20" s="184">
        <v>13913</v>
      </c>
    </row>
    <row r="21" spans="1:24" s="315" customFormat="1" ht="9.75">
      <c r="A21" s="230" t="s">
        <v>18</v>
      </c>
      <c r="B21" s="1160" t="s">
        <v>48</v>
      </c>
      <c r="C21" s="1160"/>
      <c r="D21" s="245" t="s">
        <v>25</v>
      </c>
      <c r="E21" s="198">
        <f t="shared" si="9"/>
        <v>1070700</v>
      </c>
      <c r="F21" s="184">
        <f t="shared" si="9"/>
        <v>1151729</v>
      </c>
      <c r="G21" s="184">
        <f t="shared" si="9"/>
        <v>1149319</v>
      </c>
      <c r="H21" s="185">
        <f t="shared" si="0"/>
        <v>99.790749386357376</v>
      </c>
      <c r="I21" s="199">
        <f t="shared" si="9"/>
        <v>1010038</v>
      </c>
      <c r="J21" s="207">
        <v>13200</v>
      </c>
      <c r="K21" s="184">
        <v>93229</v>
      </c>
      <c r="L21" s="78">
        <v>90897</v>
      </c>
      <c r="M21" s="185">
        <f t="shared" si="2"/>
        <v>97.49863239978977</v>
      </c>
      <c r="N21" s="184">
        <v>71357</v>
      </c>
      <c r="O21" s="198">
        <v>1057500</v>
      </c>
      <c r="P21" s="184">
        <v>1058500</v>
      </c>
      <c r="Q21" s="184">
        <v>1058422</v>
      </c>
      <c r="R21" s="185">
        <f t="shared" si="4"/>
        <v>99.992631081719423</v>
      </c>
      <c r="S21" s="184">
        <v>938681</v>
      </c>
      <c r="T21" s="198">
        <v>500</v>
      </c>
      <c r="U21" s="184">
        <v>500</v>
      </c>
      <c r="V21" s="78">
        <v>603</v>
      </c>
      <c r="W21" s="185">
        <f t="shared" si="6"/>
        <v>120.6</v>
      </c>
      <c r="X21" s="184">
        <v>840</v>
      </c>
    </row>
    <row r="22" spans="1:24" s="315" customFormat="1" ht="9.75">
      <c r="A22" s="230" t="s">
        <v>19</v>
      </c>
      <c r="B22" s="1160" t="s">
        <v>63</v>
      </c>
      <c r="C22" s="1160"/>
      <c r="D22" s="245" t="s">
        <v>25</v>
      </c>
      <c r="E22" s="198">
        <f t="shared" si="9"/>
        <v>0</v>
      </c>
      <c r="F22" s="184">
        <f t="shared" si="9"/>
        <v>0</v>
      </c>
      <c r="G22" s="184">
        <f t="shared" si="9"/>
        <v>0</v>
      </c>
      <c r="H22" s="185" t="e">
        <f t="shared" si="0"/>
        <v>#DIV/0!</v>
      </c>
      <c r="I22" s="199">
        <f t="shared" si="9"/>
        <v>0</v>
      </c>
      <c r="J22" s="207"/>
      <c r="K22" s="184"/>
      <c r="L22" s="184"/>
      <c r="M22" s="185" t="e">
        <f t="shared" si="2"/>
        <v>#DIV/0!</v>
      </c>
      <c r="N22" s="184"/>
      <c r="O22" s="198"/>
      <c r="P22" s="184"/>
      <c r="Q22" s="184"/>
      <c r="R22" s="185" t="e">
        <f t="shared" si="4"/>
        <v>#DIV/0!</v>
      </c>
      <c r="S22" s="184"/>
      <c r="T22" s="198"/>
      <c r="U22" s="184"/>
      <c r="V22" s="184"/>
      <c r="W22" s="185" t="e">
        <f t="shared" si="6"/>
        <v>#DIV/0!</v>
      </c>
      <c r="X22" s="184"/>
    </row>
    <row r="23" spans="1:24" s="315" customFormat="1" ht="9.75">
      <c r="A23" s="230" t="s">
        <v>20</v>
      </c>
      <c r="B23" s="260" t="s">
        <v>64</v>
      </c>
      <c r="C23" s="260"/>
      <c r="D23" s="245" t="s">
        <v>25</v>
      </c>
      <c r="E23" s="198">
        <f t="shared" si="9"/>
        <v>0</v>
      </c>
      <c r="F23" s="184">
        <f t="shared" si="9"/>
        <v>0</v>
      </c>
      <c r="G23" s="184">
        <f t="shared" si="9"/>
        <v>0</v>
      </c>
      <c r="H23" s="185" t="e">
        <f t="shared" si="0"/>
        <v>#DIV/0!</v>
      </c>
      <c r="I23" s="199">
        <f t="shared" si="9"/>
        <v>0</v>
      </c>
      <c r="J23" s="207"/>
      <c r="K23" s="184"/>
      <c r="L23" s="184"/>
      <c r="M23" s="185" t="e">
        <f t="shared" si="2"/>
        <v>#DIV/0!</v>
      </c>
      <c r="N23" s="184"/>
      <c r="O23" s="198"/>
      <c r="P23" s="184"/>
      <c r="Q23" s="184"/>
      <c r="R23" s="185" t="e">
        <f t="shared" si="4"/>
        <v>#DIV/0!</v>
      </c>
      <c r="S23" s="184"/>
      <c r="T23" s="198"/>
      <c r="U23" s="184"/>
      <c r="V23" s="184"/>
      <c r="W23" s="185" t="e">
        <f t="shared" si="6"/>
        <v>#DIV/0!</v>
      </c>
      <c r="X23" s="184"/>
    </row>
    <row r="24" spans="1:24" s="315" customFormat="1" ht="9.75">
      <c r="A24" s="230" t="s">
        <v>21</v>
      </c>
      <c r="B24" s="260" t="s">
        <v>71</v>
      </c>
      <c r="C24" s="260"/>
      <c r="D24" s="245" t="s">
        <v>25</v>
      </c>
      <c r="E24" s="198">
        <f t="shared" si="9"/>
        <v>0</v>
      </c>
      <c r="F24" s="184">
        <f t="shared" si="9"/>
        <v>0</v>
      </c>
      <c r="G24" s="184">
        <f t="shared" si="9"/>
        <v>0</v>
      </c>
      <c r="H24" s="185" t="e">
        <f t="shared" si="0"/>
        <v>#DIV/0!</v>
      </c>
      <c r="I24" s="199">
        <f t="shared" si="9"/>
        <v>0</v>
      </c>
      <c r="J24" s="207"/>
      <c r="K24" s="184"/>
      <c r="L24" s="184"/>
      <c r="M24" s="185" t="e">
        <f t="shared" si="2"/>
        <v>#DIV/0!</v>
      </c>
      <c r="N24" s="184"/>
      <c r="O24" s="198"/>
      <c r="P24" s="184"/>
      <c r="Q24" s="184"/>
      <c r="R24" s="185" t="e">
        <f t="shared" si="4"/>
        <v>#DIV/0!</v>
      </c>
      <c r="S24" s="184"/>
      <c r="T24" s="198"/>
      <c r="U24" s="184"/>
      <c r="V24" s="184"/>
      <c r="W24" s="185" t="e">
        <f t="shared" si="6"/>
        <v>#DIV/0!</v>
      </c>
      <c r="X24" s="184"/>
    </row>
    <row r="25" spans="1:24" s="315" customFormat="1" ht="9.75">
      <c r="A25" s="232" t="s">
        <v>22</v>
      </c>
      <c r="B25" s="264" t="s">
        <v>66</v>
      </c>
      <c r="C25" s="264"/>
      <c r="D25" s="245" t="s">
        <v>25</v>
      </c>
      <c r="E25" s="198">
        <f t="shared" si="9"/>
        <v>0</v>
      </c>
      <c r="F25" s="184">
        <f t="shared" si="9"/>
        <v>0</v>
      </c>
      <c r="G25" s="184">
        <f t="shared" si="9"/>
        <v>0</v>
      </c>
      <c r="H25" s="185" t="e">
        <f t="shared" si="0"/>
        <v>#DIV/0!</v>
      </c>
      <c r="I25" s="199">
        <f t="shared" si="9"/>
        <v>0</v>
      </c>
      <c r="J25" s="207"/>
      <c r="K25" s="188"/>
      <c r="L25" s="188"/>
      <c r="M25" s="185" t="e">
        <f t="shared" si="2"/>
        <v>#DIV/0!</v>
      </c>
      <c r="N25" s="188"/>
      <c r="O25" s="220"/>
      <c r="P25" s="188"/>
      <c r="Q25" s="188"/>
      <c r="R25" s="185" t="e">
        <f t="shared" si="4"/>
        <v>#DIV/0!</v>
      </c>
      <c r="S25" s="188"/>
      <c r="T25" s="220"/>
      <c r="U25" s="188"/>
      <c r="V25" s="188"/>
      <c r="W25" s="185" t="e">
        <f t="shared" si="6"/>
        <v>#DIV/0!</v>
      </c>
      <c r="X25" s="188"/>
    </row>
    <row r="26" spans="1:24" s="319" customFormat="1" ht="9.75">
      <c r="A26" s="230" t="s">
        <v>23</v>
      </c>
      <c r="B26" s="1160" t="s">
        <v>67</v>
      </c>
      <c r="C26" s="1160"/>
      <c r="D26" s="245" t="s">
        <v>25</v>
      </c>
      <c r="E26" s="198">
        <f t="shared" si="9"/>
        <v>1620496</v>
      </c>
      <c r="F26" s="184">
        <f t="shared" si="9"/>
        <v>1550341</v>
      </c>
      <c r="G26" s="184">
        <f t="shared" si="9"/>
        <v>1514451</v>
      </c>
      <c r="H26" s="191">
        <f t="shared" si="0"/>
        <v>97.6850254234391</v>
      </c>
      <c r="I26" s="199">
        <f t="shared" si="9"/>
        <v>1961040</v>
      </c>
      <c r="J26" s="207">
        <v>1620496</v>
      </c>
      <c r="K26" s="189">
        <v>1550341</v>
      </c>
      <c r="L26" s="189">
        <v>1514451</v>
      </c>
      <c r="M26" s="185">
        <f t="shared" si="2"/>
        <v>97.6850254234391</v>
      </c>
      <c r="N26" s="189">
        <v>1961040</v>
      </c>
      <c r="O26" s="222"/>
      <c r="P26" s="189"/>
      <c r="Q26" s="189"/>
      <c r="R26" s="185" t="e">
        <f t="shared" si="4"/>
        <v>#DIV/0!</v>
      </c>
      <c r="S26" s="189"/>
      <c r="T26" s="222">
        <v>5000</v>
      </c>
      <c r="U26" s="189">
        <v>13500</v>
      </c>
      <c r="V26" s="189">
        <v>13418</v>
      </c>
      <c r="W26" s="185">
        <f t="shared" si="6"/>
        <v>99.392592592592592</v>
      </c>
      <c r="X26" s="189">
        <v>9951</v>
      </c>
    </row>
    <row r="27" spans="1:24" s="320" customFormat="1" ht="9.75">
      <c r="A27" s="230" t="s">
        <v>43</v>
      </c>
      <c r="B27" s="260" t="s">
        <v>68</v>
      </c>
      <c r="C27" s="260"/>
      <c r="D27" s="245" t="s">
        <v>25</v>
      </c>
      <c r="E27" s="198">
        <f t="shared" si="9"/>
        <v>0</v>
      </c>
      <c r="F27" s="184">
        <f t="shared" si="9"/>
        <v>1500</v>
      </c>
      <c r="G27" s="184">
        <f t="shared" si="9"/>
        <v>1133</v>
      </c>
      <c r="H27" s="191">
        <f t="shared" si="0"/>
        <v>75.533333333333331</v>
      </c>
      <c r="I27" s="199">
        <f t="shared" si="9"/>
        <v>753.6</v>
      </c>
      <c r="J27" s="207">
        <v>0</v>
      </c>
      <c r="K27" s="189">
        <v>1500</v>
      </c>
      <c r="L27" s="189">
        <v>1133</v>
      </c>
      <c r="M27" s="185">
        <f t="shared" si="2"/>
        <v>75.533333333333331</v>
      </c>
      <c r="N27" s="189">
        <v>753.6</v>
      </c>
      <c r="O27" s="222"/>
      <c r="P27" s="189"/>
      <c r="Q27" s="189"/>
      <c r="R27" s="185" t="e">
        <f t="shared" si="4"/>
        <v>#DIV/0!</v>
      </c>
      <c r="S27" s="189"/>
      <c r="T27" s="227"/>
      <c r="U27" s="189"/>
      <c r="V27" s="189"/>
      <c r="W27" s="185" t="e">
        <f t="shared" si="6"/>
        <v>#DIV/0!</v>
      </c>
      <c r="X27" s="189"/>
    </row>
    <row r="28" spans="1:24" s="320" customFormat="1" ht="9.75">
      <c r="A28" s="230" t="s">
        <v>49</v>
      </c>
      <c r="B28" s="260" t="s">
        <v>72</v>
      </c>
      <c r="C28" s="260"/>
      <c r="D28" s="245" t="s">
        <v>25</v>
      </c>
      <c r="E28" s="198">
        <f t="shared" si="9"/>
        <v>1241730</v>
      </c>
      <c r="F28" s="184">
        <f t="shared" si="9"/>
        <v>1540146</v>
      </c>
      <c r="G28" s="184">
        <f t="shared" si="9"/>
        <v>1538395</v>
      </c>
      <c r="H28" s="191">
        <f t="shared" si="0"/>
        <v>99.886309479750622</v>
      </c>
      <c r="I28" s="199">
        <f t="shared" si="9"/>
        <v>1615778</v>
      </c>
      <c r="J28" s="207">
        <v>264000</v>
      </c>
      <c r="K28" s="189">
        <v>548046</v>
      </c>
      <c r="L28" s="189">
        <v>546306</v>
      </c>
      <c r="M28" s="185">
        <f t="shared" si="2"/>
        <v>99.682508402579344</v>
      </c>
      <c r="N28" s="189">
        <v>746767</v>
      </c>
      <c r="O28" s="222">
        <v>977730</v>
      </c>
      <c r="P28" s="189">
        <v>992100</v>
      </c>
      <c r="Q28" s="189">
        <v>992089</v>
      </c>
      <c r="R28" s="185">
        <f t="shared" si="4"/>
        <v>99.998891240802337</v>
      </c>
      <c r="S28" s="189">
        <v>869011</v>
      </c>
      <c r="T28" s="227"/>
      <c r="U28" s="189">
        <v>1000</v>
      </c>
      <c r="V28" s="78">
        <v>599</v>
      </c>
      <c r="W28" s="185">
        <f t="shared" si="6"/>
        <v>59.9</v>
      </c>
      <c r="X28" s="78">
        <v>14</v>
      </c>
    </row>
    <row r="29" spans="1:24" s="319" customFormat="1" ht="9.75">
      <c r="A29" s="230" t="s">
        <v>50</v>
      </c>
      <c r="B29" s="1160" t="s">
        <v>65</v>
      </c>
      <c r="C29" s="1160"/>
      <c r="D29" s="245" t="s">
        <v>25</v>
      </c>
      <c r="E29" s="198">
        <f t="shared" ref="E29:G31" si="10">SUM(J29,O29)</f>
        <v>25000</v>
      </c>
      <c r="F29" s="184">
        <f t="shared" si="10"/>
        <v>43500</v>
      </c>
      <c r="G29" s="184">
        <f t="shared" si="10"/>
        <v>40470</v>
      </c>
      <c r="H29" s="191">
        <f t="shared" si="0"/>
        <v>93.034482758620683</v>
      </c>
      <c r="I29" s="199">
        <f>SUM(N29,S29)</f>
        <v>57885</v>
      </c>
      <c r="J29" s="207">
        <v>25000</v>
      </c>
      <c r="K29" s="189">
        <v>43500</v>
      </c>
      <c r="L29" s="189">
        <v>40470</v>
      </c>
      <c r="M29" s="185">
        <f t="shared" si="2"/>
        <v>93.034482758620683</v>
      </c>
      <c r="N29" s="189">
        <v>57885</v>
      </c>
      <c r="O29" s="222"/>
      <c r="P29" s="189"/>
      <c r="Q29" s="189"/>
      <c r="R29" s="185" t="e">
        <f t="shared" si="4"/>
        <v>#DIV/0!</v>
      </c>
      <c r="S29" s="189"/>
      <c r="T29" s="227"/>
      <c r="U29" s="192"/>
      <c r="V29" s="78"/>
      <c r="W29" s="185" t="e">
        <f t="shared" si="6"/>
        <v>#DIV/0!</v>
      </c>
      <c r="X29" s="78"/>
    </row>
    <row r="30" spans="1:24" s="315" customFormat="1" ht="9.75">
      <c r="A30" s="230" t="s">
        <v>52</v>
      </c>
      <c r="B30" s="260" t="s">
        <v>51</v>
      </c>
      <c r="C30" s="260"/>
      <c r="D30" s="245" t="s">
        <v>25</v>
      </c>
      <c r="E30" s="198">
        <f t="shared" si="10"/>
        <v>0</v>
      </c>
      <c r="F30" s="184">
        <f t="shared" si="10"/>
        <v>0</v>
      </c>
      <c r="G30" s="184">
        <f t="shared" si="10"/>
        <v>0</v>
      </c>
      <c r="H30" s="191" t="e">
        <f t="shared" si="0"/>
        <v>#DIV/0!</v>
      </c>
      <c r="I30" s="199">
        <f>SUM(N30,S30)</f>
        <v>0</v>
      </c>
      <c r="J30" s="207"/>
      <c r="K30" s="189"/>
      <c r="L30" s="189"/>
      <c r="M30" s="185" t="e">
        <f t="shared" si="2"/>
        <v>#DIV/0!</v>
      </c>
      <c r="N30" s="189"/>
      <c r="O30" s="222"/>
      <c r="P30" s="189"/>
      <c r="Q30" s="189"/>
      <c r="R30" s="185" t="e">
        <f t="shared" si="4"/>
        <v>#DIV/0!</v>
      </c>
      <c r="S30" s="189"/>
      <c r="T30" s="227"/>
      <c r="U30" s="192"/>
      <c r="V30" s="192"/>
      <c r="W30" s="185" t="e">
        <f t="shared" si="6"/>
        <v>#DIV/0!</v>
      </c>
      <c r="X30" s="192"/>
    </row>
    <row r="31" spans="1:24" s="321" customFormat="1" ht="9.75">
      <c r="A31" s="230" t="s">
        <v>53</v>
      </c>
      <c r="B31" s="260" t="s">
        <v>69</v>
      </c>
      <c r="C31" s="260"/>
      <c r="D31" s="245" t="s">
        <v>25</v>
      </c>
      <c r="E31" s="198">
        <f t="shared" si="10"/>
        <v>0</v>
      </c>
      <c r="F31" s="184">
        <f t="shared" si="10"/>
        <v>0</v>
      </c>
      <c r="G31" s="184">
        <f t="shared" si="10"/>
        <v>0</v>
      </c>
      <c r="H31" s="191" t="e">
        <f t="shared" si="0"/>
        <v>#DIV/0!</v>
      </c>
      <c r="I31" s="199">
        <f>SUM(N31,S31)</f>
        <v>0</v>
      </c>
      <c r="J31" s="207"/>
      <c r="K31" s="193"/>
      <c r="L31" s="193"/>
      <c r="M31" s="185" t="e">
        <f t="shared" si="2"/>
        <v>#DIV/0!</v>
      </c>
      <c r="N31" s="193"/>
      <c r="O31" s="223"/>
      <c r="P31" s="193"/>
      <c r="Q31" s="193"/>
      <c r="R31" s="185" t="e">
        <f t="shared" si="4"/>
        <v>#DIV/0!</v>
      </c>
      <c r="S31" s="193"/>
      <c r="T31" s="224"/>
      <c r="U31" s="194"/>
      <c r="V31" s="194"/>
      <c r="W31" s="185" t="e">
        <f t="shared" si="6"/>
        <v>#DIV/0!</v>
      </c>
      <c r="X31" s="194"/>
    </row>
    <row r="32" spans="1:24" s="321" customFormat="1" ht="9.75">
      <c r="A32" s="232" t="s">
        <v>54</v>
      </c>
      <c r="B32" s="264" t="s">
        <v>70</v>
      </c>
      <c r="C32" s="264"/>
      <c r="D32" s="245" t="s">
        <v>25</v>
      </c>
      <c r="E32" s="198">
        <f>SUM(J32,O32)</f>
        <v>0</v>
      </c>
      <c r="F32" s="184">
        <f>SUM(K32,P32)</f>
        <v>0</v>
      </c>
      <c r="G32" s="184">
        <f>SUM(L32,Q32)</f>
        <v>0</v>
      </c>
      <c r="H32" s="191" t="e">
        <f t="shared" si="0"/>
        <v>#DIV/0!</v>
      </c>
      <c r="I32" s="199">
        <f>SUM(N32,S32)</f>
        <v>0</v>
      </c>
      <c r="J32" s="211"/>
      <c r="K32" s="194"/>
      <c r="L32" s="194"/>
      <c r="M32" s="185" t="e">
        <f t="shared" si="2"/>
        <v>#DIV/0!</v>
      </c>
      <c r="N32" s="194"/>
      <c r="O32" s="224"/>
      <c r="P32" s="194"/>
      <c r="Q32" s="194"/>
      <c r="R32" s="185" t="e">
        <f t="shared" si="4"/>
        <v>#DIV/0!</v>
      </c>
      <c r="S32" s="194"/>
      <c r="T32" s="224"/>
      <c r="U32" s="194"/>
      <c r="V32" s="194"/>
      <c r="W32" s="185" t="e">
        <f t="shared" si="6"/>
        <v>#DIV/0!</v>
      </c>
      <c r="X32" s="194"/>
    </row>
    <row r="33" spans="1:24" s="321" customFormat="1" ht="9.75">
      <c r="A33" s="229" t="s">
        <v>55</v>
      </c>
      <c r="B33" s="263" t="s">
        <v>56</v>
      </c>
      <c r="C33" s="263"/>
      <c r="D33" s="245" t="s">
        <v>25</v>
      </c>
      <c r="E33" s="196">
        <f>E6-E11</f>
        <v>0</v>
      </c>
      <c r="F33" s="181">
        <f t="shared" ref="F33:G33" si="11">F6-F11</f>
        <v>0</v>
      </c>
      <c r="G33" s="181">
        <f t="shared" si="11"/>
        <v>164992</v>
      </c>
      <c r="H33" s="195" t="e">
        <f t="shared" si="0"/>
        <v>#DIV/0!</v>
      </c>
      <c r="I33" s="197">
        <f t="shared" ref="I33:L33" si="12">I6-I11</f>
        <v>147209.18000000715</v>
      </c>
      <c r="J33" s="196">
        <f t="shared" si="12"/>
        <v>0</v>
      </c>
      <c r="K33" s="181">
        <f t="shared" si="12"/>
        <v>0</v>
      </c>
      <c r="L33" s="181">
        <f t="shared" si="12"/>
        <v>164992</v>
      </c>
      <c r="M33" s="180" t="e">
        <f t="shared" si="2"/>
        <v>#DIV/0!</v>
      </c>
      <c r="N33" s="181">
        <f t="shared" ref="N33:Q33" si="13">N6-N11</f>
        <v>154213.18000000156</v>
      </c>
      <c r="O33" s="196">
        <f t="shared" si="13"/>
        <v>0</v>
      </c>
      <c r="P33" s="181">
        <f t="shared" si="13"/>
        <v>0</v>
      </c>
      <c r="Q33" s="181">
        <f t="shared" si="13"/>
        <v>0</v>
      </c>
      <c r="R33" s="180" t="e">
        <f t="shared" si="4"/>
        <v>#DIV/0!</v>
      </c>
      <c r="S33" s="181">
        <f>S6-S11</f>
        <v>-7004</v>
      </c>
      <c r="T33" s="196">
        <f t="shared" ref="T33:U33" si="14">T6-T11</f>
        <v>96800</v>
      </c>
      <c r="U33" s="181">
        <f t="shared" si="14"/>
        <v>96800</v>
      </c>
      <c r="V33" s="181">
        <f>V6-V11</f>
        <v>97544</v>
      </c>
      <c r="W33" s="180">
        <f t="shared" si="6"/>
        <v>100.76859504132231</v>
      </c>
      <c r="X33" s="181">
        <f>X6-X11</f>
        <v>45563.03</v>
      </c>
    </row>
    <row r="34" spans="1:24" s="322" customFormat="1" ht="9.75">
      <c r="A34" s="254" t="s">
        <v>57</v>
      </c>
      <c r="B34" s="1157" t="s">
        <v>237</v>
      </c>
      <c r="C34" s="1157"/>
      <c r="D34" s="258" t="s">
        <v>25</v>
      </c>
      <c r="E34" s="233"/>
      <c r="F34" s="234"/>
      <c r="G34" s="234"/>
      <c r="H34" s="191" t="e">
        <f t="shared" si="0"/>
        <v>#DIV/0!</v>
      </c>
      <c r="I34" s="237"/>
      <c r="J34" s="150">
        <v>18850</v>
      </c>
      <c r="K34" s="162">
        <v>18850</v>
      </c>
      <c r="L34" s="162">
        <v>22617</v>
      </c>
      <c r="M34" s="185">
        <f t="shared" si="2"/>
        <v>119.98408488063662</v>
      </c>
      <c r="N34" s="183">
        <v>20973</v>
      </c>
      <c r="O34" s="239"/>
      <c r="P34" s="240"/>
      <c r="Q34" s="240"/>
      <c r="R34" s="185" t="e">
        <f t="shared" si="4"/>
        <v>#DIV/0!</v>
      </c>
      <c r="S34" s="183"/>
      <c r="T34" s="150"/>
      <c r="U34" s="162">
        <v>2200</v>
      </c>
      <c r="V34" s="162">
        <v>2283</v>
      </c>
      <c r="W34" s="185">
        <f t="shared" si="6"/>
        <v>103.77272727272728</v>
      </c>
      <c r="X34" s="183"/>
    </row>
    <row r="35" spans="1:24" s="322" customFormat="1" ht="9.75">
      <c r="A35" s="255" t="s">
        <v>58</v>
      </c>
      <c r="B35" s="1156" t="s">
        <v>238</v>
      </c>
      <c r="C35" s="1156"/>
      <c r="D35" s="259" t="s">
        <v>26</v>
      </c>
      <c r="E35" s="233"/>
      <c r="F35" s="234"/>
      <c r="G35" s="234"/>
      <c r="H35" s="191" t="e">
        <f t="shared" si="0"/>
        <v>#DIV/0!</v>
      </c>
      <c r="I35" s="237"/>
      <c r="J35" s="151">
        <v>1.6</v>
      </c>
      <c r="K35" s="165">
        <v>1.6</v>
      </c>
      <c r="L35" s="165">
        <v>1.6</v>
      </c>
      <c r="M35" s="185">
        <f t="shared" si="2"/>
        <v>100</v>
      </c>
      <c r="N35" s="183">
        <v>2</v>
      </c>
      <c r="O35" s="239"/>
      <c r="P35" s="240"/>
      <c r="Q35" s="240"/>
      <c r="R35" s="185" t="e">
        <f t="shared" si="4"/>
        <v>#DIV/0!</v>
      </c>
      <c r="S35" s="183"/>
      <c r="T35" s="150"/>
      <c r="U35" s="162">
        <v>0.12</v>
      </c>
      <c r="V35" s="165">
        <v>0.12</v>
      </c>
      <c r="W35" s="185">
        <f t="shared" si="6"/>
        <v>100</v>
      </c>
      <c r="X35" s="183"/>
    </row>
    <row r="36" spans="1:24" s="322" customFormat="1" ht="10.5" thickBot="1">
      <c r="A36" s="255" t="s">
        <v>59</v>
      </c>
      <c r="B36" s="1156" t="s">
        <v>239</v>
      </c>
      <c r="C36" s="1156"/>
      <c r="D36" s="259" t="s">
        <v>26</v>
      </c>
      <c r="E36" s="233"/>
      <c r="F36" s="234"/>
      <c r="G36" s="234"/>
      <c r="H36" s="191" t="e">
        <f t="shared" si="0"/>
        <v>#DIV/0!</v>
      </c>
      <c r="I36" s="237"/>
      <c r="J36" s="150">
        <v>3</v>
      </c>
      <c r="K36" s="162">
        <v>3</v>
      </c>
      <c r="L36" s="162">
        <v>3</v>
      </c>
      <c r="M36" s="185">
        <f t="shared" si="2"/>
        <v>100</v>
      </c>
      <c r="N36" s="216">
        <v>3</v>
      </c>
      <c r="O36" s="239"/>
      <c r="P36" s="240"/>
      <c r="Q36" s="240"/>
      <c r="R36" s="185" t="e">
        <f t="shared" si="4"/>
        <v>#DIV/0!</v>
      </c>
      <c r="S36" s="216"/>
      <c r="T36" s="150"/>
      <c r="U36" s="162">
        <v>6</v>
      </c>
      <c r="V36" s="168">
        <v>6</v>
      </c>
      <c r="W36" s="185">
        <f t="shared" si="6"/>
        <v>100</v>
      </c>
      <c r="X36" s="216"/>
    </row>
    <row r="37" spans="1:24" s="322" customFormat="1" ht="10.5" thickBot="1">
      <c r="A37" s="256" t="s">
        <v>240</v>
      </c>
      <c r="B37" s="1174" t="s">
        <v>241</v>
      </c>
      <c r="C37" s="1174"/>
      <c r="D37" s="257" t="s">
        <v>242</v>
      </c>
      <c r="E37" s="235"/>
      <c r="F37" s="236"/>
      <c r="G37" s="236"/>
      <c r="H37" s="202" t="e">
        <f t="shared" si="0"/>
        <v>#DIV/0!</v>
      </c>
      <c r="I37" s="238"/>
      <c r="J37" s="152">
        <v>0</v>
      </c>
      <c r="K37" s="168">
        <v>40</v>
      </c>
      <c r="L37" s="168">
        <v>68</v>
      </c>
      <c r="M37" s="217">
        <f t="shared" si="2"/>
        <v>170</v>
      </c>
      <c r="N37" s="218">
        <v>22</v>
      </c>
      <c r="O37" s="241"/>
      <c r="P37" s="242"/>
      <c r="Q37" s="242"/>
      <c r="R37" s="217" t="e">
        <f t="shared" si="4"/>
        <v>#DIV/0!</v>
      </c>
      <c r="S37" s="244"/>
      <c r="T37" s="152"/>
      <c r="U37" s="168">
        <v>3</v>
      </c>
      <c r="V37" s="168">
        <v>3</v>
      </c>
      <c r="W37" s="217">
        <f t="shared" si="6"/>
        <v>100</v>
      </c>
      <c r="X37" s="218"/>
    </row>
  </sheetData>
  <mergeCells count="40">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 ref="A1:X1"/>
    <mergeCell ref="B7:C7"/>
    <mergeCell ref="I4:I5"/>
    <mergeCell ref="J4:J5"/>
    <mergeCell ref="K4:M4"/>
    <mergeCell ref="N4:N5"/>
    <mergeCell ref="B6:C6"/>
    <mergeCell ref="A3:A5"/>
    <mergeCell ref="B3:C5"/>
    <mergeCell ref="D3:D5"/>
    <mergeCell ref="E3:I3"/>
    <mergeCell ref="J3:N3"/>
    <mergeCell ref="B13:C13"/>
    <mergeCell ref="B15:C15"/>
    <mergeCell ref="B16:C16"/>
    <mergeCell ref="B18:C18"/>
    <mergeCell ref="B19:C19"/>
    <mergeCell ref="B35:C35"/>
    <mergeCell ref="B36:C36"/>
    <mergeCell ref="B20:C20"/>
    <mergeCell ref="B21:C21"/>
    <mergeCell ref="B26:C26"/>
    <mergeCell ref="B29:C29"/>
    <mergeCell ref="B34:C34"/>
  </mergeCells>
  <pageMargins left="0.23622047244094491" right="0.23622047244094491" top="0.74803149606299213" bottom="0.74803149606299213" header="0.31496062992125984" footer="0.31496062992125984"/>
  <pageSetup paperSize="9" scale="95" firstPageNumber="168"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3"/>
  <sheetViews>
    <sheetView view="pageLayout" topLeftCell="A13" zoomScaleNormal="100" workbookViewId="0">
      <selection activeCell="J30" sqref="J30"/>
    </sheetView>
  </sheetViews>
  <sheetFormatPr defaultColWidth="16" defaultRowHeight="12.75"/>
  <cols>
    <col min="1" max="1" width="58" style="14" customWidth="1"/>
    <col min="2" max="2" width="33.5" style="14" customWidth="1"/>
    <col min="3" max="5" width="25.75" style="14" customWidth="1"/>
    <col min="6" max="6" width="22.75" style="14" customWidth="1"/>
    <col min="7" max="7" width="19.75" style="14" bestFit="1" customWidth="1"/>
    <col min="8" max="16384" width="16" style="14"/>
  </cols>
  <sheetData>
    <row r="1" spans="1:9" s="277" customFormat="1" ht="18.75">
      <c r="A1" s="277" t="s">
        <v>73</v>
      </c>
      <c r="B1" s="277" t="s">
        <v>92</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265409.95</v>
      </c>
      <c r="D6" s="1207" t="s">
        <v>415</v>
      </c>
      <c r="E6" s="1208"/>
      <c r="F6" s="1208"/>
      <c r="G6" s="1208"/>
      <c r="H6" s="1208"/>
      <c r="I6" s="1209"/>
    </row>
    <row r="7" spans="1:9" s="2" customFormat="1" ht="33.75" customHeight="1">
      <c r="A7" s="1199" t="s">
        <v>75</v>
      </c>
      <c r="B7" s="1200"/>
      <c r="C7" s="17">
        <v>229203.45</v>
      </c>
      <c r="D7" s="1205" t="s">
        <v>416</v>
      </c>
      <c r="E7" s="1205"/>
      <c r="F7" s="1205"/>
      <c r="G7" s="1205"/>
      <c r="H7" s="1205"/>
      <c r="I7" s="1206"/>
    </row>
    <row r="8" spans="1:9" s="281" customFormat="1" ht="27" customHeight="1">
      <c r="A8" s="1201" t="s">
        <v>76</v>
      </c>
      <c r="B8" s="1202"/>
      <c r="C8" s="18">
        <v>36206.5</v>
      </c>
      <c r="D8" s="1205" t="s">
        <v>417</v>
      </c>
      <c r="E8" s="1205"/>
      <c r="F8" s="1205"/>
      <c r="G8" s="1205"/>
      <c r="H8" s="1205"/>
      <c r="I8" s="1206"/>
    </row>
    <row r="9" spans="1:9" s="281" customFormat="1" ht="15" customHeight="1">
      <c r="A9" s="1203" t="s">
        <v>77</v>
      </c>
      <c r="B9" s="1204"/>
      <c r="C9" s="62">
        <v>0</v>
      </c>
      <c r="D9" s="1210" t="s">
        <v>418</v>
      </c>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17981</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200000</v>
      </c>
      <c r="D16" s="24"/>
      <c r="E16" s="24"/>
      <c r="F16" s="24"/>
      <c r="G16" s="24"/>
      <c r="H16" s="24"/>
      <c r="I16" s="24"/>
    </row>
    <row r="17" spans="1:9" s="2" customFormat="1" ht="15" customHeight="1">
      <c r="A17" s="1192"/>
      <c r="B17" s="6" t="s">
        <v>82</v>
      </c>
      <c r="C17" s="67">
        <v>47428.95</v>
      </c>
      <c r="D17" s="25"/>
      <c r="E17" s="25"/>
      <c r="F17" s="25"/>
      <c r="G17" s="25"/>
      <c r="H17" s="25"/>
      <c r="I17" s="25"/>
    </row>
    <row r="18" spans="1:9" s="2" customFormat="1" ht="15" customHeight="1">
      <c r="A18" s="275" t="s">
        <v>414</v>
      </c>
      <c r="B18" s="7"/>
      <c r="C18" s="26">
        <f>SUM(C14:C17)</f>
        <v>265409.95</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31.5" customHeight="1">
      <c r="A23" s="68" t="s">
        <v>83</v>
      </c>
      <c r="B23" s="32">
        <v>439124.55</v>
      </c>
      <c r="C23" s="32">
        <v>413865.32</v>
      </c>
      <c r="D23" s="32">
        <v>509715.64</v>
      </c>
      <c r="E23" s="32">
        <f>B23+C23-D23</f>
        <v>343274.23</v>
      </c>
      <c r="F23" s="1194" t="s">
        <v>426</v>
      </c>
      <c r="G23" s="1195"/>
      <c r="H23" s="1195"/>
      <c r="I23" s="1196"/>
    </row>
    <row r="24" spans="1:9" s="2" customFormat="1" ht="31.5" customHeight="1">
      <c r="A24" s="69" t="s">
        <v>84</v>
      </c>
      <c r="B24" s="33">
        <v>266316.33</v>
      </c>
      <c r="C24" s="33">
        <v>777659</v>
      </c>
      <c r="D24" s="33">
        <v>892448.7</v>
      </c>
      <c r="E24" s="33">
        <f t="shared" ref="E24:E26" si="0">B24+C24-D24</f>
        <v>151526.63000000012</v>
      </c>
      <c r="F24" s="1183" t="s">
        <v>427</v>
      </c>
      <c r="G24" s="1184"/>
      <c r="H24" s="1184"/>
      <c r="I24" s="1185"/>
    </row>
    <row r="25" spans="1:9" s="2" customFormat="1" ht="31.5" customHeight="1">
      <c r="A25" s="69" t="s">
        <v>82</v>
      </c>
      <c r="B25" s="33">
        <v>32897</v>
      </c>
      <c r="C25" s="33">
        <v>40000</v>
      </c>
      <c r="D25" s="33">
        <v>4200</v>
      </c>
      <c r="E25" s="33">
        <f t="shared" si="0"/>
        <v>68697</v>
      </c>
      <c r="F25" s="1183" t="s">
        <v>428</v>
      </c>
      <c r="G25" s="1184"/>
      <c r="H25" s="1184"/>
      <c r="I25" s="1185"/>
    </row>
    <row r="26" spans="1:9" s="2" customFormat="1" ht="31.5" customHeight="1">
      <c r="A26" s="70" t="s">
        <v>85</v>
      </c>
      <c r="B26" s="34">
        <v>147995.88</v>
      </c>
      <c r="C26" s="34">
        <v>153869.07999999999</v>
      </c>
      <c r="D26" s="34">
        <v>149586</v>
      </c>
      <c r="E26" s="33">
        <f t="shared" si="0"/>
        <v>152278.95999999996</v>
      </c>
      <c r="F26" s="1186" t="s">
        <v>429</v>
      </c>
      <c r="G26" s="1187"/>
      <c r="H26" s="1187"/>
      <c r="I26" s="1188"/>
    </row>
    <row r="27" spans="1:9" s="281" customFormat="1" ht="10.5">
      <c r="A27" s="3" t="s">
        <v>34</v>
      </c>
      <c r="B27" s="16">
        <f>SUM(B23:B26)</f>
        <v>886333.76</v>
      </c>
      <c r="C27" s="16">
        <f t="shared" ref="C27:E27" si="1">SUM(C23:C26)</f>
        <v>1385393.4000000001</v>
      </c>
      <c r="D27" s="16">
        <f t="shared" si="1"/>
        <v>1555950.3399999999</v>
      </c>
      <c r="E27" s="16">
        <f t="shared" si="1"/>
        <v>715776.82000000007</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c r="B32" s="32">
        <v>0</v>
      </c>
      <c r="C32" s="8">
        <v>0</v>
      </c>
      <c r="D32" s="1215"/>
      <c r="E32" s="1216"/>
      <c r="F32" s="1216"/>
      <c r="G32" s="1216"/>
      <c r="H32" s="1216"/>
      <c r="I32" s="1217"/>
    </row>
    <row r="33" spans="1:9" s="2" customFormat="1" ht="15" customHeight="1">
      <c r="A33" s="80"/>
      <c r="B33" s="34">
        <v>0</v>
      </c>
      <c r="C33" s="13">
        <v>0</v>
      </c>
      <c r="D33" s="1218"/>
      <c r="E33" s="1219"/>
      <c r="F33" s="1219"/>
      <c r="G33" s="1219"/>
      <c r="H33" s="1219"/>
      <c r="I33" s="1220"/>
    </row>
    <row r="34" spans="1:9" s="2" customFormat="1" ht="15" customHeight="1">
      <c r="A34" s="81"/>
      <c r="B34" s="82">
        <v>0</v>
      </c>
      <c r="C34" s="83">
        <v>0</v>
      </c>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c r="B40" s="32">
        <v>0</v>
      </c>
      <c r="C40" s="8">
        <v>0</v>
      </c>
      <c r="D40" s="1226"/>
      <c r="E40" s="1227"/>
      <c r="F40" s="1227"/>
      <c r="G40" s="1227"/>
      <c r="H40" s="1227"/>
      <c r="I40" s="1228"/>
    </row>
    <row r="41" spans="1:9" s="2" customFormat="1" ht="15" customHeight="1">
      <c r="A41" s="86"/>
      <c r="B41" s="33">
        <v>0</v>
      </c>
      <c r="C41" s="9">
        <v>0</v>
      </c>
      <c r="D41" s="1183"/>
      <c r="E41" s="1229"/>
      <c r="F41" s="1229"/>
      <c r="G41" s="1229"/>
      <c r="H41" s="1229"/>
      <c r="I41" s="1230"/>
    </row>
    <row r="42" spans="1:9" s="2" customFormat="1" ht="15" customHeight="1">
      <c r="A42" s="86"/>
      <c r="B42" s="33">
        <v>0</v>
      </c>
      <c r="C42" s="9">
        <v>0</v>
      </c>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c r="B48" s="36">
        <v>0</v>
      </c>
      <c r="C48" s="1239"/>
      <c r="D48" s="1239"/>
      <c r="E48" s="1239"/>
      <c r="F48" s="1239"/>
      <c r="G48" s="1239"/>
      <c r="H48" s="1239"/>
      <c r="I48" s="1240"/>
    </row>
    <row r="49" spans="1:9" s="2" customFormat="1" ht="10.15" customHeight="1">
      <c r="A49" s="71"/>
      <c r="B49" s="33">
        <v>0</v>
      </c>
      <c r="C49" s="1241"/>
      <c r="D49" s="1242"/>
      <c r="E49" s="1242"/>
      <c r="F49" s="1242"/>
      <c r="G49" s="1242"/>
      <c r="H49" s="1242"/>
      <c r="I49" s="1243"/>
    </row>
    <row r="50" spans="1:9" s="2" customFormat="1" ht="11.25">
      <c r="A50" s="88"/>
      <c r="B50" s="55">
        <v>0</v>
      </c>
      <c r="C50" s="1231"/>
      <c r="D50" s="1231"/>
      <c r="E50" s="1231"/>
      <c r="F50" s="1231"/>
      <c r="G50" s="1231"/>
      <c r="H50" s="1231"/>
      <c r="I50" s="1232"/>
    </row>
    <row r="51" spans="1:9" s="281" customFormat="1" ht="10.5">
      <c r="A51" s="16">
        <f>A48+A49+A50</f>
        <v>0</v>
      </c>
      <c r="B51" s="16">
        <v>0</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234" t="s">
        <v>259</v>
      </c>
      <c r="B55" s="1235"/>
      <c r="C55" s="56" t="s">
        <v>179</v>
      </c>
      <c r="D55" s="56" t="s">
        <v>118</v>
      </c>
      <c r="E55" s="56" t="s">
        <v>119</v>
      </c>
      <c r="F55" s="56" t="s">
        <v>244</v>
      </c>
      <c r="G55" s="56" t="s">
        <v>180</v>
      </c>
    </row>
    <row r="56" spans="1:9" s="2" customFormat="1" ht="10.15" customHeight="1">
      <c r="A56" s="1244" t="s">
        <v>435</v>
      </c>
      <c r="B56" s="1245"/>
      <c r="C56" s="143" t="s">
        <v>294</v>
      </c>
      <c r="D56" s="285">
        <v>0</v>
      </c>
      <c r="E56" s="286">
        <v>-4027.28</v>
      </c>
      <c r="F56" s="287"/>
      <c r="G56" s="288">
        <v>44296</v>
      </c>
    </row>
    <row r="57" spans="1:9" s="2" customFormat="1" ht="10.15" customHeight="1">
      <c r="A57" s="1244" t="s">
        <v>435</v>
      </c>
      <c r="B57" s="1245"/>
      <c r="C57" s="289" t="s">
        <v>246</v>
      </c>
      <c r="D57" s="290">
        <v>0</v>
      </c>
      <c r="E57" s="291">
        <v>4027.28</v>
      </c>
      <c r="F57" s="90"/>
      <c r="G57" s="288">
        <v>44297</v>
      </c>
    </row>
    <row r="58" spans="1:9" s="2" customFormat="1" ht="10.15" customHeight="1">
      <c r="A58" s="1246" t="s">
        <v>436</v>
      </c>
      <c r="B58" s="1247"/>
      <c r="C58" s="11" t="s">
        <v>437</v>
      </c>
      <c r="D58" s="292">
        <v>299582</v>
      </c>
      <c r="E58" s="293">
        <v>0</v>
      </c>
      <c r="F58" s="294"/>
      <c r="G58" s="288">
        <v>44377</v>
      </c>
    </row>
    <row r="59" spans="1:9" s="2" customFormat="1" ht="10.15" customHeight="1">
      <c r="A59" s="1246" t="s">
        <v>436</v>
      </c>
      <c r="B59" s="1247"/>
      <c r="C59" s="295" t="s">
        <v>225</v>
      </c>
      <c r="D59" s="296">
        <v>0</v>
      </c>
      <c r="E59" s="291">
        <v>200000</v>
      </c>
      <c r="F59" s="90"/>
      <c r="G59" s="297">
        <v>44377</v>
      </c>
    </row>
    <row r="60" spans="1:9" s="2" customFormat="1" ht="10.15" customHeight="1">
      <c r="A60" s="1246" t="s">
        <v>436</v>
      </c>
      <c r="B60" s="1247"/>
      <c r="C60" s="11" t="s">
        <v>145</v>
      </c>
      <c r="D60" s="298">
        <v>0</v>
      </c>
      <c r="E60" s="294">
        <v>99582</v>
      </c>
      <c r="F60" s="294"/>
      <c r="G60" s="299">
        <v>44377</v>
      </c>
    </row>
    <row r="61" spans="1:9" s="2" customFormat="1" ht="10.15" customHeight="1">
      <c r="A61" s="300" t="s">
        <v>438</v>
      </c>
      <c r="B61" s="301"/>
      <c r="C61" s="11" t="s">
        <v>245</v>
      </c>
      <c r="D61" s="298">
        <v>300.5</v>
      </c>
      <c r="E61" s="293">
        <v>0</v>
      </c>
      <c r="F61" s="294"/>
      <c r="G61" s="297">
        <v>44377</v>
      </c>
    </row>
    <row r="62" spans="1:9" s="2" customFormat="1" ht="10.15" customHeight="1">
      <c r="A62" s="300" t="s">
        <v>439</v>
      </c>
      <c r="B62" s="301"/>
      <c r="C62" s="11" t="s">
        <v>440</v>
      </c>
      <c r="D62" s="302">
        <v>0</v>
      </c>
      <c r="E62" s="294">
        <v>300.5</v>
      </c>
      <c r="F62" s="294"/>
      <c r="G62" s="303">
        <v>44377</v>
      </c>
    </row>
    <row r="63" spans="1:9" s="2" customFormat="1" ht="10.15" customHeight="1">
      <c r="A63" s="300" t="s">
        <v>441</v>
      </c>
      <c r="B63" s="301"/>
      <c r="C63" s="11" t="s">
        <v>137</v>
      </c>
      <c r="D63" s="290">
        <v>0</v>
      </c>
      <c r="E63" s="294">
        <v>620000</v>
      </c>
      <c r="F63" s="294"/>
      <c r="G63" s="303">
        <v>44500</v>
      </c>
    </row>
    <row r="64" spans="1:9" s="2" customFormat="1" ht="10.15" customHeight="1">
      <c r="A64" s="300" t="s">
        <v>441</v>
      </c>
      <c r="B64" s="301"/>
      <c r="C64" s="11" t="s">
        <v>442</v>
      </c>
      <c r="D64" s="298">
        <v>620000</v>
      </c>
      <c r="E64" s="293">
        <v>0</v>
      </c>
      <c r="F64" s="294"/>
      <c r="G64" s="303">
        <v>44500</v>
      </c>
    </row>
    <row r="65" spans="1:7" s="2" customFormat="1" ht="10.15" customHeight="1">
      <c r="A65" s="300" t="s">
        <v>443</v>
      </c>
      <c r="B65" s="301"/>
      <c r="C65" s="11" t="s">
        <v>132</v>
      </c>
      <c r="D65" s="290">
        <v>0</v>
      </c>
      <c r="E65" s="294">
        <v>200000</v>
      </c>
      <c r="F65" s="294"/>
      <c r="G65" s="303">
        <v>44500</v>
      </c>
    </row>
    <row r="66" spans="1:7" s="2" customFormat="1" ht="10.15" customHeight="1">
      <c r="A66" s="300" t="s">
        <v>444</v>
      </c>
      <c r="B66" s="301"/>
      <c r="C66" s="11" t="s">
        <v>130</v>
      </c>
      <c r="D66" s="302">
        <v>0</v>
      </c>
      <c r="E66" s="294">
        <v>79085</v>
      </c>
      <c r="F66" s="294"/>
      <c r="G66" s="303">
        <v>44500</v>
      </c>
    </row>
    <row r="67" spans="1:7" s="2" customFormat="1" ht="10.15" customHeight="1">
      <c r="A67" s="300" t="s">
        <v>445</v>
      </c>
      <c r="B67" s="301"/>
      <c r="C67" s="11" t="s">
        <v>446</v>
      </c>
      <c r="D67" s="290">
        <v>0</v>
      </c>
      <c r="E67" s="294">
        <v>4027</v>
      </c>
      <c r="F67" s="294"/>
      <c r="G67" s="303">
        <v>44500</v>
      </c>
    </row>
    <row r="68" spans="1:7" s="2" customFormat="1" ht="10.15" customHeight="1">
      <c r="A68" s="1246" t="s">
        <v>447</v>
      </c>
      <c r="B68" s="1247"/>
      <c r="C68" s="11" t="s">
        <v>142</v>
      </c>
      <c r="D68" s="290">
        <v>0</v>
      </c>
      <c r="E68" s="294">
        <v>18888</v>
      </c>
      <c r="F68" s="294"/>
      <c r="G68" s="303">
        <v>44500</v>
      </c>
    </row>
    <row r="69" spans="1:7" s="2" customFormat="1" ht="10.15" customHeight="1">
      <c r="A69" s="300" t="s">
        <v>448</v>
      </c>
      <c r="B69" s="301"/>
      <c r="C69" s="11" t="s">
        <v>145</v>
      </c>
      <c r="D69" s="290">
        <v>0</v>
      </c>
      <c r="E69" s="294">
        <v>-2000</v>
      </c>
      <c r="F69" s="294"/>
      <c r="G69" s="303">
        <v>44500</v>
      </c>
    </row>
    <row r="70" spans="1:7" s="2" customFormat="1" ht="10.15" customHeight="1">
      <c r="A70" s="300" t="s">
        <v>449</v>
      </c>
      <c r="B70" s="301"/>
      <c r="C70" s="11" t="s">
        <v>252</v>
      </c>
      <c r="D70" s="298">
        <v>300000</v>
      </c>
      <c r="E70" s="304">
        <v>0</v>
      </c>
      <c r="F70" s="294"/>
      <c r="G70" s="303">
        <v>44500</v>
      </c>
    </row>
    <row r="71" spans="1:7" s="2" customFormat="1" ht="10.15" customHeight="1">
      <c r="A71" s="1246" t="s">
        <v>450</v>
      </c>
      <c r="B71" s="1247"/>
      <c r="C71" s="11" t="s">
        <v>150</v>
      </c>
      <c r="D71" s="290">
        <v>0</v>
      </c>
      <c r="E71" s="294">
        <v>120000</v>
      </c>
      <c r="F71" s="305">
        <v>44552</v>
      </c>
      <c r="G71" s="303">
        <v>44559</v>
      </c>
    </row>
    <row r="72" spans="1:7" s="2" customFormat="1" ht="10.15" customHeight="1">
      <c r="A72" s="1246" t="s">
        <v>450</v>
      </c>
      <c r="B72" s="1247"/>
      <c r="C72" s="11" t="s">
        <v>145</v>
      </c>
      <c r="D72" s="290">
        <v>0</v>
      </c>
      <c r="E72" s="294">
        <v>-120000</v>
      </c>
      <c r="F72" s="305">
        <v>44552</v>
      </c>
      <c r="G72" s="303">
        <v>44559</v>
      </c>
    </row>
    <row r="73" spans="1:7" s="2" customFormat="1" ht="10.15" customHeight="1">
      <c r="A73" s="1248" t="s">
        <v>451</v>
      </c>
      <c r="B73" s="1249"/>
      <c r="C73" s="11" t="s">
        <v>142</v>
      </c>
      <c r="D73" s="302">
        <v>0</v>
      </c>
      <c r="E73" s="294">
        <v>16887</v>
      </c>
      <c r="F73" s="305">
        <v>44530</v>
      </c>
      <c r="G73" s="306">
        <v>44561</v>
      </c>
    </row>
    <row r="74" spans="1:7" s="2" customFormat="1" ht="10.15" customHeight="1">
      <c r="A74" s="307" t="s">
        <v>452</v>
      </c>
      <c r="B74" s="308"/>
      <c r="C74" s="11" t="s">
        <v>252</v>
      </c>
      <c r="D74" s="298">
        <v>16887</v>
      </c>
      <c r="E74" s="304">
        <v>0</v>
      </c>
      <c r="F74" s="305">
        <v>44530</v>
      </c>
      <c r="G74" s="309">
        <v>44561</v>
      </c>
    </row>
    <row r="75" spans="1:7" s="2" customFormat="1" ht="10.15" customHeight="1">
      <c r="A75" s="307" t="s">
        <v>453</v>
      </c>
      <c r="B75" s="308"/>
      <c r="C75" s="11" t="s">
        <v>145</v>
      </c>
      <c r="D75" s="298">
        <v>11442.27</v>
      </c>
      <c r="E75" s="293">
        <v>0</v>
      </c>
      <c r="F75" s="305">
        <v>44586</v>
      </c>
      <c r="G75" s="144">
        <v>44561</v>
      </c>
    </row>
    <row r="76" spans="1:7" s="2" customFormat="1" ht="10.15" customHeight="1">
      <c r="A76" s="307" t="s">
        <v>453</v>
      </c>
      <c r="B76" s="308"/>
      <c r="C76" s="11" t="s">
        <v>454</v>
      </c>
      <c r="D76" s="298">
        <v>-11442.27</v>
      </c>
      <c r="E76" s="293">
        <v>0</v>
      </c>
      <c r="F76" s="305">
        <v>44586</v>
      </c>
      <c r="G76" s="146">
        <v>44561</v>
      </c>
    </row>
    <row r="77" spans="1:7" s="2" customFormat="1" ht="10.15" customHeight="1">
      <c r="A77" s="307" t="s">
        <v>455</v>
      </c>
      <c r="B77" s="308"/>
      <c r="C77" s="11" t="s">
        <v>347</v>
      </c>
      <c r="D77" s="290">
        <v>0</v>
      </c>
      <c r="E77" s="294">
        <v>444</v>
      </c>
      <c r="F77" s="294"/>
      <c r="G77" s="146">
        <v>44561</v>
      </c>
    </row>
    <row r="78" spans="1:7" s="2" customFormat="1" ht="10.15" customHeight="1">
      <c r="A78" s="307" t="s">
        <v>455</v>
      </c>
      <c r="B78" s="308"/>
      <c r="C78" s="11" t="s">
        <v>250</v>
      </c>
      <c r="D78" s="290">
        <v>0</v>
      </c>
      <c r="E78" s="294">
        <v>519.55999999999995</v>
      </c>
      <c r="F78" s="294"/>
      <c r="G78" s="146">
        <v>44561</v>
      </c>
    </row>
    <row r="79" spans="1:7" s="2" customFormat="1" ht="10.15" customHeight="1">
      <c r="A79" s="307" t="s">
        <v>455</v>
      </c>
      <c r="B79" s="308"/>
      <c r="C79" s="11" t="s">
        <v>248</v>
      </c>
      <c r="D79" s="290">
        <v>0</v>
      </c>
      <c r="E79" s="294">
        <v>6600.91</v>
      </c>
      <c r="F79" s="294"/>
      <c r="G79" s="146">
        <v>44561</v>
      </c>
    </row>
    <row r="80" spans="1:7" s="2" customFormat="1" ht="10.15" customHeight="1">
      <c r="A80" s="307" t="s">
        <v>455</v>
      </c>
      <c r="B80" s="308"/>
      <c r="C80" s="11" t="s">
        <v>132</v>
      </c>
      <c r="D80" s="290">
        <v>0</v>
      </c>
      <c r="E80" s="294">
        <v>-6042.83</v>
      </c>
      <c r="F80" s="294"/>
      <c r="G80" s="146">
        <v>44561</v>
      </c>
    </row>
    <row r="81" spans="1:9" s="2" customFormat="1" ht="10.15" customHeight="1">
      <c r="A81" s="307" t="s">
        <v>455</v>
      </c>
      <c r="B81" s="308"/>
      <c r="C81" s="11" t="s">
        <v>120</v>
      </c>
      <c r="D81" s="290">
        <v>0</v>
      </c>
      <c r="E81" s="294">
        <v>4200</v>
      </c>
      <c r="F81" s="294"/>
      <c r="G81" s="146">
        <v>44561</v>
      </c>
    </row>
    <row r="82" spans="1:9" s="2" customFormat="1" ht="10.15" customHeight="1">
      <c r="A82" s="307" t="s">
        <v>455</v>
      </c>
      <c r="B82" s="308"/>
      <c r="C82" s="11" t="s">
        <v>147</v>
      </c>
      <c r="D82" s="298">
        <v>5721.64</v>
      </c>
      <c r="E82" s="310">
        <v>0</v>
      </c>
      <c r="F82" s="294"/>
      <c r="G82" s="146">
        <v>44561</v>
      </c>
    </row>
    <row r="83" spans="1:9" s="2" customFormat="1" ht="10.15" customHeight="1">
      <c r="A83" s="1248" t="s">
        <v>456</v>
      </c>
      <c r="B83" s="1249"/>
      <c r="C83" s="89" t="s">
        <v>457</v>
      </c>
      <c r="D83" s="311"/>
      <c r="E83" s="12">
        <v>20000</v>
      </c>
      <c r="F83" s="90"/>
      <c r="G83" s="146">
        <v>44561</v>
      </c>
    </row>
    <row r="84" spans="1:9" s="2" customFormat="1" ht="10.15" customHeight="1">
      <c r="A84" s="1248" t="s">
        <v>456</v>
      </c>
      <c r="B84" s="1249"/>
      <c r="C84" s="11" t="s">
        <v>130</v>
      </c>
      <c r="D84" s="298">
        <v>20000</v>
      </c>
      <c r="E84" s="293">
        <v>0</v>
      </c>
      <c r="F84" s="294"/>
      <c r="G84" s="146">
        <v>44561</v>
      </c>
    </row>
    <row r="85" spans="1:9" s="2" customFormat="1" ht="10.15" customHeight="1">
      <c r="A85" s="1250"/>
      <c r="B85" s="1251"/>
      <c r="C85" s="11"/>
      <c r="D85" s="11"/>
      <c r="E85" s="294"/>
      <c r="F85" s="294"/>
      <c r="G85" s="312"/>
    </row>
    <row r="86" spans="1:9" s="2" customFormat="1" ht="10.15" customHeight="1">
      <c r="A86" s="1252"/>
      <c r="B86" s="1253"/>
      <c r="C86" s="89"/>
      <c r="D86" s="89"/>
      <c r="E86" s="90"/>
      <c r="F86" s="90"/>
      <c r="G86" s="91"/>
    </row>
    <row r="87" spans="1:9" s="2" customFormat="1" ht="10.15" customHeight="1">
      <c r="A87" s="1254" t="s">
        <v>458</v>
      </c>
      <c r="B87" s="1255"/>
      <c r="C87" s="92"/>
      <c r="D87" s="93">
        <f>SUM(D56:D86)</f>
        <v>1262491.1399999999</v>
      </c>
      <c r="E87" s="93">
        <f>SUM(E56:E86)</f>
        <v>1262491.1399999999</v>
      </c>
      <c r="F87" s="1256"/>
      <c r="G87" s="1257"/>
    </row>
    <row r="88" spans="1:9" s="2" customFormat="1" ht="11.25">
      <c r="A88" s="76"/>
      <c r="B88" s="76"/>
      <c r="C88" s="37"/>
      <c r="D88" s="37"/>
      <c r="E88" s="38"/>
    </row>
    <row r="89" spans="1:9" s="2" customFormat="1" ht="11.25">
      <c r="A89" s="1261" t="s">
        <v>459</v>
      </c>
      <c r="B89" s="1261"/>
      <c r="C89" s="1261"/>
      <c r="D89" s="1261"/>
      <c r="E89" s="1261"/>
      <c r="F89" s="1261"/>
      <c r="G89" s="1261"/>
      <c r="H89" s="1261"/>
      <c r="I89" s="1261"/>
    </row>
    <row r="90" spans="1:9" s="2" customFormat="1" ht="11.25">
      <c r="A90" s="2" t="s">
        <v>90</v>
      </c>
    </row>
    <row r="91" spans="1:9" s="2" customFormat="1" ht="11.25">
      <c r="A91" s="1258" t="s">
        <v>460</v>
      </c>
      <c r="B91" s="1259"/>
      <c r="C91" s="1259"/>
      <c r="D91" s="1259"/>
      <c r="E91" s="1259"/>
      <c r="F91" s="1259"/>
      <c r="G91" s="1259"/>
      <c r="H91" s="1259"/>
      <c r="I91" s="1260"/>
    </row>
    <row r="92" spans="1:9" s="2" customFormat="1" ht="11.25">
      <c r="A92" s="1258"/>
      <c r="B92" s="1259"/>
      <c r="C92" s="1259"/>
      <c r="D92" s="1259"/>
      <c r="E92" s="1259"/>
      <c r="F92" s="1259"/>
      <c r="G92" s="1259"/>
      <c r="H92" s="1259"/>
      <c r="I92" s="1260"/>
    </row>
    <row r="93" spans="1:9" s="2" customFormat="1" ht="0.75" customHeight="1">
      <c r="A93" s="1258"/>
      <c r="B93" s="1259"/>
      <c r="C93" s="1259"/>
      <c r="D93" s="1259"/>
      <c r="E93" s="1259"/>
      <c r="F93" s="1259"/>
      <c r="G93" s="1259"/>
      <c r="H93" s="1259"/>
      <c r="I93" s="1260"/>
    </row>
    <row r="94" spans="1:9" s="2" customFormat="1" ht="11.25" hidden="1"/>
    <row r="95" spans="1:9" s="281" customFormat="1" ht="10.5">
      <c r="A95" s="1189" t="s">
        <v>461</v>
      </c>
      <c r="B95" s="1189"/>
      <c r="C95" s="1189"/>
      <c r="D95" s="1189"/>
      <c r="E95" s="1189"/>
      <c r="F95" s="1189"/>
      <c r="G95" s="1189"/>
      <c r="H95" s="1189"/>
      <c r="I95" s="1189"/>
    </row>
    <row r="96" spans="1:9" s="2" customFormat="1" ht="11.25">
      <c r="A96" s="2" t="s">
        <v>90</v>
      </c>
    </row>
    <row r="97" spans="1:9" s="2" customFormat="1" ht="12.6" customHeight="1">
      <c r="A97" s="1258" t="s">
        <v>462</v>
      </c>
      <c r="B97" s="1259"/>
      <c r="C97" s="1259"/>
      <c r="D97" s="1259"/>
      <c r="E97" s="1259"/>
      <c r="F97" s="1259"/>
      <c r="G97" s="1259"/>
      <c r="H97" s="1259"/>
      <c r="I97" s="1260"/>
    </row>
    <row r="98" spans="1:9" s="2" customFormat="1" ht="16.149999999999999" customHeight="1">
      <c r="A98" s="1258"/>
      <c r="B98" s="1259"/>
      <c r="C98" s="1259"/>
      <c r="D98" s="1259"/>
      <c r="E98" s="1259"/>
      <c r="F98" s="1259"/>
      <c r="G98" s="1259"/>
      <c r="H98" s="1259"/>
      <c r="I98" s="1260"/>
    </row>
    <row r="99" spans="1:9" s="2" customFormat="1" ht="16.149999999999999" customHeight="1">
      <c r="A99" s="76"/>
      <c r="B99" s="76"/>
      <c r="C99" s="76"/>
      <c r="D99" s="76"/>
      <c r="E99" s="76"/>
      <c r="F99" s="76"/>
      <c r="G99" s="76"/>
      <c r="H99" s="76"/>
      <c r="I99" s="76"/>
    </row>
    <row r="100" spans="1:9">
      <c r="A100" s="2" t="s">
        <v>463</v>
      </c>
    </row>
    <row r="101" spans="1:9">
      <c r="A101" s="2" t="s">
        <v>464</v>
      </c>
    </row>
    <row r="102" spans="1:9">
      <c r="A102" s="2"/>
    </row>
    <row r="103" spans="1:9">
      <c r="A103" s="2" t="s">
        <v>340</v>
      </c>
    </row>
  </sheetData>
  <mergeCells count="60">
    <mergeCell ref="A97:I97"/>
    <mergeCell ref="A98:I98"/>
    <mergeCell ref="A89:I89"/>
    <mergeCell ref="A91:I91"/>
    <mergeCell ref="A92:I92"/>
    <mergeCell ref="A93:I93"/>
    <mergeCell ref="A95:I95"/>
    <mergeCell ref="A84:B84"/>
    <mergeCell ref="A85:B85"/>
    <mergeCell ref="A86:B86"/>
    <mergeCell ref="A87:B87"/>
    <mergeCell ref="F87:G87"/>
    <mergeCell ref="A68:B68"/>
    <mergeCell ref="A71:B71"/>
    <mergeCell ref="A72:B72"/>
    <mergeCell ref="A73:B73"/>
    <mergeCell ref="A83:B83"/>
    <mergeCell ref="A56:B56"/>
    <mergeCell ref="A57:B57"/>
    <mergeCell ref="A58:B58"/>
    <mergeCell ref="A59:B59"/>
    <mergeCell ref="A60:B60"/>
    <mergeCell ref="C50:I50"/>
    <mergeCell ref="C51:I51"/>
    <mergeCell ref="A53:I53"/>
    <mergeCell ref="A55:B55"/>
    <mergeCell ref="C43:I43"/>
    <mergeCell ref="A45:I45"/>
    <mergeCell ref="C47:I47"/>
    <mergeCell ref="C48:I48"/>
    <mergeCell ref="C49:I49"/>
    <mergeCell ref="A37:I37"/>
    <mergeCell ref="D39:I39"/>
    <mergeCell ref="D40:I40"/>
    <mergeCell ref="D41:I41"/>
    <mergeCell ref="D42:I42"/>
    <mergeCell ref="F27:I27"/>
    <mergeCell ref="A29:I29"/>
    <mergeCell ref="D31:I31"/>
    <mergeCell ref="D32:I34"/>
    <mergeCell ref="C35:I35"/>
    <mergeCell ref="A3:I3"/>
    <mergeCell ref="A5:B5"/>
    <mergeCell ref="A7:B7"/>
    <mergeCell ref="A8:B8"/>
    <mergeCell ref="A9:B9"/>
    <mergeCell ref="D7:I7"/>
    <mergeCell ref="D8:I8"/>
    <mergeCell ref="D5:I5"/>
    <mergeCell ref="D6:I6"/>
    <mergeCell ref="D9:I9"/>
    <mergeCell ref="A6:B6"/>
    <mergeCell ref="F24:I24"/>
    <mergeCell ref="F25:I25"/>
    <mergeCell ref="F26:I26"/>
    <mergeCell ref="A11:I11"/>
    <mergeCell ref="A15:A17"/>
    <mergeCell ref="A20:I20"/>
    <mergeCell ref="F22:I22"/>
    <mergeCell ref="F23:I23"/>
  </mergeCells>
  <pageMargins left="0.23622047244094491" right="0.23622047244094491" top="0.74803149606299213" bottom="0.74803149606299213" header="0.31496062992125984" footer="0.31496062992125984"/>
  <pageSetup paperSize="9" firstPageNumber="129" fitToHeight="3" orientation="landscape"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5"/>
  <sheetViews>
    <sheetView zoomScaleNormal="100" workbookViewId="0">
      <selection activeCell="D9" sqref="D9:I9"/>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1507" t="s">
        <v>169</v>
      </c>
      <c r="C1" s="1507"/>
      <c r="D1" s="1507"/>
      <c r="E1" s="1507"/>
      <c r="F1" s="1507"/>
      <c r="G1" s="1507"/>
      <c r="H1" s="1507"/>
      <c r="I1" s="1507"/>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262535.76</v>
      </c>
      <c r="D6" s="1207"/>
      <c r="E6" s="1208"/>
      <c r="F6" s="1208"/>
      <c r="G6" s="1208"/>
      <c r="H6" s="1208"/>
      <c r="I6" s="1209"/>
    </row>
    <row r="7" spans="1:9" s="2" customFormat="1" ht="33.75" customHeight="1">
      <c r="A7" s="1199" t="s">
        <v>75</v>
      </c>
      <c r="B7" s="1200"/>
      <c r="C7" s="17">
        <v>164991.85999999999</v>
      </c>
      <c r="D7" s="1461" t="s">
        <v>831</v>
      </c>
      <c r="E7" s="1461"/>
      <c r="F7" s="1461"/>
      <c r="G7" s="1461"/>
      <c r="H7" s="1461"/>
      <c r="I7" s="1462"/>
    </row>
    <row r="8" spans="1:9" s="281" customFormat="1" ht="27" customHeight="1">
      <c r="A8" s="1201" t="s">
        <v>76</v>
      </c>
      <c r="B8" s="1202"/>
      <c r="C8" s="18">
        <v>97543.9</v>
      </c>
      <c r="D8" s="1461" t="s">
        <v>832</v>
      </c>
      <c r="E8" s="1461"/>
      <c r="F8" s="1461"/>
      <c r="G8" s="1461"/>
      <c r="H8" s="1461"/>
      <c r="I8" s="1462"/>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12.75" customHeight="1">
      <c r="A13" s="271" t="s">
        <v>74</v>
      </c>
      <c r="B13" s="271" t="s">
        <v>78</v>
      </c>
      <c r="C13" s="271" t="s">
        <v>25</v>
      </c>
      <c r="D13" s="21"/>
      <c r="E13" s="21"/>
      <c r="F13" s="21"/>
      <c r="G13" s="21"/>
      <c r="H13" s="21"/>
      <c r="I13" s="21"/>
    </row>
    <row r="14" spans="1:9" s="2" customFormat="1" ht="9.9499999999999993" customHeight="1">
      <c r="A14" s="63" t="s">
        <v>79</v>
      </c>
      <c r="B14" s="4"/>
      <c r="C14" s="64">
        <v>35890.5</v>
      </c>
      <c r="D14" s="22"/>
      <c r="E14" s="22"/>
      <c r="F14" s="22"/>
      <c r="G14" s="22"/>
      <c r="H14" s="22"/>
      <c r="I14" s="22"/>
    </row>
    <row r="15" spans="1:9" s="2" customFormat="1" ht="9.9499999999999993" customHeight="1">
      <c r="A15" s="1190" t="s">
        <v>80</v>
      </c>
      <c r="B15" s="23" t="s">
        <v>91</v>
      </c>
      <c r="C15" s="65">
        <v>0</v>
      </c>
      <c r="D15" s="22"/>
      <c r="E15" s="22"/>
      <c r="F15" s="22"/>
      <c r="G15" s="22"/>
      <c r="H15" s="22"/>
      <c r="I15" s="22"/>
    </row>
    <row r="16" spans="1:9" s="2" customFormat="1" ht="9.9499999999999993" customHeight="1">
      <c r="A16" s="1191"/>
      <c r="B16" s="5" t="s">
        <v>81</v>
      </c>
      <c r="C16" s="66">
        <v>206645.26</v>
      </c>
      <c r="D16" s="24"/>
      <c r="E16" s="24"/>
      <c r="F16" s="24"/>
      <c r="G16" s="24"/>
      <c r="H16" s="24"/>
      <c r="I16" s="24"/>
    </row>
    <row r="17" spans="1:9" s="2" customFormat="1" ht="9.9499999999999993" customHeight="1">
      <c r="A17" s="1192"/>
      <c r="B17" s="6" t="s">
        <v>82</v>
      </c>
      <c r="C17" s="67">
        <v>20000</v>
      </c>
      <c r="D17" s="25"/>
      <c r="E17" s="25"/>
      <c r="F17" s="25"/>
      <c r="G17" s="25"/>
      <c r="H17" s="25"/>
      <c r="I17" s="25"/>
    </row>
    <row r="18" spans="1:9" s="2" customFormat="1" ht="9.9499999999999993" customHeight="1">
      <c r="A18" s="275" t="s">
        <v>414</v>
      </c>
      <c r="B18" s="7"/>
      <c r="C18" s="26">
        <f>SUM(C14:C17)</f>
        <v>262535.76</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15" customHeight="1">
      <c r="A23" s="68" t="s">
        <v>83</v>
      </c>
      <c r="B23" s="32">
        <v>2012991.1</v>
      </c>
      <c r="C23" s="32">
        <v>1670252.2</v>
      </c>
      <c r="D23" s="32">
        <v>1653070.54</v>
      </c>
      <c r="E23" s="32">
        <f>B23+C23-D23</f>
        <v>2030172.7599999998</v>
      </c>
      <c r="F23" s="1194" t="s">
        <v>833</v>
      </c>
      <c r="G23" s="1195"/>
      <c r="H23" s="1195"/>
      <c r="I23" s="1196"/>
    </row>
    <row r="24" spans="1:9" s="2" customFormat="1" ht="15" customHeight="1">
      <c r="A24" s="69" t="s">
        <v>84</v>
      </c>
      <c r="B24" s="33">
        <v>379569.72</v>
      </c>
      <c r="C24" s="33">
        <v>1789868</v>
      </c>
      <c r="D24" s="33">
        <v>1996098.27</v>
      </c>
      <c r="E24" s="33">
        <f t="shared" ref="E24:E26" si="0">B24+C24-D24</f>
        <v>173339.44999999972</v>
      </c>
      <c r="F24" s="1183" t="s">
        <v>834</v>
      </c>
      <c r="G24" s="1184"/>
      <c r="H24" s="1184"/>
      <c r="I24" s="1185"/>
    </row>
    <row r="25" spans="1:9" s="2" customFormat="1" ht="15" customHeight="1">
      <c r="A25" s="69" t="s">
        <v>82</v>
      </c>
      <c r="B25" s="33">
        <v>65687</v>
      </c>
      <c r="C25" s="33">
        <v>30000</v>
      </c>
      <c r="D25" s="33">
        <v>9600</v>
      </c>
      <c r="E25" s="33">
        <f t="shared" si="0"/>
        <v>86087</v>
      </c>
      <c r="F25" s="1183" t="s">
        <v>835</v>
      </c>
      <c r="G25" s="1184"/>
      <c r="H25" s="1184"/>
      <c r="I25" s="1185"/>
    </row>
    <row r="26" spans="1:9" s="2" customFormat="1" ht="18" customHeight="1">
      <c r="A26" s="70" t="s">
        <v>85</v>
      </c>
      <c r="B26" s="34">
        <v>1708499.93</v>
      </c>
      <c r="C26" s="34">
        <v>1009841</v>
      </c>
      <c r="D26" s="34">
        <v>437283.8</v>
      </c>
      <c r="E26" s="33">
        <f t="shared" si="0"/>
        <v>2281057.13</v>
      </c>
      <c r="F26" s="1186" t="s">
        <v>836</v>
      </c>
      <c r="G26" s="1187"/>
      <c r="H26" s="1187"/>
      <c r="I26" s="1188"/>
    </row>
    <row r="27" spans="1:9" s="281" customFormat="1" ht="10.5">
      <c r="A27" s="3" t="s">
        <v>34</v>
      </c>
      <c r="B27" s="16">
        <f>SUM(B23:B26)</f>
        <v>4166747.75</v>
      </c>
      <c r="C27" s="16">
        <f t="shared" ref="C27:E27" si="1">SUM(C23:C26)</f>
        <v>4499961.2</v>
      </c>
      <c r="D27" s="16">
        <f t="shared" si="1"/>
        <v>4096052.61</v>
      </c>
      <c r="E27" s="16">
        <f t="shared" si="1"/>
        <v>4570656.34</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t="s">
        <v>341</v>
      </c>
      <c r="B32" s="32">
        <v>3144</v>
      </c>
      <c r="C32" s="8"/>
      <c r="D32" s="1215" t="s">
        <v>837</v>
      </c>
      <c r="E32" s="1216"/>
      <c r="F32" s="1216"/>
      <c r="G32" s="1216"/>
      <c r="H32" s="1216"/>
      <c r="I32" s="1217"/>
    </row>
    <row r="33" spans="1:9" s="2" customFormat="1" ht="15" customHeight="1">
      <c r="A33" s="81"/>
      <c r="B33" s="82"/>
      <c r="C33" s="83"/>
      <c r="D33" s="272"/>
      <c r="E33" s="273"/>
      <c r="F33" s="273"/>
      <c r="G33" s="273"/>
      <c r="H33" s="273"/>
      <c r="I33" s="274"/>
    </row>
    <row r="34" spans="1:9" s="2" customFormat="1" ht="15" customHeight="1">
      <c r="A34" s="84" t="s">
        <v>34</v>
      </c>
      <c r="B34" s="85">
        <f>SUM(B32:B33)</f>
        <v>3144</v>
      </c>
      <c r="C34" s="1224"/>
      <c r="D34" s="1224"/>
      <c r="E34" s="1224"/>
      <c r="F34" s="1224"/>
      <c r="G34" s="1224"/>
      <c r="H34" s="1224"/>
      <c r="I34" s="1225"/>
    </row>
    <row r="35" spans="1:9" s="281" customFormat="1" ht="11.25">
      <c r="A35" s="503"/>
      <c r="B35" s="504"/>
      <c r="C35" s="505"/>
      <c r="D35" s="505"/>
      <c r="E35" s="505"/>
      <c r="F35" s="505"/>
      <c r="G35" s="505"/>
      <c r="H35" s="505"/>
      <c r="I35" s="505"/>
    </row>
    <row r="36" spans="1:9" s="281" customFormat="1" ht="11.25">
      <c r="A36" s="2"/>
      <c r="B36" s="2"/>
      <c r="C36" s="19"/>
      <c r="D36" s="2"/>
      <c r="E36" s="2"/>
      <c r="F36" s="2"/>
      <c r="G36" s="2"/>
      <c r="H36" s="2"/>
      <c r="I36" s="2"/>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1.25">
      <c r="A40" s="79"/>
      <c r="B40" s="32">
        <v>0</v>
      </c>
      <c r="C40" s="8"/>
      <c r="D40" s="1226"/>
      <c r="E40" s="1227"/>
      <c r="F40" s="1227"/>
      <c r="G40" s="1227"/>
      <c r="H40" s="1227"/>
      <c r="I40" s="1228"/>
    </row>
    <row r="41" spans="1:9" s="2" customFormat="1" ht="15" customHeight="1">
      <c r="A41" s="3" t="s">
        <v>34</v>
      </c>
      <c r="B41" s="16">
        <f>SUM(B40:B40)</f>
        <v>0</v>
      </c>
      <c r="C41" s="1236"/>
      <c r="D41" s="1237"/>
      <c r="E41" s="1237"/>
      <c r="F41" s="1237"/>
      <c r="G41" s="1237"/>
      <c r="H41" s="1237"/>
      <c r="I41" s="1237"/>
    </row>
    <row r="42" spans="1:9" s="2" customFormat="1" ht="15" customHeight="1">
      <c r="A42" s="506" t="s">
        <v>170</v>
      </c>
      <c r="B42" s="507"/>
      <c r="C42" s="508"/>
      <c r="D42" s="508"/>
      <c r="E42" s="508"/>
      <c r="F42" s="508"/>
      <c r="G42" s="508"/>
      <c r="H42" s="508"/>
      <c r="I42" s="508"/>
    </row>
    <row r="43" spans="1:9" s="2" customFormat="1" ht="15" customHeight="1">
      <c r="C43" s="19"/>
    </row>
    <row r="44" spans="1:9" s="2" customFormat="1" ht="15" customHeight="1">
      <c r="A44" s="1189" t="s">
        <v>432</v>
      </c>
      <c r="B44" s="1189"/>
      <c r="C44" s="1189"/>
      <c r="D44" s="1189"/>
      <c r="E44" s="1189"/>
      <c r="F44" s="1189"/>
      <c r="G44" s="1189"/>
      <c r="H44" s="1189"/>
      <c r="I44" s="1189"/>
    </row>
    <row r="45" spans="1:9" s="2" customFormat="1" ht="15" customHeight="1">
      <c r="C45" s="19"/>
    </row>
    <row r="46" spans="1:9" s="281" customFormat="1" ht="11.25">
      <c r="A46" s="271" t="s">
        <v>25</v>
      </c>
      <c r="B46" s="270" t="s">
        <v>433</v>
      </c>
      <c r="C46" s="1238" t="s">
        <v>89</v>
      </c>
      <c r="D46" s="1238"/>
      <c r="E46" s="1238"/>
      <c r="F46" s="1238"/>
      <c r="G46" s="1238"/>
      <c r="H46" s="1238"/>
      <c r="I46" s="1238"/>
    </row>
    <row r="47" spans="1:9" s="2" customFormat="1" ht="11.25">
      <c r="A47" s="87">
        <v>20000</v>
      </c>
      <c r="B47" s="36">
        <v>20000</v>
      </c>
      <c r="C47" s="1239" t="s">
        <v>838</v>
      </c>
      <c r="D47" s="1239"/>
      <c r="E47" s="1239"/>
      <c r="F47" s="1239"/>
      <c r="G47" s="1239"/>
      <c r="H47" s="1239"/>
      <c r="I47" s="1240"/>
    </row>
    <row r="48" spans="1:9" s="2" customFormat="1" ht="11.25">
      <c r="A48" s="71">
        <v>72050</v>
      </c>
      <c r="B48" s="33">
        <v>72050</v>
      </c>
      <c r="C48" s="1241" t="s">
        <v>839</v>
      </c>
      <c r="D48" s="1242"/>
      <c r="E48" s="1242"/>
      <c r="F48" s="1242"/>
      <c r="G48" s="1242"/>
      <c r="H48" s="1242"/>
      <c r="I48" s="1243"/>
    </row>
    <row r="49" spans="1:9" s="2" customFormat="1" ht="11.25">
      <c r="A49" s="88">
        <v>19390</v>
      </c>
      <c r="B49" s="55">
        <v>19390</v>
      </c>
      <c r="C49" s="1231" t="s">
        <v>840</v>
      </c>
      <c r="D49" s="1231"/>
      <c r="E49" s="1231"/>
      <c r="F49" s="1231"/>
      <c r="G49" s="1231"/>
      <c r="H49" s="1231"/>
      <c r="I49" s="1232"/>
    </row>
    <row r="50" spans="1:9" s="2" customFormat="1" ht="11.25">
      <c r="A50" s="16">
        <f>A47+A48+A49</f>
        <v>111440</v>
      </c>
      <c r="B50" s="16">
        <f>B47+B48+B49</f>
        <v>111440</v>
      </c>
      <c r="C50" s="1233" t="s">
        <v>34</v>
      </c>
      <c r="D50" s="1233"/>
      <c r="E50" s="1233"/>
      <c r="F50" s="1233"/>
      <c r="G50" s="1233"/>
      <c r="H50" s="1233"/>
      <c r="I50" s="1233"/>
    </row>
    <row r="51" spans="1:9" s="2" customFormat="1" ht="11.25">
      <c r="C51" s="19"/>
    </row>
    <row r="52" spans="1:9" s="2" customFormat="1" ht="10.15" customHeight="1">
      <c r="A52" s="1189" t="s">
        <v>434</v>
      </c>
      <c r="B52" s="1189"/>
      <c r="C52" s="1189"/>
      <c r="D52" s="1189"/>
      <c r="E52" s="1189"/>
      <c r="F52" s="1189"/>
      <c r="G52" s="1189"/>
      <c r="H52" s="1189"/>
      <c r="I52" s="1189"/>
    </row>
    <row r="53" spans="1:9" s="2" customFormat="1" ht="11.25">
      <c r="C53" s="19"/>
    </row>
    <row r="54" spans="1:9" s="281" customFormat="1" ht="31.5">
      <c r="A54" s="1234" t="s">
        <v>259</v>
      </c>
      <c r="B54" s="1235"/>
      <c r="C54" s="56" t="s">
        <v>179</v>
      </c>
      <c r="D54" s="56" t="s">
        <v>118</v>
      </c>
      <c r="E54" s="56" t="s">
        <v>119</v>
      </c>
      <c r="F54" s="56" t="s">
        <v>244</v>
      </c>
      <c r="G54" s="56" t="s">
        <v>180</v>
      </c>
      <c r="H54" s="10"/>
      <c r="I54" s="10"/>
    </row>
    <row r="55" spans="1:9" s="2" customFormat="1" ht="11.25">
      <c r="A55" s="1510" t="s">
        <v>841</v>
      </c>
      <c r="B55" s="1511"/>
      <c r="C55" s="509" t="s">
        <v>842</v>
      </c>
      <c r="D55" s="510"/>
      <c r="E55" s="511">
        <v>-65900</v>
      </c>
      <c r="F55" s="512"/>
      <c r="G55" s="513"/>
    </row>
    <row r="56" spans="1:9" s="2" customFormat="1" ht="11.25">
      <c r="A56" s="1508" t="s">
        <v>843</v>
      </c>
      <c r="B56" s="1509"/>
      <c r="C56" s="514" t="s">
        <v>162</v>
      </c>
      <c r="D56" s="515"/>
      <c r="E56" s="516">
        <v>-20000</v>
      </c>
      <c r="F56" s="517">
        <v>44236</v>
      </c>
      <c r="G56" s="518">
        <v>44250</v>
      </c>
    </row>
    <row r="57" spans="1:9" s="2" customFormat="1" ht="9.9499999999999993" customHeight="1">
      <c r="A57" s="1508"/>
      <c r="B57" s="1509"/>
      <c r="C57" s="519" t="s">
        <v>844</v>
      </c>
      <c r="D57" s="520"/>
      <c r="E57" s="521">
        <v>85900</v>
      </c>
      <c r="F57" s="522" t="s">
        <v>845</v>
      </c>
      <c r="G57" s="523"/>
    </row>
    <row r="58" spans="1:9" s="10" customFormat="1" ht="9.9499999999999993" customHeight="1">
      <c r="A58" s="1515" t="s">
        <v>846</v>
      </c>
      <c r="B58" s="1516"/>
      <c r="C58" s="509" t="s">
        <v>145</v>
      </c>
      <c r="D58" s="510"/>
      <c r="E58" s="511">
        <v>480000</v>
      </c>
      <c r="F58" s="512">
        <v>44250</v>
      </c>
      <c r="G58" s="513">
        <v>44258</v>
      </c>
      <c r="H58" s="2"/>
      <c r="I58" s="2"/>
    </row>
    <row r="59" spans="1:9" s="2" customFormat="1" ht="9.9499999999999993" customHeight="1">
      <c r="A59" s="1517" t="s">
        <v>847</v>
      </c>
      <c r="B59" s="1518"/>
      <c r="C59" s="524" t="s">
        <v>848</v>
      </c>
      <c r="D59" s="525">
        <v>480000</v>
      </c>
      <c r="E59" s="525"/>
      <c r="F59" s="526" t="s">
        <v>849</v>
      </c>
      <c r="G59" s="527"/>
    </row>
    <row r="60" spans="1:9" s="2" customFormat="1" ht="9.9499999999999993" customHeight="1">
      <c r="A60" s="1515" t="s">
        <v>850</v>
      </c>
      <c r="B60" s="1516"/>
      <c r="C60" s="509" t="s">
        <v>155</v>
      </c>
      <c r="D60" s="510"/>
      <c r="E60" s="528">
        <v>-12000</v>
      </c>
      <c r="F60" s="529"/>
      <c r="G60" s="512"/>
    </row>
    <row r="61" spans="1:9" s="2" customFormat="1" ht="9.9499999999999993" customHeight="1">
      <c r="A61" s="1519" t="s">
        <v>851</v>
      </c>
      <c r="B61" s="1520"/>
      <c r="C61" s="530" t="s">
        <v>852</v>
      </c>
      <c r="D61" s="531"/>
      <c r="E61" s="525">
        <v>12000</v>
      </c>
      <c r="F61" s="532" t="s">
        <v>527</v>
      </c>
      <c r="G61" s="533">
        <v>44256</v>
      </c>
    </row>
    <row r="62" spans="1:9" s="2" customFormat="1" ht="9.9499999999999993" customHeight="1">
      <c r="A62" s="1510" t="s">
        <v>853</v>
      </c>
      <c r="B62" s="1511"/>
      <c r="C62" s="534" t="s">
        <v>145</v>
      </c>
      <c r="D62" s="535"/>
      <c r="E62" s="536">
        <v>200000</v>
      </c>
      <c r="F62" s="537"/>
      <c r="G62" s="538"/>
    </row>
    <row r="63" spans="1:9" s="2" customFormat="1" ht="9.9499999999999993" customHeight="1">
      <c r="A63" s="1493" t="s">
        <v>854</v>
      </c>
      <c r="B63" s="1494"/>
      <c r="C63" s="539" t="s">
        <v>131</v>
      </c>
      <c r="D63" s="540"/>
      <c r="E63" s="541">
        <v>26000</v>
      </c>
      <c r="F63" s="542" t="s">
        <v>855</v>
      </c>
      <c r="G63" s="543">
        <v>44281</v>
      </c>
    </row>
    <row r="64" spans="1:9" s="2" customFormat="1" ht="9.9499999999999993" customHeight="1">
      <c r="A64" s="1521"/>
      <c r="B64" s="1522"/>
      <c r="C64" s="544" t="s">
        <v>173</v>
      </c>
      <c r="D64" s="545"/>
      <c r="E64" s="546">
        <v>121000</v>
      </c>
      <c r="F64" s="547" t="s">
        <v>856</v>
      </c>
      <c r="G64" s="548"/>
    </row>
    <row r="65" spans="1:7" s="2" customFormat="1" ht="9.9499999999999993" customHeight="1">
      <c r="A65" s="549"/>
      <c r="B65" s="550"/>
      <c r="C65" s="551"/>
      <c r="D65" s="552"/>
      <c r="E65" s="553">
        <v>3000</v>
      </c>
      <c r="F65" s="547"/>
      <c r="G65" s="554"/>
    </row>
    <row r="66" spans="1:7" s="2" customFormat="1" ht="9.9499999999999993" customHeight="1">
      <c r="A66" s="1501"/>
      <c r="B66" s="1502"/>
      <c r="C66" s="555" t="s">
        <v>848</v>
      </c>
      <c r="D66" s="556">
        <v>350000</v>
      </c>
      <c r="E66" s="556"/>
      <c r="F66" s="557"/>
      <c r="G66" s="558"/>
    </row>
    <row r="67" spans="1:7" s="2" customFormat="1" ht="9.9499999999999993" customHeight="1">
      <c r="A67" s="1510" t="s">
        <v>857</v>
      </c>
      <c r="B67" s="1511"/>
      <c r="C67" s="559" t="s">
        <v>346</v>
      </c>
      <c r="D67" s="535">
        <v>39609</v>
      </c>
      <c r="E67" s="536"/>
      <c r="F67" s="560">
        <v>44286</v>
      </c>
      <c r="G67" s="538"/>
    </row>
    <row r="68" spans="1:7" s="2" customFormat="1" ht="9.9499999999999993" customHeight="1">
      <c r="A68" s="1493"/>
      <c r="B68" s="1494"/>
      <c r="C68" s="561" t="s">
        <v>345</v>
      </c>
      <c r="D68" s="562"/>
      <c r="E68" s="563">
        <v>39609</v>
      </c>
      <c r="F68" s="564"/>
      <c r="G68" s="565">
        <v>44286</v>
      </c>
    </row>
    <row r="69" spans="1:7" s="2" customFormat="1" ht="9.9499999999999993" customHeight="1">
      <c r="A69" s="1495" t="s">
        <v>858</v>
      </c>
      <c r="B69" s="1496"/>
      <c r="C69" s="551">
        <v>5180440</v>
      </c>
      <c r="D69" s="552"/>
      <c r="E69" s="553">
        <v>30250</v>
      </c>
      <c r="F69" s="537">
        <v>44298</v>
      </c>
      <c r="G69" s="558">
        <v>44298</v>
      </c>
    </row>
    <row r="70" spans="1:7" s="2" customFormat="1" ht="9.9499999999999993" customHeight="1">
      <c r="A70" s="1501"/>
      <c r="B70" s="1502"/>
      <c r="C70" s="566">
        <v>6480311</v>
      </c>
      <c r="D70" s="567">
        <v>30250</v>
      </c>
      <c r="E70" s="568"/>
      <c r="F70" s="557"/>
      <c r="G70" s="569"/>
    </row>
    <row r="71" spans="1:7" s="2" customFormat="1" ht="9.9499999999999993" customHeight="1">
      <c r="A71" s="1491" t="s">
        <v>859</v>
      </c>
      <c r="B71" s="1492"/>
      <c r="C71" s="534" t="s">
        <v>860</v>
      </c>
      <c r="D71" s="570"/>
      <c r="E71" s="571">
        <v>37440</v>
      </c>
      <c r="F71" s="572"/>
      <c r="G71" s="538"/>
    </row>
    <row r="72" spans="1:7" s="2" customFormat="1" ht="9.9499999999999993" customHeight="1">
      <c r="A72" s="573" t="s">
        <v>861</v>
      </c>
      <c r="B72" s="574"/>
      <c r="C72" s="551" t="s">
        <v>345</v>
      </c>
      <c r="D72" s="575"/>
      <c r="E72" s="576">
        <v>8640</v>
      </c>
      <c r="F72" s="537">
        <v>44298</v>
      </c>
      <c r="G72" s="558">
        <v>44298</v>
      </c>
    </row>
    <row r="73" spans="1:7" s="2" customFormat="1" ht="9.9499999999999993" customHeight="1">
      <c r="A73" s="1501"/>
      <c r="B73" s="1502"/>
      <c r="C73" s="566" t="s">
        <v>346</v>
      </c>
      <c r="D73" s="577">
        <v>46080</v>
      </c>
      <c r="E73" s="578"/>
      <c r="F73" s="557"/>
      <c r="G73" s="579"/>
    </row>
    <row r="74" spans="1:7" s="2" customFormat="1" ht="9.9499999999999993" customHeight="1">
      <c r="A74" s="1491" t="s">
        <v>862</v>
      </c>
      <c r="B74" s="1492"/>
      <c r="C74" s="534" t="s">
        <v>860</v>
      </c>
      <c r="D74" s="540"/>
      <c r="E74" s="580">
        <v>91133.5</v>
      </c>
      <c r="F74" s="572"/>
      <c r="G74" s="543"/>
    </row>
    <row r="75" spans="1:7" s="2" customFormat="1" ht="9.9499999999999993" customHeight="1">
      <c r="A75" s="1512"/>
      <c r="B75" s="1513"/>
      <c r="C75" s="555" t="s">
        <v>346</v>
      </c>
      <c r="D75" s="556">
        <v>91133.5</v>
      </c>
      <c r="E75" s="581"/>
      <c r="F75" s="557">
        <v>44298</v>
      </c>
      <c r="G75" s="579">
        <v>44298</v>
      </c>
    </row>
    <row r="76" spans="1:7" s="2" customFormat="1" ht="9.9499999999999993" customHeight="1">
      <c r="A76" s="1491" t="s">
        <v>863</v>
      </c>
      <c r="B76" s="1514"/>
      <c r="C76" s="534" t="s">
        <v>860</v>
      </c>
      <c r="D76" s="535"/>
      <c r="E76" s="582">
        <v>66144</v>
      </c>
      <c r="F76" s="560"/>
      <c r="G76" s="538"/>
    </row>
    <row r="77" spans="1:7" s="2" customFormat="1" ht="9.9499999999999993" customHeight="1">
      <c r="A77" s="583" t="s">
        <v>861</v>
      </c>
      <c r="B77" s="584"/>
      <c r="C77" s="544">
        <v>5270500</v>
      </c>
      <c r="D77" s="545"/>
      <c r="E77" s="585">
        <v>10656</v>
      </c>
      <c r="F77" s="554">
        <v>44327</v>
      </c>
      <c r="G77" s="548">
        <v>44327</v>
      </c>
    </row>
    <row r="78" spans="1:7" s="2" customFormat="1" ht="9.9499999999999993" customHeight="1">
      <c r="A78" s="1493"/>
      <c r="B78" s="1494"/>
      <c r="C78" s="551" t="s">
        <v>346</v>
      </c>
      <c r="D78" s="552">
        <v>76800</v>
      </c>
      <c r="E78" s="581"/>
      <c r="F78" s="586"/>
      <c r="G78" s="558"/>
    </row>
    <row r="79" spans="1:7" s="2" customFormat="1" ht="9.9499999999999993" customHeight="1">
      <c r="A79" s="1510" t="s">
        <v>864</v>
      </c>
      <c r="B79" s="1511"/>
      <c r="C79" s="559" t="s">
        <v>792</v>
      </c>
      <c r="D79" s="535">
        <v>18306</v>
      </c>
      <c r="E79" s="536"/>
      <c r="F79" s="560"/>
      <c r="G79" s="538"/>
    </row>
    <row r="80" spans="1:7" s="2" customFormat="1" ht="9.9499999999999993" customHeight="1">
      <c r="A80" s="1501" t="s">
        <v>865</v>
      </c>
      <c r="B80" s="1502"/>
      <c r="C80" s="555" t="s">
        <v>130</v>
      </c>
      <c r="D80" s="562"/>
      <c r="E80" s="563">
        <v>12238</v>
      </c>
      <c r="F80" s="564">
        <v>44336</v>
      </c>
      <c r="G80" s="565">
        <v>44336</v>
      </c>
    </row>
    <row r="81" spans="1:8" s="2" customFormat="1" ht="9.9499999999999993" customHeight="1">
      <c r="A81" s="574"/>
      <c r="B81" s="574"/>
      <c r="C81" s="587"/>
      <c r="D81" s="588"/>
      <c r="E81" s="588"/>
      <c r="F81" s="589"/>
      <c r="G81" s="589"/>
      <c r="H81" s="20"/>
    </row>
    <row r="82" spans="1:8" s="2" customFormat="1" ht="9.9499999999999993" customHeight="1">
      <c r="A82" s="590"/>
      <c r="B82" s="591"/>
      <c r="C82" s="592" t="s">
        <v>132</v>
      </c>
      <c r="D82" s="535"/>
      <c r="E82" s="535">
        <v>3153</v>
      </c>
      <c r="F82" s="560"/>
      <c r="G82" s="560"/>
    </row>
    <row r="83" spans="1:8" s="2" customFormat="1" ht="9.9499999999999993" customHeight="1">
      <c r="A83" s="593"/>
      <c r="B83" s="594"/>
      <c r="C83" s="555" t="s">
        <v>866</v>
      </c>
      <c r="D83" s="562"/>
      <c r="E83" s="563">
        <v>2915</v>
      </c>
      <c r="F83" s="564">
        <v>44342</v>
      </c>
      <c r="G83" s="565" t="s">
        <v>867</v>
      </c>
    </row>
    <row r="84" spans="1:8" s="2" customFormat="1" ht="9.9499999999999993" customHeight="1">
      <c r="A84" s="1491" t="s">
        <v>868</v>
      </c>
      <c r="B84" s="1492"/>
      <c r="C84" s="534" t="s">
        <v>792</v>
      </c>
      <c r="D84" s="535">
        <v>39669</v>
      </c>
      <c r="E84" s="595"/>
      <c r="F84" s="560">
        <v>44342</v>
      </c>
      <c r="G84" s="538">
        <v>44342</v>
      </c>
    </row>
    <row r="85" spans="1:8" s="2" customFormat="1" ht="9.9499999999999993" customHeight="1">
      <c r="A85" s="1512" t="s">
        <v>869</v>
      </c>
      <c r="B85" s="1513"/>
      <c r="C85" s="561" t="s">
        <v>342</v>
      </c>
      <c r="D85" s="562"/>
      <c r="E85" s="596">
        <v>39669</v>
      </c>
      <c r="F85" s="564"/>
      <c r="G85" s="565"/>
    </row>
    <row r="86" spans="1:8" s="2" customFormat="1" ht="9.9499999999999993" customHeight="1">
      <c r="A86" s="1491" t="s">
        <v>870</v>
      </c>
      <c r="B86" s="1514"/>
      <c r="C86" s="534" t="s">
        <v>848</v>
      </c>
      <c r="D86" s="535">
        <v>93000</v>
      </c>
      <c r="E86" s="595"/>
      <c r="F86" s="560">
        <v>44351</v>
      </c>
      <c r="G86" s="538">
        <v>44351</v>
      </c>
    </row>
    <row r="87" spans="1:8" s="2" customFormat="1" ht="9.9499999999999993" customHeight="1">
      <c r="A87" s="1493" t="s">
        <v>871</v>
      </c>
      <c r="B87" s="1494"/>
      <c r="C87" s="551" t="s">
        <v>172</v>
      </c>
      <c r="D87" s="552"/>
      <c r="E87" s="597">
        <v>93000</v>
      </c>
      <c r="F87" s="598" t="s">
        <v>872</v>
      </c>
      <c r="G87" s="558"/>
    </row>
    <row r="88" spans="1:8" s="2" customFormat="1" ht="9.9499999999999993" customHeight="1">
      <c r="A88" s="1491" t="s">
        <v>873</v>
      </c>
      <c r="B88" s="1492"/>
      <c r="C88" s="534" t="s">
        <v>792</v>
      </c>
      <c r="D88" s="599">
        <v>10701</v>
      </c>
      <c r="E88" s="600"/>
      <c r="F88" s="560">
        <v>44368</v>
      </c>
      <c r="G88" s="538"/>
    </row>
    <row r="89" spans="1:8" s="2" customFormat="1" ht="9.9499999999999993" customHeight="1">
      <c r="A89" s="1493" t="s">
        <v>874</v>
      </c>
      <c r="B89" s="1494"/>
      <c r="C89" s="551" t="s">
        <v>875</v>
      </c>
      <c r="D89" s="601"/>
      <c r="E89" s="602">
        <v>10701</v>
      </c>
      <c r="F89" s="537"/>
      <c r="G89" s="558">
        <v>44368</v>
      </c>
    </row>
    <row r="90" spans="1:8" s="2" customFormat="1" ht="9.9499999999999993" customHeight="1">
      <c r="A90" s="1491" t="s">
        <v>876</v>
      </c>
      <c r="B90" s="1492"/>
      <c r="C90" s="534" t="s">
        <v>346</v>
      </c>
      <c r="D90" s="599">
        <v>122449.5</v>
      </c>
      <c r="E90" s="603"/>
      <c r="F90" s="560"/>
      <c r="G90" s="604"/>
    </row>
    <row r="91" spans="1:8" s="2" customFormat="1" ht="9.9499999999999993" customHeight="1">
      <c r="A91" s="605"/>
      <c r="B91" s="606"/>
      <c r="C91" s="551" t="s">
        <v>345</v>
      </c>
      <c r="D91" s="601"/>
      <c r="E91" s="576">
        <v>9124.56</v>
      </c>
      <c r="F91" s="537"/>
      <c r="G91" s="558"/>
    </row>
    <row r="92" spans="1:8" s="2" customFormat="1" ht="9.9499999999999993" customHeight="1">
      <c r="A92" s="1501"/>
      <c r="B92" s="1502"/>
      <c r="C92" s="555" t="s">
        <v>860</v>
      </c>
      <c r="D92" s="577"/>
      <c r="E92" s="607">
        <v>113324.94</v>
      </c>
      <c r="F92" s="608">
        <v>44368</v>
      </c>
      <c r="G92" s="609" t="s">
        <v>877</v>
      </c>
    </row>
    <row r="93" spans="1:8" s="2" customFormat="1" ht="9.9499999999999993" customHeight="1">
      <c r="A93" s="1491" t="s">
        <v>878</v>
      </c>
      <c r="B93" s="1492"/>
      <c r="C93" s="539" t="s">
        <v>245</v>
      </c>
      <c r="D93" s="610">
        <v>9000</v>
      </c>
      <c r="E93" s="603"/>
      <c r="F93" s="560">
        <v>44375</v>
      </c>
      <c r="G93" s="560">
        <v>44376</v>
      </c>
    </row>
    <row r="94" spans="1:8" s="2" customFormat="1" ht="9.9499999999999993" customHeight="1">
      <c r="A94" s="1505" t="s">
        <v>879</v>
      </c>
      <c r="B94" s="1506"/>
      <c r="C94" s="551" t="s">
        <v>127</v>
      </c>
      <c r="D94" s="601"/>
      <c r="E94" s="611">
        <v>9000</v>
      </c>
      <c r="F94" s="612" t="s">
        <v>880</v>
      </c>
      <c r="G94" s="608"/>
    </row>
    <row r="95" spans="1:8" s="2" customFormat="1" ht="9.9499999999999993" customHeight="1">
      <c r="A95" s="1495" t="s">
        <v>881</v>
      </c>
      <c r="B95" s="1496"/>
      <c r="C95" s="534" t="s">
        <v>335</v>
      </c>
      <c r="D95" s="599"/>
      <c r="E95" s="603">
        <v>5000</v>
      </c>
      <c r="F95" s="560"/>
      <c r="G95" s="560"/>
    </row>
    <row r="96" spans="1:8" s="2" customFormat="1" ht="9.9499999999999993" customHeight="1">
      <c r="A96" s="1501"/>
      <c r="B96" s="1502"/>
      <c r="C96" s="555" t="s">
        <v>882</v>
      </c>
      <c r="D96" s="577">
        <v>5000</v>
      </c>
      <c r="E96" s="613"/>
      <c r="F96" s="608">
        <v>44377</v>
      </c>
      <c r="G96" s="558">
        <v>44377</v>
      </c>
    </row>
    <row r="97" spans="1:7" s="2" customFormat="1" ht="9.9499999999999993" customHeight="1">
      <c r="A97" s="1503" t="s">
        <v>883</v>
      </c>
      <c r="B97" s="1504"/>
      <c r="C97" s="551" t="s">
        <v>132</v>
      </c>
      <c r="D97" s="601"/>
      <c r="E97" s="603">
        <v>-30000</v>
      </c>
      <c r="F97" s="560"/>
      <c r="G97" s="560"/>
    </row>
    <row r="98" spans="1:7" s="2" customFormat="1" ht="9.9499999999999993" customHeight="1">
      <c r="A98" s="1505" t="s">
        <v>884</v>
      </c>
      <c r="B98" s="1506"/>
      <c r="C98" s="566" t="s">
        <v>130</v>
      </c>
      <c r="D98" s="614"/>
      <c r="E98" s="615">
        <v>30000</v>
      </c>
      <c r="F98" s="554">
        <v>44377</v>
      </c>
      <c r="G98" s="548">
        <v>44377</v>
      </c>
    </row>
    <row r="99" spans="1:7" s="2" customFormat="1" ht="9.9499999999999993" customHeight="1">
      <c r="A99" s="605" t="s">
        <v>885</v>
      </c>
      <c r="B99" s="606"/>
      <c r="C99" s="551" t="s">
        <v>162</v>
      </c>
      <c r="D99" s="599"/>
      <c r="E99" s="602">
        <v>19979.52</v>
      </c>
      <c r="F99" s="560"/>
      <c r="G99" s="558"/>
    </row>
    <row r="100" spans="1:7" s="2" customFormat="1" ht="9.9499999999999993" customHeight="1">
      <c r="A100" s="593"/>
      <c r="B100" s="594"/>
      <c r="C100" s="555" t="s">
        <v>886</v>
      </c>
      <c r="D100" s="616">
        <v>19979.52</v>
      </c>
      <c r="E100" s="617"/>
      <c r="F100" s="564">
        <v>44386</v>
      </c>
      <c r="G100" s="557">
        <v>44386</v>
      </c>
    </row>
    <row r="101" spans="1:7" s="2" customFormat="1" ht="9.9499999999999993" customHeight="1">
      <c r="A101" s="1495" t="s">
        <v>887</v>
      </c>
      <c r="B101" s="1496"/>
      <c r="C101" s="534" t="s">
        <v>130</v>
      </c>
      <c r="D101" s="599"/>
      <c r="E101" s="618">
        <v>3287</v>
      </c>
      <c r="F101" s="619">
        <v>44393</v>
      </c>
      <c r="G101" s="604">
        <v>44393</v>
      </c>
    </row>
    <row r="102" spans="1:7" s="2" customFormat="1" ht="9.9499999999999993" customHeight="1">
      <c r="A102" s="1512"/>
      <c r="B102" s="1513"/>
      <c r="C102" s="561" t="s">
        <v>888</v>
      </c>
      <c r="D102" s="616">
        <v>3287</v>
      </c>
      <c r="E102" s="617"/>
      <c r="F102" s="557"/>
      <c r="G102" s="557"/>
    </row>
    <row r="103" spans="1:7" s="2" customFormat="1" ht="9.9499999999999993" customHeight="1">
      <c r="A103" s="1495" t="s">
        <v>889</v>
      </c>
      <c r="B103" s="1496"/>
      <c r="C103" s="592" t="s">
        <v>173</v>
      </c>
      <c r="D103" s="570"/>
      <c r="E103" s="618">
        <v>19390</v>
      </c>
      <c r="F103" s="619"/>
      <c r="G103" s="604"/>
    </row>
    <row r="104" spans="1:7" s="2" customFormat="1" ht="9.9499999999999993" customHeight="1">
      <c r="A104" s="1512"/>
      <c r="B104" s="1513"/>
      <c r="C104" s="555" t="s">
        <v>888</v>
      </c>
      <c r="D104" s="577">
        <v>19390</v>
      </c>
      <c r="E104" s="617"/>
      <c r="F104" s="557">
        <v>44393</v>
      </c>
      <c r="G104" s="557">
        <v>44393</v>
      </c>
    </row>
    <row r="105" spans="1:7" s="2" customFormat="1" ht="9.9499999999999993" customHeight="1">
      <c r="A105" s="1495" t="s">
        <v>890</v>
      </c>
      <c r="B105" s="1496"/>
      <c r="C105" s="534">
        <v>6480811</v>
      </c>
      <c r="D105" s="599">
        <v>90000</v>
      </c>
      <c r="E105" s="602"/>
      <c r="F105" s="537"/>
      <c r="G105" s="558"/>
    </row>
    <row r="106" spans="1:7" s="2" customFormat="1" ht="9.9499999999999993" customHeight="1">
      <c r="A106" s="1497"/>
      <c r="B106" s="1498"/>
      <c r="C106" s="551">
        <v>5110300</v>
      </c>
      <c r="D106" s="575"/>
      <c r="E106" s="620">
        <v>90000</v>
      </c>
      <c r="F106" s="554">
        <v>44427</v>
      </c>
      <c r="G106" s="608">
        <v>44427</v>
      </c>
    </row>
    <row r="107" spans="1:7" s="2" customFormat="1" ht="9.9499999999999993" customHeight="1">
      <c r="A107" s="605" t="s">
        <v>891</v>
      </c>
      <c r="B107" s="606"/>
      <c r="C107" s="534" t="s">
        <v>130</v>
      </c>
      <c r="D107" s="601"/>
      <c r="E107" s="621">
        <v>3374</v>
      </c>
      <c r="F107" s="560"/>
      <c r="G107" s="538"/>
    </row>
    <row r="108" spans="1:7" s="2" customFormat="1" ht="9.9499999999999993" customHeight="1">
      <c r="A108" s="1501" t="s">
        <v>892</v>
      </c>
      <c r="B108" s="1502"/>
      <c r="C108" s="561" t="s">
        <v>792</v>
      </c>
      <c r="D108" s="577">
        <v>3374</v>
      </c>
      <c r="E108" s="622"/>
      <c r="F108" s="564">
        <v>44438</v>
      </c>
      <c r="G108" s="565">
        <v>44438</v>
      </c>
    </row>
    <row r="109" spans="1:7" s="2" customFormat="1" ht="9.9499999999999993" customHeight="1">
      <c r="A109" s="1499"/>
      <c r="B109" s="1500"/>
      <c r="C109" s="534" t="s">
        <v>882</v>
      </c>
      <c r="D109" s="599">
        <v>4600</v>
      </c>
      <c r="E109" s="623"/>
      <c r="F109" s="560"/>
      <c r="G109" s="558"/>
    </row>
    <row r="110" spans="1:7" s="2" customFormat="1" ht="9.9499999999999993" customHeight="1">
      <c r="A110" s="1501" t="s">
        <v>893</v>
      </c>
      <c r="B110" s="1502"/>
      <c r="C110" s="561" t="s">
        <v>335</v>
      </c>
      <c r="D110" s="616"/>
      <c r="E110" s="624">
        <v>4600</v>
      </c>
      <c r="F110" s="564">
        <v>44439</v>
      </c>
      <c r="G110" s="579">
        <v>44439</v>
      </c>
    </row>
    <row r="111" spans="1:7" s="2" customFormat="1" ht="9.9499999999999993" customHeight="1">
      <c r="A111" s="1491" t="s">
        <v>894</v>
      </c>
      <c r="B111" s="1492"/>
      <c r="C111" s="534">
        <v>5020320</v>
      </c>
      <c r="D111" s="599"/>
      <c r="E111" s="623">
        <v>-80000</v>
      </c>
      <c r="F111" s="537"/>
      <c r="G111" s="558"/>
    </row>
    <row r="112" spans="1:7" s="2" customFormat="1" ht="9.9499999999999993" customHeight="1">
      <c r="A112" s="1529"/>
      <c r="B112" s="1530"/>
      <c r="C112" s="551">
        <v>5020330</v>
      </c>
      <c r="D112" s="601"/>
      <c r="E112" s="625">
        <v>-120000</v>
      </c>
      <c r="F112" s="554"/>
      <c r="G112" s="548"/>
    </row>
    <row r="113" spans="1:7" s="2" customFormat="1" ht="9.9499999999999993" customHeight="1">
      <c r="A113" s="1505" t="s">
        <v>895</v>
      </c>
      <c r="B113" s="1506"/>
      <c r="C113" s="544">
        <v>5110300</v>
      </c>
      <c r="D113" s="575"/>
      <c r="E113" s="626">
        <v>140000</v>
      </c>
      <c r="F113" s="554"/>
      <c r="G113" s="548"/>
    </row>
    <row r="114" spans="1:7" s="2" customFormat="1" ht="9.9499999999999993" customHeight="1">
      <c r="A114" s="627" t="s">
        <v>343</v>
      </c>
      <c r="B114" s="628"/>
      <c r="C114" s="539" t="s">
        <v>163</v>
      </c>
      <c r="D114" s="601"/>
      <c r="E114" s="623">
        <v>40000</v>
      </c>
      <c r="F114" s="572"/>
      <c r="G114" s="543"/>
    </row>
    <row r="115" spans="1:7" s="2" customFormat="1" ht="9.9499999999999993" customHeight="1">
      <c r="A115" s="593" t="s">
        <v>896</v>
      </c>
      <c r="B115" s="629"/>
      <c r="C115" s="561" t="s">
        <v>344</v>
      </c>
      <c r="D115" s="577"/>
      <c r="E115" s="624">
        <v>20000</v>
      </c>
      <c r="F115" s="564">
        <v>44448</v>
      </c>
      <c r="G115" s="565">
        <v>44448</v>
      </c>
    </row>
    <row r="116" spans="1:7" s="2" customFormat="1" ht="9.9499999999999993" customHeight="1">
      <c r="A116" s="1491" t="s">
        <v>897</v>
      </c>
      <c r="B116" s="1492"/>
      <c r="C116" s="534" t="s">
        <v>141</v>
      </c>
      <c r="D116" s="599"/>
      <c r="E116" s="621">
        <v>-70155</v>
      </c>
      <c r="F116" s="560">
        <v>44469</v>
      </c>
      <c r="G116" s="558">
        <v>44469</v>
      </c>
    </row>
    <row r="117" spans="1:7" s="2" customFormat="1" ht="9.9499999999999993" customHeight="1">
      <c r="A117" s="630"/>
      <c r="B117" s="629"/>
      <c r="C117" s="561" t="s">
        <v>848</v>
      </c>
      <c r="D117" s="616">
        <v>-70155</v>
      </c>
      <c r="E117" s="622"/>
      <c r="F117" s="631" t="s">
        <v>898</v>
      </c>
      <c r="G117" s="579"/>
    </row>
    <row r="118" spans="1:7" s="2" customFormat="1" ht="9.9499999999999993" customHeight="1">
      <c r="A118" s="1491" t="s">
        <v>899</v>
      </c>
      <c r="B118" s="1492"/>
      <c r="C118" s="534">
        <v>5580300</v>
      </c>
      <c r="D118" s="599"/>
      <c r="E118" s="623">
        <v>30492</v>
      </c>
      <c r="F118" s="560">
        <v>44516</v>
      </c>
      <c r="G118" s="538"/>
    </row>
    <row r="119" spans="1:7" s="2" customFormat="1" ht="9.9499999999999993" customHeight="1">
      <c r="A119" s="1527"/>
      <c r="B119" s="1528"/>
      <c r="C119" s="561" t="s">
        <v>171</v>
      </c>
      <c r="D119" s="616">
        <v>30492</v>
      </c>
      <c r="E119" s="624"/>
      <c r="F119" s="564"/>
      <c r="G119" s="565">
        <v>44516</v>
      </c>
    </row>
    <row r="120" spans="1:7" s="2" customFormat="1" ht="9.9499999999999993" customHeight="1">
      <c r="A120" s="1491" t="s">
        <v>900</v>
      </c>
      <c r="B120" s="1492"/>
      <c r="C120" s="551" t="s">
        <v>860</v>
      </c>
      <c r="D120" s="599"/>
      <c r="E120" s="623">
        <v>79900.75</v>
      </c>
      <c r="F120" s="560"/>
      <c r="G120" s="560"/>
    </row>
    <row r="121" spans="1:7" s="2" customFormat="1" ht="9.9499999999999993" customHeight="1">
      <c r="A121" s="630"/>
      <c r="B121" s="629"/>
      <c r="C121" s="555" t="s">
        <v>346</v>
      </c>
      <c r="D121" s="616">
        <v>79900.75</v>
      </c>
      <c r="E121" s="617"/>
      <c r="F121" s="564">
        <v>44522</v>
      </c>
      <c r="G121" s="565">
        <v>44522</v>
      </c>
    </row>
    <row r="122" spans="1:7" s="2" customFormat="1" ht="9.9499999999999993" customHeight="1">
      <c r="A122" s="1495" t="s">
        <v>901</v>
      </c>
      <c r="B122" s="1496"/>
      <c r="C122" s="534" t="s">
        <v>162</v>
      </c>
      <c r="D122" s="599"/>
      <c r="E122" s="623">
        <v>19259.57</v>
      </c>
      <c r="F122" s="560">
        <v>44529</v>
      </c>
      <c r="G122" s="560">
        <v>44529</v>
      </c>
    </row>
    <row r="123" spans="1:7" s="2" customFormat="1" ht="9.9499999999999993" customHeight="1">
      <c r="A123" s="1501" t="s">
        <v>902</v>
      </c>
      <c r="B123" s="1502"/>
      <c r="C123" s="555" t="s">
        <v>886</v>
      </c>
      <c r="D123" s="601">
        <v>19259.57</v>
      </c>
      <c r="E123" s="611"/>
      <c r="F123" s="557"/>
      <c r="G123" s="557"/>
    </row>
    <row r="124" spans="1:7" s="2" customFormat="1" ht="9.9499999999999993" customHeight="1">
      <c r="A124" s="1525" t="s">
        <v>900</v>
      </c>
      <c r="B124" s="1526"/>
      <c r="C124" s="551" t="s">
        <v>860</v>
      </c>
      <c r="D124" s="599"/>
      <c r="E124" s="603">
        <v>10850.25</v>
      </c>
      <c r="F124" s="537"/>
      <c r="G124" s="537"/>
    </row>
    <row r="125" spans="1:7" s="2" customFormat="1" ht="9.9499999999999993" customHeight="1">
      <c r="A125" s="632"/>
      <c r="B125" s="633"/>
      <c r="C125" s="555" t="s">
        <v>346</v>
      </c>
      <c r="D125" s="577">
        <v>10850.25</v>
      </c>
      <c r="E125" s="617"/>
      <c r="F125" s="608">
        <v>44532</v>
      </c>
      <c r="G125" s="557">
        <v>44532</v>
      </c>
    </row>
    <row r="126" spans="1:7" s="2" customFormat="1" ht="9.9499999999999993" customHeight="1">
      <c r="A126" s="1525" t="s">
        <v>900</v>
      </c>
      <c r="B126" s="1526"/>
      <c r="C126" s="551" t="s">
        <v>860</v>
      </c>
      <c r="D126" s="601"/>
      <c r="E126" s="634">
        <v>16329.6</v>
      </c>
      <c r="F126" s="560"/>
      <c r="G126" s="558"/>
    </row>
    <row r="127" spans="1:7" s="2" customFormat="1" ht="9.9499999999999993" customHeight="1">
      <c r="A127" s="630"/>
      <c r="B127" s="629"/>
      <c r="C127" s="555" t="s">
        <v>346</v>
      </c>
      <c r="D127" s="577">
        <v>16329.6</v>
      </c>
      <c r="E127" s="617"/>
      <c r="F127" s="557">
        <v>44543</v>
      </c>
      <c r="G127" s="557">
        <v>44543</v>
      </c>
    </row>
    <row r="128" spans="1:7" s="2" customFormat="1" ht="9.9499999999999993" customHeight="1">
      <c r="A128" s="1491" t="s">
        <v>903</v>
      </c>
      <c r="B128" s="1492"/>
      <c r="C128" s="534" t="s">
        <v>145</v>
      </c>
      <c r="D128" s="599"/>
      <c r="E128" s="603">
        <v>-52000</v>
      </c>
      <c r="F128" s="560"/>
      <c r="G128" s="538"/>
    </row>
    <row r="129" spans="1:7" s="2" customFormat="1" ht="9.9499999999999993" customHeight="1">
      <c r="A129" s="549"/>
      <c r="B129" s="628"/>
      <c r="C129" s="551" t="s">
        <v>162</v>
      </c>
      <c r="D129" s="601"/>
      <c r="E129" s="623">
        <v>2000</v>
      </c>
      <c r="F129" s="537"/>
      <c r="G129" s="558"/>
    </row>
    <row r="130" spans="1:7" s="2" customFormat="1" ht="9.9499999999999993" customHeight="1">
      <c r="A130" s="1523"/>
      <c r="B130" s="1524"/>
      <c r="C130" s="555" t="s">
        <v>158</v>
      </c>
      <c r="D130" s="577"/>
      <c r="E130" s="624">
        <v>50000</v>
      </c>
      <c r="F130" s="557"/>
      <c r="G130" s="557"/>
    </row>
    <row r="131" spans="1:7" s="2" customFormat="1" ht="9.9499999999999993" customHeight="1">
      <c r="A131" s="587"/>
      <c r="B131" s="587"/>
      <c r="C131" s="587"/>
      <c r="D131" s="635"/>
      <c r="E131" s="623"/>
      <c r="F131" s="589"/>
      <c r="G131" s="589"/>
    </row>
    <row r="132" spans="1:7" s="2" customFormat="1" ht="9.9499999999999993" customHeight="1">
      <c r="A132" s="1491" t="s">
        <v>904</v>
      </c>
      <c r="B132" s="1492"/>
      <c r="C132" s="534" t="s">
        <v>175</v>
      </c>
      <c r="D132" s="570">
        <v>-40000</v>
      </c>
      <c r="E132" s="621"/>
      <c r="F132" s="619"/>
      <c r="G132" s="604"/>
    </row>
    <row r="133" spans="1:7" s="2" customFormat="1" ht="9.9499999999999993" customHeight="1">
      <c r="A133" s="1512" t="s">
        <v>905</v>
      </c>
      <c r="B133" s="1513"/>
      <c r="C133" s="561" t="s">
        <v>145</v>
      </c>
      <c r="D133" s="577"/>
      <c r="E133" s="622">
        <v>-40000</v>
      </c>
      <c r="F133" s="557"/>
      <c r="G133" s="579"/>
    </row>
    <row r="134" spans="1:7" s="2" customFormat="1" ht="9.9499999999999993" customHeight="1">
      <c r="A134" s="1495" t="s">
        <v>906</v>
      </c>
      <c r="B134" s="1496"/>
      <c r="C134" s="551" t="s">
        <v>174</v>
      </c>
      <c r="D134" s="599">
        <v>-180000</v>
      </c>
      <c r="E134" s="636"/>
      <c r="F134" s="558"/>
      <c r="G134" s="558"/>
    </row>
    <row r="135" spans="1:7" s="2" customFormat="1" ht="9.9499999999999993" customHeight="1">
      <c r="A135" s="1501" t="s">
        <v>907</v>
      </c>
      <c r="B135" s="1502"/>
      <c r="C135" s="555" t="s">
        <v>403</v>
      </c>
      <c r="D135" s="616"/>
      <c r="E135" s="617">
        <v>-180000</v>
      </c>
      <c r="F135" s="557"/>
      <c r="G135" s="579"/>
    </row>
    <row r="136" spans="1:7" s="2" customFormat="1" ht="9.9499999999999993" customHeight="1">
      <c r="A136" s="1491" t="s">
        <v>908</v>
      </c>
      <c r="B136" s="1492"/>
      <c r="C136" s="551" t="s">
        <v>792</v>
      </c>
      <c r="D136" s="601">
        <v>20000</v>
      </c>
      <c r="E136" s="603"/>
      <c r="F136" s="537">
        <v>44540</v>
      </c>
      <c r="G136" s="538">
        <v>44540</v>
      </c>
    </row>
    <row r="137" spans="1:7" s="2" customFormat="1" ht="9.9499999999999993" customHeight="1">
      <c r="A137" s="1529"/>
      <c r="B137" s="1530"/>
      <c r="C137" s="544" t="s">
        <v>132</v>
      </c>
      <c r="D137" s="575"/>
      <c r="E137" s="637">
        <v>17613</v>
      </c>
      <c r="F137" s="554"/>
      <c r="G137" s="558"/>
    </row>
    <row r="138" spans="1:7" s="2" customFormat="1" ht="9.9499999999999993" customHeight="1">
      <c r="A138" s="1523"/>
      <c r="B138" s="1524"/>
      <c r="C138" s="555">
        <v>5010430</v>
      </c>
      <c r="D138" s="577"/>
      <c r="E138" s="617">
        <v>2387</v>
      </c>
      <c r="F138" s="557">
        <v>44546</v>
      </c>
      <c r="G138" s="557">
        <v>44546</v>
      </c>
    </row>
    <row r="139" spans="1:7" s="2" customFormat="1" ht="9.9499999999999993" customHeight="1">
      <c r="A139" s="1491" t="s">
        <v>909</v>
      </c>
      <c r="B139" s="1492"/>
      <c r="C139" s="534" t="s">
        <v>132</v>
      </c>
      <c r="D139" s="599"/>
      <c r="E139" s="634">
        <v>51363</v>
      </c>
      <c r="F139" s="560"/>
      <c r="G139" s="558"/>
    </row>
    <row r="140" spans="1:7" s="2" customFormat="1" ht="9.9499999999999993" customHeight="1">
      <c r="A140" s="630"/>
      <c r="B140" s="629"/>
      <c r="C140" s="555" t="s">
        <v>171</v>
      </c>
      <c r="D140" s="616">
        <v>51363</v>
      </c>
      <c r="E140" s="617"/>
      <c r="F140" s="564">
        <v>44540</v>
      </c>
      <c r="G140" s="579">
        <v>44540</v>
      </c>
    </row>
    <row r="141" spans="1:7" s="2" customFormat="1" ht="9.9499999999999993" customHeight="1">
      <c r="A141" s="1491" t="s">
        <v>900</v>
      </c>
      <c r="B141" s="1492"/>
      <c r="C141" s="551" t="s">
        <v>860</v>
      </c>
      <c r="D141" s="599"/>
      <c r="E141" s="634">
        <v>17524.5</v>
      </c>
      <c r="F141" s="537"/>
      <c r="G141" s="558"/>
    </row>
    <row r="142" spans="1:7" s="2" customFormat="1" ht="9.9499999999999993" customHeight="1">
      <c r="A142" s="630"/>
      <c r="B142" s="629"/>
      <c r="C142" s="555" t="s">
        <v>346</v>
      </c>
      <c r="D142" s="616">
        <v>17524.5</v>
      </c>
      <c r="E142" s="617"/>
      <c r="F142" s="557">
        <v>44553</v>
      </c>
      <c r="G142" s="579">
        <v>44553</v>
      </c>
    </row>
    <row r="143" spans="1:7" s="2" customFormat="1" ht="9.9499999999999993" customHeight="1">
      <c r="A143" s="1491" t="s">
        <v>910</v>
      </c>
      <c r="B143" s="1492"/>
      <c r="C143" s="551" t="s">
        <v>350</v>
      </c>
      <c r="D143" s="635"/>
      <c r="E143" s="636">
        <v>-58366</v>
      </c>
      <c r="F143" s="612" t="s">
        <v>911</v>
      </c>
      <c r="G143" s="560"/>
    </row>
    <row r="144" spans="1:7" s="2" customFormat="1" ht="9.9499999999999993" customHeight="1">
      <c r="A144" s="627" t="s">
        <v>912</v>
      </c>
      <c r="B144" s="550"/>
      <c r="C144" s="544" t="s">
        <v>132</v>
      </c>
      <c r="D144" s="575"/>
      <c r="E144" s="620">
        <v>28366</v>
      </c>
      <c r="F144" s="554">
        <v>44553</v>
      </c>
      <c r="G144" s="543">
        <v>44553</v>
      </c>
    </row>
    <row r="145" spans="1:7" s="2" customFormat="1" ht="9.9499999999999993" customHeight="1">
      <c r="A145" s="583"/>
      <c r="B145" s="638"/>
      <c r="C145" s="551" t="s">
        <v>130</v>
      </c>
      <c r="D145" s="639"/>
      <c r="E145" s="637">
        <v>14000</v>
      </c>
      <c r="F145" s="554"/>
      <c r="G145" s="548"/>
    </row>
    <row r="146" spans="1:7" s="2" customFormat="1" ht="9.9499999999999993" customHeight="1">
      <c r="A146" s="640"/>
      <c r="B146" s="550"/>
      <c r="C146" s="555" t="s">
        <v>162</v>
      </c>
      <c r="D146" s="641"/>
      <c r="E146" s="642">
        <v>16000</v>
      </c>
      <c r="F146" s="564"/>
      <c r="G146" s="565"/>
    </row>
    <row r="147" spans="1:7" s="2" customFormat="1" ht="9.9499999999999993" customHeight="1">
      <c r="A147" s="1531"/>
      <c r="B147" s="1532"/>
      <c r="C147" s="534" t="s">
        <v>160</v>
      </c>
      <c r="D147" s="599"/>
      <c r="E147" s="603">
        <v>-2000</v>
      </c>
      <c r="F147" s="537"/>
      <c r="G147" s="558"/>
    </row>
    <row r="148" spans="1:7" s="2" customFormat="1" ht="9.9499999999999993" customHeight="1">
      <c r="A148" s="605"/>
      <c r="B148" s="633"/>
      <c r="C148" s="551" t="s">
        <v>162</v>
      </c>
      <c r="D148" s="577"/>
      <c r="E148" s="617">
        <v>2000</v>
      </c>
      <c r="F148" s="557">
        <v>44559</v>
      </c>
      <c r="G148" s="557">
        <v>44559</v>
      </c>
    </row>
    <row r="149" spans="1:7" s="2" customFormat="1" ht="9.9499999999999993" customHeight="1">
      <c r="A149" s="1491" t="s">
        <v>913</v>
      </c>
      <c r="B149" s="1492"/>
      <c r="C149" s="534" t="s">
        <v>251</v>
      </c>
      <c r="D149" s="635"/>
      <c r="E149" s="634">
        <v>-1124000</v>
      </c>
      <c r="F149" s="560"/>
      <c r="G149" s="560"/>
    </row>
    <row r="150" spans="1:7" s="2" customFormat="1" ht="9.9499999999999993" customHeight="1">
      <c r="A150" s="1512" t="s">
        <v>914</v>
      </c>
      <c r="B150" s="1513"/>
      <c r="C150" s="555" t="s">
        <v>349</v>
      </c>
      <c r="D150" s="577">
        <v>-1124000</v>
      </c>
      <c r="E150" s="617"/>
      <c r="F150" s="564">
        <v>44559</v>
      </c>
      <c r="G150" s="565">
        <v>44559</v>
      </c>
    </row>
    <row r="151" spans="1:7" s="2" customFormat="1" ht="9.9499999999999993" customHeight="1">
      <c r="A151" s="1495" t="s">
        <v>915</v>
      </c>
      <c r="B151" s="1496"/>
      <c r="C151" s="551" t="s">
        <v>347</v>
      </c>
      <c r="D151" s="635"/>
      <c r="E151" s="603">
        <v>-8500</v>
      </c>
      <c r="F151" s="537"/>
      <c r="G151" s="558"/>
    </row>
    <row r="152" spans="1:7" s="2" customFormat="1" ht="9.9499999999999993" customHeight="1">
      <c r="A152" s="1501" t="s">
        <v>916</v>
      </c>
      <c r="B152" s="1502"/>
      <c r="C152" s="555" t="s">
        <v>162</v>
      </c>
      <c r="D152" s="577"/>
      <c r="E152" s="642">
        <v>8500</v>
      </c>
      <c r="F152" s="557">
        <v>44559</v>
      </c>
      <c r="G152" s="557">
        <v>44559</v>
      </c>
    </row>
    <row r="153" spans="1:7" s="2" customFormat="1" ht="9.9499999999999993" customHeight="1">
      <c r="A153" s="1491" t="s">
        <v>917</v>
      </c>
      <c r="B153" s="1492"/>
      <c r="C153" s="551" t="s">
        <v>247</v>
      </c>
      <c r="D153" s="601"/>
      <c r="E153" s="634">
        <v>-1500</v>
      </c>
      <c r="F153" s="619"/>
      <c r="G153" s="558"/>
    </row>
    <row r="154" spans="1:7" s="2" customFormat="1" ht="9.9499999999999993" customHeight="1">
      <c r="A154" s="1512" t="s">
        <v>918</v>
      </c>
      <c r="B154" s="1513"/>
      <c r="C154" s="555" t="s">
        <v>348</v>
      </c>
      <c r="D154" s="577"/>
      <c r="E154" s="617">
        <v>1500</v>
      </c>
      <c r="F154" s="557">
        <v>44559</v>
      </c>
      <c r="G154" s="557">
        <v>44559</v>
      </c>
    </row>
    <row r="155" spans="1:7" s="2" customFormat="1" ht="9.9499999999999993" customHeight="1">
      <c r="A155" s="1254" t="s">
        <v>458</v>
      </c>
      <c r="B155" s="1255"/>
      <c r="C155" s="92"/>
      <c r="D155" s="93">
        <f>SUM(D55:D154)</f>
        <v>384193.19000000018</v>
      </c>
      <c r="E155" s="93">
        <f>SUM(E55:E154)</f>
        <v>384193.19000000018</v>
      </c>
      <c r="F155" s="1256"/>
      <c r="G155" s="1257"/>
    </row>
    <row r="156" spans="1:7" s="2" customFormat="1" ht="9.9499999999999993" customHeight="1">
      <c r="A156" s="76"/>
      <c r="B156" s="76"/>
      <c r="C156" s="37"/>
      <c r="D156" s="37"/>
      <c r="E156" s="38"/>
    </row>
    <row r="157" spans="1:7" s="2" customFormat="1" ht="9.9499999999999993" customHeight="1">
      <c r="A157" s="269" t="s">
        <v>459</v>
      </c>
      <c r="B157" s="269"/>
      <c r="C157" s="269"/>
      <c r="D157" s="269"/>
      <c r="E157" s="269"/>
      <c r="F157" s="269"/>
      <c r="G157" s="269"/>
    </row>
    <row r="158" spans="1:7" s="2" customFormat="1" ht="9.9499999999999993" customHeight="1">
      <c r="A158" s="2" t="s">
        <v>90</v>
      </c>
    </row>
    <row r="159" spans="1:7" s="2" customFormat="1" ht="9.9499999999999993" customHeight="1">
      <c r="A159" s="265"/>
      <c r="B159" s="266"/>
      <c r="C159" s="266"/>
      <c r="D159" s="266"/>
      <c r="E159" s="266"/>
      <c r="F159" s="266"/>
      <c r="G159" s="266"/>
    </row>
    <row r="160" spans="1:7" s="2" customFormat="1" ht="9.9499999999999993" customHeight="1">
      <c r="A160" s="265" t="s">
        <v>351</v>
      </c>
      <c r="B160" s="266"/>
      <c r="C160" s="266"/>
      <c r="D160" s="266"/>
      <c r="E160" s="266"/>
      <c r="F160" s="266"/>
      <c r="G160" s="266"/>
    </row>
    <row r="161" spans="1:10" s="2" customFormat="1" ht="9.9499999999999993" customHeight="1">
      <c r="A161" s="265"/>
      <c r="B161" s="266"/>
      <c r="C161" s="266"/>
      <c r="D161" s="266"/>
      <c r="E161" s="266"/>
      <c r="F161" s="266"/>
      <c r="G161" s="266"/>
    </row>
    <row r="162" spans="1:10" s="2" customFormat="1" ht="9.9499999999999993" customHeight="1"/>
    <row r="163" spans="1:10" s="2" customFormat="1" ht="9.9499999999999993" customHeight="1">
      <c r="A163" s="268" t="s">
        <v>461</v>
      </c>
      <c r="B163" s="268"/>
      <c r="C163" s="268"/>
      <c r="D163" s="268"/>
      <c r="E163" s="268"/>
      <c r="F163" s="268"/>
      <c r="G163" s="268"/>
      <c r="H163" s="269"/>
      <c r="I163" s="269"/>
    </row>
    <row r="164" spans="1:10" s="2" customFormat="1" ht="10.15" customHeight="1">
      <c r="A164" s="2" t="s">
        <v>90</v>
      </c>
    </row>
    <row r="165" spans="1:10" s="2" customFormat="1" ht="10.15" customHeight="1">
      <c r="A165" s="265"/>
      <c r="B165" s="266"/>
      <c r="C165" s="266"/>
      <c r="D165" s="266"/>
      <c r="E165" s="266"/>
      <c r="F165" s="266"/>
      <c r="G165" s="266"/>
      <c r="H165" s="266"/>
      <c r="I165" s="267"/>
    </row>
    <row r="166" spans="1:10" s="2" customFormat="1" ht="11.25">
      <c r="A166" s="1258" t="s">
        <v>919</v>
      </c>
      <c r="B166" s="1259"/>
      <c r="C166" s="1259"/>
      <c r="D166" s="1259"/>
      <c r="E166" s="1259"/>
      <c r="F166" s="1259"/>
      <c r="G166" s="1259"/>
      <c r="H166" s="266"/>
      <c r="I166" s="267"/>
    </row>
    <row r="167" spans="1:10" s="2" customFormat="1" ht="11.25">
      <c r="A167" s="1258" t="s">
        <v>920</v>
      </c>
      <c r="B167" s="1259"/>
      <c r="C167" s="1259"/>
      <c r="D167" s="1259"/>
      <c r="E167" s="1259"/>
      <c r="F167" s="1259"/>
      <c r="G167" s="1259"/>
      <c r="H167" s="1259"/>
      <c r="I167" s="1260"/>
    </row>
    <row r="168" spans="1:10" s="2" customFormat="1" ht="11.25">
      <c r="A168" s="1533" t="s">
        <v>921</v>
      </c>
      <c r="B168" s="1307"/>
      <c r="C168" s="1307"/>
      <c r="D168" s="1307"/>
      <c r="E168" s="1307"/>
      <c r="F168" s="1307"/>
      <c r="G168" s="1307"/>
      <c r="H168" s="266"/>
      <c r="I168" s="267"/>
    </row>
    <row r="169" spans="1:10" s="2" customFormat="1" ht="12.75" customHeight="1">
      <c r="A169" s="1258" t="s">
        <v>922</v>
      </c>
      <c r="B169" s="1259"/>
      <c r="C169" s="1259"/>
      <c r="D169" s="1259"/>
      <c r="E169" s="1259"/>
      <c r="F169" s="1259"/>
      <c r="G169" s="1259"/>
      <c r="H169" s="266"/>
      <c r="I169" s="267"/>
    </row>
    <row r="170" spans="1:10" s="2" customFormat="1" ht="11.25">
      <c r="A170" s="643"/>
      <c r="B170" s="643"/>
      <c r="C170" s="643"/>
      <c r="D170" s="643"/>
      <c r="E170" s="643"/>
      <c r="F170" s="643"/>
      <c r="G170" s="643"/>
      <c r="H170" s="643"/>
      <c r="I170" s="643"/>
      <c r="J170" s="20"/>
    </row>
    <row r="171" spans="1:10" s="2" customFormat="1" ht="11.25">
      <c r="A171" s="76"/>
      <c r="B171" s="76"/>
      <c r="C171" s="76"/>
      <c r="D171" s="76"/>
      <c r="E171" s="76"/>
      <c r="F171" s="76"/>
      <c r="G171" s="76"/>
      <c r="H171" s="76"/>
      <c r="I171" s="76"/>
    </row>
    <row r="172" spans="1:10" s="2" customFormat="1">
      <c r="A172" s="2" t="s">
        <v>352</v>
      </c>
      <c r="B172" s="14"/>
      <c r="C172" s="14"/>
      <c r="D172" s="35"/>
      <c r="E172" s="14"/>
      <c r="F172" s="35"/>
      <c r="G172" s="35"/>
      <c r="H172" s="644"/>
      <c r="I172" s="644"/>
    </row>
    <row r="173" spans="1:10" s="2" customFormat="1">
      <c r="A173" s="2" t="s">
        <v>353</v>
      </c>
      <c r="B173" s="14"/>
      <c r="C173" s="14"/>
      <c r="D173" s="14"/>
      <c r="E173" s="14"/>
      <c r="F173" s="35"/>
      <c r="G173" s="35"/>
      <c r="H173" s="645"/>
      <c r="I173" s="645"/>
    </row>
    <row r="174" spans="1:10" s="2" customFormat="1">
      <c r="B174" s="14"/>
      <c r="C174" s="14"/>
      <c r="D174" s="14"/>
      <c r="E174" s="14"/>
      <c r="F174" s="35"/>
      <c r="G174" s="35"/>
      <c r="H174" s="644"/>
      <c r="I174" s="644"/>
    </row>
    <row r="175" spans="1:10" s="2" customFormat="1">
      <c r="A175" s="2" t="s">
        <v>923</v>
      </c>
      <c r="B175" s="14"/>
      <c r="C175" s="14"/>
      <c r="D175" s="14"/>
      <c r="E175" s="14"/>
      <c r="F175" s="35"/>
      <c r="G175" s="35"/>
      <c r="H175" s="646"/>
      <c r="I175" s="646"/>
    </row>
    <row r="176" spans="1:10" s="2" customFormat="1">
      <c r="A176" s="14"/>
      <c r="B176" s="14"/>
      <c r="C176" s="14"/>
      <c r="D176" s="14"/>
      <c r="E176" s="14"/>
      <c r="F176" s="14"/>
      <c r="G176" s="14"/>
      <c r="H176" s="76"/>
      <c r="I176" s="647"/>
    </row>
    <row r="177" spans="1:9" s="2" customFormat="1">
      <c r="A177" s="14"/>
      <c r="B177" s="14"/>
      <c r="C177" s="14"/>
      <c r="D177" s="14"/>
      <c r="E177" s="14"/>
      <c r="F177" s="14"/>
      <c r="G177" s="14"/>
      <c r="H177" s="76"/>
      <c r="I177" s="76"/>
    </row>
    <row r="178" spans="1:9" s="2" customFormat="1">
      <c r="A178" s="14"/>
      <c r="B178" s="14"/>
      <c r="C178" s="14"/>
      <c r="D178" s="14"/>
      <c r="E178" s="14"/>
      <c r="F178" s="14"/>
      <c r="G178" s="14"/>
      <c r="H178" s="14"/>
      <c r="I178" s="14"/>
    </row>
    <row r="179" spans="1:9" s="2" customFormat="1" ht="0.75" customHeight="1">
      <c r="A179" s="14"/>
      <c r="B179" s="14"/>
      <c r="C179" s="14"/>
      <c r="D179" s="14"/>
      <c r="E179" s="14"/>
      <c r="F179" s="14"/>
      <c r="G179" s="14"/>
      <c r="H179" s="14"/>
      <c r="I179" s="14"/>
    </row>
    <row r="180" spans="1:9" s="2" customFormat="1" hidden="1">
      <c r="A180" s="14"/>
      <c r="B180" s="14"/>
      <c r="C180" s="14"/>
      <c r="D180" s="14"/>
      <c r="E180" s="14"/>
      <c r="F180" s="14"/>
      <c r="G180" s="14"/>
      <c r="H180" s="14"/>
      <c r="I180" s="14"/>
    </row>
    <row r="181" spans="1:9" s="281" customFormat="1">
      <c r="A181" s="14"/>
      <c r="B181" s="14"/>
      <c r="C181" s="14"/>
      <c r="D181" s="14"/>
      <c r="E181" s="14"/>
      <c r="F181" s="14"/>
      <c r="G181" s="14"/>
      <c r="H181" s="14"/>
      <c r="I181" s="14"/>
    </row>
    <row r="182" spans="1:9" s="2" customFormat="1">
      <c r="A182" s="14"/>
      <c r="B182" s="14"/>
      <c r="C182" s="14"/>
      <c r="D182" s="14"/>
      <c r="E182" s="14"/>
      <c r="F182" s="14"/>
      <c r="G182" s="14"/>
      <c r="H182" s="14"/>
      <c r="I182" s="14"/>
    </row>
    <row r="183" spans="1:9" s="2" customFormat="1" ht="12.6" customHeight="1">
      <c r="A183" s="14"/>
      <c r="B183" s="14"/>
      <c r="C183" s="14"/>
      <c r="D183" s="14"/>
      <c r="E183" s="14"/>
      <c r="F183" s="14"/>
      <c r="G183" s="14"/>
      <c r="H183" s="14"/>
      <c r="I183" s="14"/>
    </row>
    <row r="184" spans="1:9" s="2" customFormat="1" ht="16.149999999999999" customHeight="1">
      <c r="A184" s="14"/>
      <c r="B184" s="14"/>
      <c r="C184" s="14"/>
      <c r="D184" s="14"/>
      <c r="E184" s="14"/>
      <c r="F184" s="14"/>
      <c r="G184" s="14"/>
      <c r="H184" s="14"/>
      <c r="I184" s="14"/>
    </row>
    <row r="185" spans="1:9" s="2" customFormat="1" ht="16.149999999999999" customHeight="1">
      <c r="A185" s="14"/>
      <c r="B185" s="14"/>
      <c r="C185" s="14"/>
      <c r="D185" s="14"/>
      <c r="E185" s="14"/>
      <c r="F185" s="14"/>
      <c r="G185" s="14"/>
      <c r="H185" s="14"/>
      <c r="I185" s="14"/>
    </row>
  </sheetData>
  <mergeCells count="119">
    <mergeCell ref="A152:B152"/>
    <mergeCell ref="A153:B153"/>
    <mergeCell ref="A154:B154"/>
    <mergeCell ref="A155:B155"/>
    <mergeCell ref="F155:G155"/>
    <mergeCell ref="A166:G166"/>
    <mergeCell ref="A167:I167"/>
    <mergeCell ref="A168:G168"/>
    <mergeCell ref="A169:G169"/>
    <mergeCell ref="A137:B137"/>
    <mergeCell ref="A138:B138"/>
    <mergeCell ref="A139:B139"/>
    <mergeCell ref="A141:B141"/>
    <mergeCell ref="A143:B143"/>
    <mergeCell ref="A147:B147"/>
    <mergeCell ref="A149:B149"/>
    <mergeCell ref="A150:B150"/>
    <mergeCell ref="A151:B151"/>
    <mergeCell ref="A118:B118"/>
    <mergeCell ref="A119:B119"/>
    <mergeCell ref="A120:B120"/>
    <mergeCell ref="A111:B111"/>
    <mergeCell ref="A112:B112"/>
    <mergeCell ref="A113:B113"/>
    <mergeCell ref="A102:B102"/>
    <mergeCell ref="A103:B103"/>
    <mergeCell ref="A108:B108"/>
    <mergeCell ref="A116:B116"/>
    <mergeCell ref="A130:B130"/>
    <mergeCell ref="A132:B132"/>
    <mergeCell ref="A133:B133"/>
    <mergeCell ref="A134:B134"/>
    <mergeCell ref="A135:B135"/>
    <mergeCell ref="A136:B136"/>
    <mergeCell ref="A122:B122"/>
    <mergeCell ref="A123:B123"/>
    <mergeCell ref="A124:B124"/>
    <mergeCell ref="A126:B126"/>
    <mergeCell ref="A128:B128"/>
    <mergeCell ref="F22:I22"/>
    <mergeCell ref="F23:I23"/>
    <mergeCell ref="F24:I24"/>
    <mergeCell ref="A62:B62"/>
    <mergeCell ref="A104:B104"/>
    <mergeCell ref="A74:B74"/>
    <mergeCell ref="A75:B75"/>
    <mergeCell ref="A76:B76"/>
    <mergeCell ref="A78:B78"/>
    <mergeCell ref="A58:B58"/>
    <mergeCell ref="A59:B59"/>
    <mergeCell ref="A60:B60"/>
    <mergeCell ref="A61:B61"/>
    <mergeCell ref="A63:B63"/>
    <mergeCell ref="A64:B64"/>
    <mergeCell ref="A66:B66"/>
    <mergeCell ref="A90:B90"/>
    <mergeCell ref="A79:B79"/>
    <mergeCell ref="A85:B85"/>
    <mergeCell ref="A86:B86"/>
    <mergeCell ref="A87:B87"/>
    <mergeCell ref="A55:B55"/>
    <mergeCell ref="A56:B56"/>
    <mergeCell ref="A69:B69"/>
    <mergeCell ref="B1:I1"/>
    <mergeCell ref="A57:B57"/>
    <mergeCell ref="A73:B73"/>
    <mergeCell ref="A3:I3"/>
    <mergeCell ref="A11:I11"/>
    <mergeCell ref="A5:B5"/>
    <mergeCell ref="A6:B6"/>
    <mergeCell ref="A7:B7"/>
    <mergeCell ref="A8:B8"/>
    <mergeCell ref="D5:I5"/>
    <mergeCell ref="D6:I6"/>
    <mergeCell ref="D7:I7"/>
    <mergeCell ref="D8:I8"/>
    <mergeCell ref="A29:I29"/>
    <mergeCell ref="D31:I31"/>
    <mergeCell ref="A15:A17"/>
    <mergeCell ref="A20:I20"/>
    <mergeCell ref="A9:B9"/>
    <mergeCell ref="D9:I9"/>
    <mergeCell ref="C50:I50"/>
    <mergeCell ref="A67:B67"/>
    <mergeCell ref="D32:I32"/>
    <mergeCell ref="C34:I34"/>
    <mergeCell ref="A54:B54"/>
    <mergeCell ref="F25:I25"/>
    <mergeCell ref="F26:I26"/>
    <mergeCell ref="F27:I27"/>
    <mergeCell ref="A70:B70"/>
    <mergeCell ref="C49:I49"/>
    <mergeCell ref="A68:B68"/>
    <mergeCell ref="A37:I37"/>
    <mergeCell ref="D39:I39"/>
    <mergeCell ref="D40:I40"/>
    <mergeCell ref="C41:I41"/>
    <mergeCell ref="A44:I44"/>
    <mergeCell ref="C46:I46"/>
    <mergeCell ref="C47:I47"/>
    <mergeCell ref="C48:I48"/>
    <mergeCell ref="A52:I52"/>
    <mergeCell ref="A71:B71"/>
    <mergeCell ref="A84:B84"/>
    <mergeCell ref="A88:B88"/>
    <mergeCell ref="A89:B89"/>
    <mergeCell ref="A105:B105"/>
    <mergeCell ref="A106:B106"/>
    <mergeCell ref="A109:B109"/>
    <mergeCell ref="A110:B110"/>
    <mergeCell ref="A97:B97"/>
    <mergeCell ref="A98:B98"/>
    <mergeCell ref="A80:B80"/>
    <mergeCell ref="A93:B93"/>
    <mergeCell ref="A94:B94"/>
    <mergeCell ref="A95:B95"/>
    <mergeCell ref="A96:B96"/>
    <mergeCell ref="A101:B101"/>
    <mergeCell ref="A92:B92"/>
  </mergeCells>
  <pageMargins left="0.23622047244094491" right="0.23622047244094491" top="0.74803149606299213" bottom="0.74803149606299213" header="0.31496062992125984" footer="0.31496062992125984"/>
  <pageSetup paperSize="9" firstPageNumber="169" fitToHeight="5"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opLeftCell="A19" zoomScale="130" zoomScaleNormal="130" workbookViewId="0">
      <selection activeCell="J11" sqref="J11"/>
    </sheetView>
  </sheetViews>
  <sheetFormatPr defaultColWidth="6.5" defaultRowHeight="8.25"/>
  <cols>
    <col min="1" max="1" width="5.5" style="40" customWidth="1"/>
    <col min="2" max="2" width="6.5" customWidth="1"/>
    <col min="3" max="3" width="36.75" customWidth="1"/>
    <col min="4" max="4" width="9.5" customWidth="1"/>
    <col min="5" max="7" width="11" customWidth="1"/>
    <col min="8" max="8" width="8.75" customWidth="1"/>
    <col min="9" max="12" width="11" customWidth="1"/>
    <col min="13" max="13" width="8.75" customWidth="1"/>
    <col min="14" max="17" width="11" customWidth="1"/>
    <col min="18" max="18" width="8.75" customWidth="1"/>
    <col min="19" max="22" width="11" customWidth="1"/>
    <col min="23" max="23" width="8.75" customWidth="1"/>
    <col min="24" max="24" width="11" customWidth="1"/>
  </cols>
  <sheetData>
    <row r="1" spans="1:24" s="1" customFormat="1" ht="15.75">
      <c r="A1" s="1262" t="s">
        <v>354</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c r="A2" s="648"/>
      <c r="B2" s="648"/>
      <c r="C2" s="648"/>
      <c r="D2" s="648"/>
      <c r="E2" s="648"/>
      <c r="F2" s="648"/>
      <c r="G2" s="648"/>
      <c r="H2" s="648"/>
      <c r="I2" s="648"/>
      <c r="J2" s="648"/>
      <c r="K2" s="648"/>
      <c r="L2" s="648"/>
      <c r="M2" s="648"/>
      <c r="N2" s="648"/>
      <c r="O2" s="648"/>
      <c r="P2" s="648"/>
      <c r="Q2" s="648"/>
      <c r="R2" s="648"/>
      <c r="S2" s="648"/>
      <c r="T2" s="648"/>
      <c r="U2" s="648"/>
      <c r="V2" s="648"/>
      <c r="W2" s="648"/>
      <c r="X2" s="648"/>
    </row>
    <row r="3" spans="1:24" ht="9.75" customHeight="1">
      <c r="A3" s="1535" t="s">
        <v>39</v>
      </c>
      <c r="B3" s="1537" t="s">
        <v>40</v>
      </c>
      <c r="C3" s="1538"/>
      <c r="D3" s="1277" t="s">
        <v>41</v>
      </c>
      <c r="E3" s="1168" t="s">
        <v>255</v>
      </c>
      <c r="F3" s="1169"/>
      <c r="G3" s="1169"/>
      <c r="H3" s="1169"/>
      <c r="I3" s="1541"/>
      <c r="J3" s="1168" t="s">
        <v>38</v>
      </c>
      <c r="K3" s="1169"/>
      <c r="L3" s="1169"/>
      <c r="M3" s="1169"/>
      <c r="N3" s="1170"/>
      <c r="O3" s="1539" t="s">
        <v>42</v>
      </c>
      <c r="P3" s="1169"/>
      <c r="Q3" s="1169"/>
      <c r="R3" s="1169"/>
      <c r="S3" s="1170"/>
      <c r="T3" s="1168" t="s">
        <v>37</v>
      </c>
      <c r="U3" s="1169"/>
      <c r="V3" s="1169"/>
      <c r="W3" s="1169"/>
      <c r="X3" s="1170"/>
    </row>
    <row r="4" spans="1:24" ht="9.75" customHeight="1">
      <c r="A4" s="1536"/>
      <c r="B4" s="1321"/>
      <c r="C4" s="1321"/>
      <c r="D4" s="1278"/>
      <c r="E4" s="1175" t="s">
        <v>96</v>
      </c>
      <c r="F4" s="1177" t="s">
        <v>465</v>
      </c>
      <c r="G4" s="1177"/>
      <c r="H4" s="1177"/>
      <c r="I4" s="1540" t="s">
        <v>924</v>
      </c>
      <c r="J4" s="1175" t="s">
        <v>96</v>
      </c>
      <c r="K4" s="1177" t="s">
        <v>465</v>
      </c>
      <c r="L4" s="1177"/>
      <c r="M4" s="1177"/>
      <c r="N4" s="1178" t="s">
        <v>924</v>
      </c>
      <c r="O4" s="1542" t="s">
        <v>96</v>
      </c>
      <c r="P4" s="1177" t="s">
        <v>465</v>
      </c>
      <c r="Q4" s="1177"/>
      <c r="R4" s="1177"/>
      <c r="S4" s="1540" t="s">
        <v>924</v>
      </c>
      <c r="T4" s="1175" t="s">
        <v>96</v>
      </c>
      <c r="U4" s="1177" t="s">
        <v>465</v>
      </c>
      <c r="V4" s="1177"/>
      <c r="W4" s="1177"/>
      <c r="X4" s="1178" t="s">
        <v>924</v>
      </c>
    </row>
    <row r="5" spans="1:24" ht="9.75">
      <c r="A5" s="1536"/>
      <c r="B5" s="1321"/>
      <c r="C5" s="1321"/>
      <c r="D5" s="1278"/>
      <c r="E5" s="1175"/>
      <c r="F5" s="657" t="s">
        <v>97</v>
      </c>
      <c r="G5" s="657" t="s">
        <v>35</v>
      </c>
      <c r="H5" s="657" t="s">
        <v>236</v>
      </c>
      <c r="I5" s="1540"/>
      <c r="J5" s="1175"/>
      <c r="K5" s="657" t="s">
        <v>97</v>
      </c>
      <c r="L5" s="657" t="s">
        <v>35</v>
      </c>
      <c r="M5" s="657" t="s">
        <v>236</v>
      </c>
      <c r="N5" s="1178"/>
      <c r="O5" s="1542"/>
      <c r="P5" s="657" t="s">
        <v>97</v>
      </c>
      <c r="Q5" s="657" t="s">
        <v>35</v>
      </c>
      <c r="R5" s="657" t="s">
        <v>236</v>
      </c>
      <c r="S5" s="1540"/>
      <c r="T5" s="1175"/>
      <c r="U5" s="657" t="s">
        <v>97</v>
      </c>
      <c r="V5" s="657" t="s">
        <v>35</v>
      </c>
      <c r="W5" s="657" t="s">
        <v>236</v>
      </c>
      <c r="X5" s="1178"/>
    </row>
    <row r="6" spans="1:24" ht="9.75">
      <c r="A6" s="708" t="s">
        <v>0</v>
      </c>
      <c r="B6" s="1158" t="s">
        <v>1</v>
      </c>
      <c r="C6" s="1158"/>
      <c r="D6" s="709" t="s">
        <v>25</v>
      </c>
      <c r="E6" s="677">
        <v>27623753</v>
      </c>
      <c r="F6" s="661">
        <v>29884342</v>
      </c>
      <c r="G6" s="661">
        <v>29884342.190000001</v>
      </c>
      <c r="H6" s="658">
        <v>100.00000063578445</v>
      </c>
      <c r="I6" s="674">
        <v>26945146</v>
      </c>
      <c r="J6" s="677">
        <v>2623500</v>
      </c>
      <c r="K6" s="661">
        <v>3878077.3</v>
      </c>
      <c r="L6" s="661">
        <v>3878077.3</v>
      </c>
      <c r="M6" s="658">
        <v>100</v>
      </c>
      <c r="N6" s="678">
        <v>3361829</v>
      </c>
      <c r="O6" s="694">
        <v>25000253</v>
      </c>
      <c r="P6" s="661">
        <v>26006264</v>
      </c>
      <c r="Q6" s="661">
        <v>26006264.440000001</v>
      </c>
      <c r="R6" s="658">
        <v>100.00000169190008</v>
      </c>
      <c r="S6" s="678">
        <v>23583317</v>
      </c>
      <c r="T6" s="677">
        <v>30000</v>
      </c>
      <c r="U6" s="661">
        <v>28520</v>
      </c>
      <c r="V6" s="661">
        <v>28520</v>
      </c>
      <c r="W6" s="658">
        <v>100</v>
      </c>
      <c r="X6" s="678">
        <v>34615</v>
      </c>
    </row>
    <row r="7" spans="1:24" ht="9.75">
      <c r="A7" s="710" t="s">
        <v>2</v>
      </c>
      <c r="B7" s="1160" t="s">
        <v>44</v>
      </c>
      <c r="C7" s="1160"/>
      <c r="D7" s="711" t="s">
        <v>25</v>
      </c>
      <c r="E7" s="681">
        <v>73500</v>
      </c>
      <c r="F7" s="663">
        <v>598610.55000000005</v>
      </c>
      <c r="G7" s="663">
        <v>598611</v>
      </c>
      <c r="H7" s="664">
        <v>100.00007517408437</v>
      </c>
      <c r="I7" s="675">
        <v>229547</v>
      </c>
      <c r="J7" s="702">
        <v>73500</v>
      </c>
      <c r="K7" s="665">
        <v>598610.55000000005</v>
      </c>
      <c r="L7" s="665">
        <v>598610.55000000005</v>
      </c>
      <c r="M7" s="664">
        <v>100</v>
      </c>
      <c r="N7" s="680">
        <v>229547</v>
      </c>
      <c r="O7" s="695">
        <v>0</v>
      </c>
      <c r="P7" s="665">
        <v>0</v>
      </c>
      <c r="Q7" s="665">
        <v>0</v>
      </c>
      <c r="R7" s="664">
        <v>0</v>
      </c>
      <c r="S7" s="680">
        <v>0</v>
      </c>
      <c r="T7" s="679">
        <v>30000</v>
      </c>
      <c r="U7" s="665">
        <v>28520</v>
      </c>
      <c r="V7" s="665">
        <v>28520</v>
      </c>
      <c r="W7" s="664">
        <v>100</v>
      </c>
      <c r="X7" s="680">
        <v>34615</v>
      </c>
    </row>
    <row r="8" spans="1:24" ht="9.75">
      <c r="A8" s="712" t="s">
        <v>3</v>
      </c>
      <c r="B8" s="1173" t="s">
        <v>45</v>
      </c>
      <c r="C8" s="1173"/>
      <c r="D8" s="711" t="s">
        <v>25</v>
      </c>
      <c r="E8" s="681">
        <v>0</v>
      </c>
      <c r="F8" s="663">
        <v>79.7</v>
      </c>
      <c r="G8" s="663">
        <v>79.7</v>
      </c>
      <c r="H8" s="664">
        <v>0</v>
      </c>
      <c r="I8" s="675">
        <v>372</v>
      </c>
      <c r="J8" s="703">
        <v>0</v>
      </c>
      <c r="K8" s="663">
        <v>79.7</v>
      </c>
      <c r="L8" s="663">
        <v>79.7</v>
      </c>
      <c r="M8" s="664">
        <v>0</v>
      </c>
      <c r="N8" s="682">
        <v>372</v>
      </c>
      <c r="O8" s="696">
        <v>0</v>
      </c>
      <c r="P8" s="663">
        <v>0</v>
      </c>
      <c r="Q8" s="663">
        <v>0</v>
      </c>
      <c r="R8" s="664">
        <v>0</v>
      </c>
      <c r="S8" s="682">
        <v>0</v>
      </c>
      <c r="T8" s="681">
        <v>0</v>
      </c>
      <c r="U8" s="663">
        <v>0</v>
      </c>
      <c r="V8" s="663">
        <v>0</v>
      </c>
      <c r="W8" s="664">
        <v>0</v>
      </c>
      <c r="X8" s="682">
        <v>0</v>
      </c>
    </row>
    <row r="9" spans="1:24" ht="9.75">
      <c r="A9" s="712" t="s">
        <v>4</v>
      </c>
      <c r="B9" s="672" t="s">
        <v>60</v>
      </c>
      <c r="C9" s="673"/>
      <c r="D9" s="711" t="s">
        <v>25</v>
      </c>
      <c r="E9" s="681">
        <v>27550253</v>
      </c>
      <c r="F9" s="663">
        <v>29285651.050000001</v>
      </c>
      <c r="G9" s="663">
        <v>29285651.490000002</v>
      </c>
      <c r="H9" s="664">
        <v>100.00000150244229</v>
      </c>
      <c r="I9" s="675">
        <v>26715227</v>
      </c>
      <c r="J9" s="703">
        <v>2550000</v>
      </c>
      <c r="K9" s="663">
        <v>3279387.05</v>
      </c>
      <c r="L9" s="663">
        <v>3279387.05</v>
      </c>
      <c r="M9" s="664">
        <v>100</v>
      </c>
      <c r="N9" s="682">
        <v>3131910</v>
      </c>
      <c r="O9" s="696">
        <v>25000253</v>
      </c>
      <c r="P9" s="663">
        <v>26006264</v>
      </c>
      <c r="Q9" s="663">
        <v>26006264.440000001</v>
      </c>
      <c r="R9" s="664">
        <v>100.00000169190008</v>
      </c>
      <c r="S9" s="682">
        <v>23583317</v>
      </c>
      <c r="T9" s="681">
        <v>0</v>
      </c>
      <c r="U9" s="663">
        <v>0</v>
      </c>
      <c r="V9" s="663">
        <v>0</v>
      </c>
      <c r="W9" s="664">
        <v>0</v>
      </c>
      <c r="X9" s="682">
        <v>0</v>
      </c>
    </row>
    <row r="10" spans="1:24" ht="9.75">
      <c r="A10" s="708" t="s">
        <v>5</v>
      </c>
      <c r="B10" s="1158" t="s">
        <v>7</v>
      </c>
      <c r="C10" s="1158"/>
      <c r="D10" s="709" t="s">
        <v>25</v>
      </c>
      <c r="E10" s="683">
        <v>0</v>
      </c>
      <c r="F10" s="662">
        <v>0</v>
      </c>
      <c r="G10" s="662">
        <v>0</v>
      </c>
      <c r="H10" s="658">
        <v>0</v>
      </c>
      <c r="I10" s="676">
        <v>0</v>
      </c>
      <c r="J10" s="704">
        <v>0</v>
      </c>
      <c r="K10" s="662">
        <v>0</v>
      </c>
      <c r="L10" s="662">
        <v>0</v>
      </c>
      <c r="M10" s="658">
        <v>0</v>
      </c>
      <c r="N10" s="684">
        <v>0</v>
      </c>
      <c r="O10" s="697">
        <v>0</v>
      </c>
      <c r="P10" s="662">
        <v>0</v>
      </c>
      <c r="Q10" s="662">
        <v>0</v>
      </c>
      <c r="R10" s="658">
        <v>0</v>
      </c>
      <c r="S10" s="684">
        <v>0</v>
      </c>
      <c r="T10" s="683">
        <v>0</v>
      </c>
      <c r="U10" s="662">
        <v>0</v>
      </c>
      <c r="V10" s="662">
        <v>0</v>
      </c>
      <c r="W10" s="658">
        <v>0</v>
      </c>
      <c r="X10" s="684">
        <v>0</v>
      </c>
    </row>
    <row r="11" spans="1:24" ht="9.75">
      <c r="A11" s="708" t="s">
        <v>6</v>
      </c>
      <c r="B11" s="1158" t="s">
        <v>9</v>
      </c>
      <c r="C11" s="1158"/>
      <c r="D11" s="709" t="s">
        <v>25</v>
      </c>
      <c r="E11" s="677">
        <v>27623753</v>
      </c>
      <c r="F11" s="661">
        <v>29884342.16</v>
      </c>
      <c r="G11" s="661">
        <v>29745508.739999998</v>
      </c>
      <c r="H11" s="658">
        <v>99.535430898037873</v>
      </c>
      <c r="I11" s="674">
        <v>26573609</v>
      </c>
      <c r="J11" s="677">
        <v>2623500</v>
      </c>
      <c r="K11" s="661">
        <v>3878076.9</v>
      </c>
      <c r="L11" s="661">
        <v>3739244.3</v>
      </c>
      <c r="M11" s="658">
        <v>96.420065832113849</v>
      </c>
      <c r="N11" s="678">
        <v>2990292</v>
      </c>
      <c r="O11" s="694">
        <v>25000253</v>
      </c>
      <c r="P11" s="661">
        <v>26006264</v>
      </c>
      <c r="Q11" s="661">
        <v>26006264.440000001</v>
      </c>
      <c r="R11" s="658">
        <v>100.00000169190008</v>
      </c>
      <c r="S11" s="678">
        <v>23583317</v>
      </c>
      <c r="T11" s="677">
        <v>24315</v>
      </c>
      <c r="U11" s="661">
        <v>23605</v>
      </c>
      <c r="V11" s="661">
        <v>23605</v>
      </c>
      <c r="W11" s="658">
        <v>100</v>
      </c>
      <c r="X11" s="678">
        <v>27394</v>
      </c>
    </row>
    <row r="12" spans="1:24" ht="9.75">
      <c r="A12" s="710" t="s">
        <v>8</v>
      </c>
      <c r="B12" s="1160" t="s">
        <v>28</v>
      </c>
      <c r="C12" s="1160"/>
      <c r="D12" s="711" t="s">
        <v>25</v>
      </c>
      <c r="E12" s="681">
        <v>867503</v>
      </c>
      <c r="F12" s="663">
        <v>841207.12</v>
      </c>
      <c r="G12" s="663">
        <v>816670.58000000007</v>
      </c>
      <c r="H12" s="664">
        <v>97.083174949826869</v>
      </c>
      <c r="I12" s="675">
        <v>496468</v>
      </c>
      <c r="J12" s="705">
        <v>168662</v>
      </c>
      <c r="K12" s="666">
        <v>485662.12</v>
      </c>
      <c r="L12" s="666">
        <v>461125.82</v>
      </c>
      <c r="M12" s="664">
        <v>94.947866224361917</v>
      </c>
      <c r="N12" s="686">
        <v>304669</v>
      </c>
      <c r="O12" s="698">
        <v>698841</v>
      </c>
      <c r="P12" s="666">
        <v>355545</v>
      </c>
      <c r="Q12" s="666">
        <v>355544.76</v>
      </c>
      <c r="R12" s="664">
        <v>99.999932497996042</v>
      </c>
      <c r="S12" s="689">
        <v>191799</v>
      </c>
      <c r="T12" s="685">
        <v>487</v>
      </c>
      <c r="U12" s="666">
        <v>463</v>
      </c>
      <c r="V12" s="666">
        <v>463</v>
      </c>
      <c r="W12" s="664">
        <v>100</v>
      </c>
      <c r="X12" s="686">
        <v>721</v>
      </c>
    </row>
    <row r="13" spans="1:24" ht="9.75">
      <c r="A13" s="710" t="s">
        <v>10</v>
      </c>
      <c r="B13" s="1160" t="s">
        <v>29</v>
      </c>
      <c r="C13" s="1160"/>
      <c r="D13" s="711" t="s">
        <v>25</v>
      </c>
      <c r="E13" s="681">
        <v>573052</v>
      </c>
      <c r="F13" s="663">
        <v>617991.46</v>
      </c>
      <c r="G13" s="663">
        <v>617991.46</v>
      </c>
      <c r="H13" s="664">
        <v>100</v>
      </c>
      <c r="I13" s="675">
        <v>478892</v>
      </c>
      <c r="J13" s="705">
        <v>573052</v>
      </c>
      <c r="K13" s="663">
        <v>617991.46</v>
      </c>
      <c r="L13" s="663">
        <v>617991.46</v>
      </c>
      <c r="M13" s="664">
        <v>100</v>
      </c>
      <c r="N13" s="682">
        <v>478892</v>
      </c>
      <c r="O13" s="696">
        <v>0</v>
      </c>
      <c r="P13" s="663">
        <v>0</v>
      </c>
      <c r="Q13" s="663">
        <v>0</v>
      </c>
      <c r="R13" s="664">
        <v>0</v>
      </c>
      <c r="S13" s="682">
        <v>0</v>
      </c>
      <c r="T13" s="681">
        <v>6948</v>
      </c>
      <c r="U13" s="663">
        <v>6604</v>
      </c>
      <c r="V13" s="663">
        <v>6604</v>
      </c>
      <c r="W13" s="664">
        <v>100</v>
      </c>
      <c r="X13" s="682">
        <v>7287</v>
      </c>
    </row>
    <row r="14" spans="1:24" ht="9.75">
      <c r="A14" s="710" t="s">
        <v>11</v>
      </c>
      <c r="B14" s="672" t="s">
        <v>61</v>
      </c>
      <c r="C14" s="672"/>
      <c r="D14" s="711" t="s">
        <v>25</v>
      </c>
      <c r="E14" s="681">
        <v>0</v>
      </c>
      <c r="F14" s="663">
        <v>0</v>
      </c>
      <c r="G14" s="663">
        <v>0</v>
      </c>
      <c r="H14" s="664">
        <v>0</v>
      </c>
      <c r="I14" s="675">
        <v>0</v>
      </c>
      <c r="J14" s="705">
        <v>0</v>
      </c>
      <c r="K14" s="663">
        <v>0</v>
      </c>
      <c r="L14" s="663">
        <v>0</v>
      </c>
      <c r="M14" s="664">
        <v>0</v>
      </c>
      <c r="N14" s="682">
        <v>0</v>
      </c>
      <c r="O14" s="696">
        <v>0</v>
      </c>
      <c r="P14" s="663">
        <v>0</v>
      </c>
      <c r="Q14" s="663">
        <v>0</v>
      </c>
      <c r="R14" s="664">
        <v>0</v>
      </c>
      <c r="S14" s="682">
        <v>0</v>
      </c>
      <c r="T14" s="681">
        <v>0</v>
      </c>
      <c r="U14" s="663">
        <v>0</v>
      </c>
      <c r="V14" s="663">
        <v>0</v>
      </c>
      <c r="W14" s="664">
        <v>0</v>
      </c>
      <c r="X14" s="682">
        <v>0</v>
      </c>
    </row>
    <row r="15" spans="1:24" ht="9.75">
      <c r="A15" s="710" t="s">
        <v>12</v>
      </c>
      <c r="B15" s="1160" t="s">
        <v>62</v>
      </c>
      <c r="C15" s="1160"/>
      <c r="D15" s="711" t="s">
        <v>25</v>
      </c>
      <c r="E15" s="681">
        <v>207000</v>
      </c>
      <c r="F15" s="663">
        <v>608312</v>
      </c>
      <c r="G15" s="663">
        <v>588084.43000000005</v>
      </c>
      <c r="H15" s="664">
        <v>96.674803390365483</v>
      </c>
      <c r="I15" s="675">
        <v>452814</v>
      </c>
      <c r="J15" s="705">
        <v>207000</v>
      </c>
      <c r="K15" s="663">
        <v>608311.74</v>
      </c>
      <c r="L15" s="663">
        <v>588084.43000000005</v>
      </c>
      <c r="M15" s="664">
        <v>96.674844710378281</v>
      </c>
      <c r="N15" s="682">
        <v>452814</v>
      </c>
      <c r="O15" s="696">
        <v>0</v>
      </c>
      <c r="P15" s="663">
        <v>0</v>
      </c>
      <c r="Q15" s="663">
        <v>0</v>
      </c>
      <c r="R15" s="664">
        <v>0</v>
      </c>
      <c r="S15" s="682">
        <v>0</v>
      </c>
      <c r="T15" s="681">
        <v>1014</v>
      </c>
      <c r="U15" s="663">
        <v>964</v>
      </c>
      <c r="V15" s="663">
        <v>964</v>
      </c>
      <c r="W15" s="664">
        <v>100</v>
      </c>
      <c r="X15" s="682">
        <v>2426</v>
      </c>
    </row>
    <row r="16" spans="1:24" ht="9.75">
      <c r="A16" s="710" t="s">
        <v>13</v>
      </c>
      <c r="B16" s="1160" t="s">
        <v>30</v>
      </c>
      <c r="C16" s="1160"/>
      <c r="D16" s="711" t="s">
        <v>25</v>
      </c>
      <c r="E16" s="681">
        <v>2000</v>
      </c>
      <c r="F16" s="663">
        <v>9244</v>
      </c>
      <c r="G16" s="663">
        <v>7244</v>
      </c>
      <c r="H16" s="664">
        <v>78.364344439636525</v>
      </c>
      <c r="I16" s="675">
        <v>15307</v>
      </c>
      <c r="J16" s="705">
        <v>2000</v>
      </c>
      <c r="K16" s="663">
        <v>2000</v>
      </c>
      <c r="L16" s="663">
        <v>0</v>
      </c>
      <c r="M16" s="664">
        <v>0</v>
      </c>
      <c r="N16" s="682">
        <v>0</v>
      </c>
      <c r="O16" s="696">
        <v>0</v>
      </c>
      <c r="P16" s="663">
        <v>7244</v>
      </c>
      <c r="Q16" s="663">
        <v>7244</v>
      </c>
      <c r="R16" s="664">
        <v>100</v>
      </c>
      <c r="S16" s="682">
        <v>15307</v>
      </c>
      <c r="T16" s="681">
        <v>0</v>
      </c>
      <c r="U16" s="663">
        <v>0</v>
      </c>
      <c r="V16" s="663">
        <v>0</v>
      </c>
      <c r="W16" s="664">
        <v>0</v>
      </c>
      <c r="X16" s="682">
        <v>0</v>
      </c>
    </row>
    <row r="17" spans="1:24" ht="9.75">
      <c r="A17" s="710" t="s">
        <v>14</v>
      </c>
      <c r="B17" s="672" t="s">
        <v>46</v>
      </c>
      <c r="C17" s="672"/>
      <c r="D17" s="711" t="s">
        <v>25</v>
      </c>
      <c r="E17" s="681">
        <v>2000</v>
      </c>
      <c r="F17" s="663">
        <v>2000</v>
      </c>
      <c r="G17" s="663">
        <v>584</v>
      </c>
      <c r="H17" s="664">
        <v>29.2</v>
      </c>
      <c r="I17" s="675">
        <v>1084</v>
      </c>
      <c r="J17" s="705">
        <v>2000</v>
      </c>
      <c r="K17" s="663">
        <v>2000</v>
      </c>
      <c r="L17" s="663">
        <v>584</v>
      </c>
      <c r="M17" s="664">
        <v>29.2</v>
      </c>
      <c r="N17" s="682">
        <v>1084</v>
      </c>
      <c r="O17" s="696">
        <v>0</v>
      </c>
      <c r="P17" s="663">
        <v>0</v>
      </c>
      <c r="Q17" s="663">
        <v>0</v>
      </c>
      <c r="R17" s="664">
        <v>0</v>
      </c>
      <c r="S17" s="682">
        <v>0</v>
      </c>
      <c r="T17" s="681">
        <v>0</v>
      </c>
      <c r="U17" s="663">
        <v>0</v>
      </c>
      <c r="V17" s="663">
        <v>0</v>
      </c>
      <c r="W17" s="664">
        <v>0</v>
      </c>
      <c r="X17" s="682">
        <v>0</v>
      </c>
    </row>
    <row r="18" spans="1:24" ht="9.75">
      <c r="A18" s="710" t="s">
        <v>15</v>
      </c>
      <c r="B18" s="1160" t="s">
        <v>31</v>
      </c>
      <c r="C18" s="1160"/>
      <c r="D18" s="711" t="s">
        <v>25</v>
      </c>
      <c r="E18" s="681">
        <v>244000</v>
      </c>
      <c r="F18" s="663">
        <v>383287.94</v>
      </c>
      <c r="G18" s="663">
        <v>353359.73</v>
      </c>
      <c r="H18" s="664">
        <v>92.191716232970961</v>
      </c>
      <c r="I18" s="675">
        <v>375705</v>
      </c>
      <c r="J18" s="705">
        <v>244000</v>
      </c>
      <c r="K18" s="663">
        <v>255105.94</v>
      </c>
      <c r="L18" s="663">
        <v>225177.55</v>
      </c>
      <c r="M18" s="664">
        <v>88.268250437445701</v>
      </c>
      <c r="N18" s="682">
        <v>237068</v>
      </c>
      <c r="O18" s="696">
        <v>0</v>
      </c>
      <c r="P18" s="663">
        <v>128182</v>
      </c>
      <c r="Q18" s="663">
        <v>128182.18</v>
      </c>
      <c r="R18" s="664">
        <v>100.00014042533272</v>
      </c>
      <c r="S18" s="682">
        <v>138637</v>
      </c>
      <c r="T18" s="681">
        <v>77</v>
      </c>
      <c r="U18" s="663">
        <v>73</v>
      </c>
      <c r="V18" s="663">
        <v>73</v>
      </c>
      <c r="W18" s="664">
        <v>100</v>
      </c>
      <c r="X18" s="682">
        <v>131</v>
      </c>
    </row>
    <row r="19" spans="1:24" ht="9.75">
      <c r="A19" s="710" t="s">
        <v>16</v>
      </c>
      <c r="B19" s="1160" t="s">
        <v>32</v>
      </c>
      <c r="C19" s="1160"/>
      <c r="D19" s="711" t="s">
        <v>25</v>
      </c>
      <c r="E19" s="681">
        <v>18017475</v>
      </c>
      <c r="F19" s="663">
        <v>18528208</v>
      </c>
      <c r="G19" s="663">
        <v>18481312</v>
      </c>
      <c r="H19" s="664">
        <v>99.74689403314126</v>
      </c>
      <c r="I19" s="675">
        <v>16872729</v>
      </c>
      <c r="J19" s="706">
        <v>122474</v>
      </c>
      <c r="K19" s="663">
        <v>122474</v>
      </c>
      <c r="L19" s="663">
        <v>75578</v>
      </c>
      <c r="M19" s="664">
        <v>61.709424041020952</v>
      </c>
      <c r="N19" s="682">
        <v>75324</v>
      </c>
      <c r="O19" s="696">
        <v>17895001</v>
      </c>
      <c r="P19" s="663">
        <v>18405734</v>
      </c>
      <c r="Q19" s="663">
        <v>18405734</v>
      </c>
      <c r="R19" s="664">
        <v>100</v>
      </c>
      <c r="S19" s="682">
        <v>16797405</v>
      </c>
      <c r="T19" s="687">
        <v>4300</v>
      </c>
      <c r="U19" s="668">
        <v>4089</v>
      </c>
      <c r="V19" s="668">
        <v>4089</v>
      </c>
      <c r="W19" s="664">
        <v>100</v>
      </c>
      <c r="X19" s="688">
        <v>4292</v>
      </c>
    </row>
    <row r="20" spans="1:24" ht="9.75">
      <c r="A20" s="710" t="s">
        <v>17</v>
      </c>
      <c r="B20" s="1160" t="s">
        <v>47</v>
      </c>
      <c r="C20" s="1160"/>
      <c r="D20" s="711" t="s">
        <v>25</v>
      </c>
      <c r="E20" s="681">
        <v>6069853</v>
      </c>
      <c r="F20" s="663">
        <v>6170818</v>
      </c>
      <c r="G20" s="663">
        <v>6168178.6100000003</v>
      </c>
      <c r="H20" s="664">
        <v>99.957227874813356</v>
      </c>
      <c r="I20" s="675">
        <v>5680254</v>
      </c>
      <c r="J20" s="705">
        <v>21342</v>
      </c>
      <c r="K20" s="663">
        <v>21342</v>
      </c>
      <c r="L20" s="663">
        <v>18703</v>
      </c>
      <c r="M20" s="664">
        <v>87.634710898697392</v>
      </c>
      <c r="N20" s="682">
        <v>20511</v>
      </c>
      <c r="O20" s="696">
        <v>6048511</v>
      </c>
      <c r="P20" s="663">
        <v>6149476</v>
      </c>
      <c r="Q20" s="663">
        <v>6149475.6100000003</v>
      </c>
      <c r="R20" s="664">
        <v>99.999993657996228</v>
      </c>
      <c r="S20" s="682">
        <v>5659743</v>
      </c>
      <c r="T20" s="681">
        <v>1455</v>
      </c>
      <c r="U20" s="663">
        <v>1382</v>
      </c>
      <c r="V20" s="663">
        <v>1382</v>
      </c>
      <c r="W20" s="664">
        <v>100</v>
      </c>
      <c r="X20" s="682">
        <v>1451</v>
      </c>
    </row>
    <row r="21" spans="1:24" ht="9.75">
      <c r="A21" s="710" t="s">
        <v>18</v>
      </c>
      <c r="B21" s="1160" t="s">
        <v>48</v>
      </c>
      <c r="C21" s="1160"/>
      <c r="D21" s="711" t="s">
        <v>25</v>
      </c>
      <c r="E21" s="681">
        <v>401900</v>
      </c>
      <c r="F21" s="663">
        <v>433491.64</v>
      </c>
      <c r="G21" s="663">
        <v>422311.64</v>
      </c>
      <c r="H21" s="664">
        <v>97.420942189334951</v>
      </c>
      <c r="I21" s="675">
        <v>382222</v>
      </c>
      <c r="J21" s="705">
        <v>44000</v>
      </c>
      <c r="K21" s="663">
        <v>60426.64</v>
      </c>
      <c r="L21" s="663">
        <v>49246.64</v>
      </c>
      <c r="M21" s="664">
        <v>81.498226609985267</v>
      </c>
      <c r="N21" s="682">
        <v>45357</v>
      </c>
      <c r="O21" s="696">
        <v>357900</v>
      </c>
      <c r="P21" s="663">
        <v>373065</v>
      </c>
      <c r="Q21" s="663">
        <v>373065</v>
      </c>
      <c r="R21" s="664">
        <v>100</v>
      </c>
      <c r="S21" s="682">
        <v>336865</v>
      </c>
      <c r="T21" s="681">
        <v>86</v>
      </c>
      <c r="U21" s="663">
        <v>82</v>
      </c>
      <c r="V21" s="663">
        <v>82</v>
      </c>
      <c r="W21" s="664">
        <v>100</v>
      </c>
      <c r="X21" s="682">
        <v>86</v>
      </c>
    </row>
    <row r="22" spans="1:24" ht="9.75">
      <c r="A22" s="710" t="s">
        <v>19</v>
      </c>
      <c r="B22" s="1160" t="s">
        <v>63</v>
      </c>
      <c r="C22" s="1160"/>
      <c r="D22" s="711" t="s">
        <v>25</v>
      </c>
      <c r="E22" s="681">
        <v>0</v>
      </c>
      <c r="F22" s="663">
        <v>0</v>
      </c>
      <c r="G22" s="663">
        <v>0</v>
      </c>
      <c r="H22" s="664">
        <v>0</v>
      </c>
      <c r="I22" s="675">
        <v>0</v>
      </c>
      <c r="J22" s="705">
        <v>0</v>
      </c>
      <c r="K22" s="663">
        <v>0</v>
      </c>
      <c r="L22" s="663">
        <v>0</v>
      </c>
      <c r="M22" s="664"/>
      <c r="N22" s="682">
        <v>0</v>
      </c>
      <c r="O22" s="696">
        <v>0</v>
      </c>
      <c r="P22" s="663">
        <v>0</v>
      </c>
      <c r="Q22" s="663">
        <v>0</v>
      </c>
      <c r="R22" s="664">
        <v>0</v>
      </c>
      <c r="S22" s="682">
        <v>0</v>
      </c>
      <c r="T22" s="681">
        <v>0</v>
      </c>
      <c r="U22" s="663">
        <v>0</v>
      </c>
      <c r="V22" s="663">
        <v>0</v>
      </c>
      <c r="W22" s="664">
        <v>0</v>
      </c>
      <c r="X22" s="682">
        <v>0</v>
      </c>
    </row>
    <row r="23" spans="1:24" ht="9.75">
      <c r="A23" s="710" t="s">
        <v>20</v>
      </c>
      <c r="B23" s="672" t="s">
        <v>98</v>
      </c>
      <c r="C23" s="672"/>
      <c r="D23" s="711" t="s">
        <v>25</v>
      </c>
      <c r="E23" s="681">
        <v>0</v>
      </c>
      <c r="F23" s="663">
        <v>0</v>
      </c>
      <c r="G23" s="663">
        <v>0</v>
      </c>
      <c r="H23" s="664">
        <v>0</v>
      </c>
      <c r="I23" s="675">
        <v>0</v>
      </c>
      <c r="J23" s="705">
        <v>0</v>
      </c>
      <c r="K23" s="663">
        <v>0</v>
      </c>
      <c r="L23" s="663">
        <v>0</v>
      </c>
      <c r="M23" s="664"/>
      <c r="N23" s="682">
        <v>0</v>
      </c>
      <c r="O23" s="696">
        <v>0</v>
      </c>
      <c r="P23" s="663">
        <v>0</v>
      </c>
      <c r="Q23" s="663">
        <v>0</v>
      </c>
      <c r="R23" s="664">
        <v>0</v>
      </c>
      <c r="S23" s="682">
        <v>0</v>
      </c>
      <c r="T23" s="681">
        <v>0</v>
      </c>
      <c r="U23" s="663">
        <v>0</v>
      </c>
      <c r="V23" s="663">
        <v>0</v>
      </c>
      <c r="W23" s="664">
        <v>0</v>
      </c>
      <c r="X23" s="682">
        <v>0</v>
      </c>
    </row>
    <row r="24" spans="1:24" ht="9.75">
      <c r="A24" s="710" t="s">
        <v>21</v>
      </c>
      <c r="B24" s="672" t="s">
        <v>71</v>
      </c>
      <c r="C24" s="672"/>
      <c r="D24" s="711" t="s">
        <v>25</v>
      </c>
      <c r="E24" s="681">
        <v>0</v>
      </c>
      <c r="F24" s="663">
        <v>0</v>
      </c>
      <c r="G24" s="663">
        <v>0</v>
      </c>
      <c r="H24" s="664">
        <v>0</v>
      </c>
      <c r="I24" s="675">
        <v>0</v>
      </c>
      <c r="J24" s="705">
        <v>0</v>
      </c>
      <c r="K24" s="663">
        <v>0</v>
      </c>
      <c r="L24" s="663">
        <v>0</v>
      </c>
      <c r="M24" s="664"/>
      <c r="N24" s="682">
        <v>0</v>
      </c>
      <c r="O24" s="696">
        <v>0</v>
      </c>
      <c r="P24" s="663">
        <v>0</v>
      </c>
      <c r="Q24" s="663">
        <v>0</v>
      </c>
      <c r="R24" s="664">
        <v>0</v>
      </c>
      <c r="S24" s="682">
        <v>0</v>
      </c>
      <c r="T24" s="681">
        <v>0</v>
      </c>
      <c r="U24" s="663">
        <v>0</v>
      </c>
      <c r="V24" s="663">
        <v>0</v>
      </c>
      <c r="W24" s="664">
        <v>0</v>
      </c>
      <c r="X24" s="682">
        <v>0</v>
      </c>
    </row>
    <row r="25" spans="1:24" ht="9.75">
      <c r="A25" s="710" t="s">
        <v>22</v>
      </c>
      <c r="B25" s="672" t="s">
        <v>66</v>
      </c>
      <c r="C25" s="672"/>
      <c r="D25" s="711" t="s">
        <v>25</v>
      </c>
      <c r="E25" s="681">
        <v>0</v>
      </c>
      <c r="F25" s="663">
        <v>0</v>
      </c>
      <c r="G25" s="663">
        <v>0</v>
      </c>
      <c r="H25" s="664">
        <v>0</v>
      </c>
      <c r="I25" s="675">
        <v>0</v>
      </c>
      <c r="J25" s="705">
        <v>0</v>
      </c>
      <c r="K25" s="666">
        <v>0</v>
      </c>
      <c r="L25" s="666">
        <v>0</v>
      </c>
      <c r="M25" s="664"/>
      <c r="N25" s="686">
        <v>0</v>
      </c>
      <c r="O25" s="698">
        <v>0</v>
      </c>
      <c r="P25" s="666">
        <v>0</v>
      </c>
      <c r="Q25" s="666">
        <v>0</v>
      </c>
      <c r="R25" s="664">
        <v>0</v>
      </c>
      <c r="S25" s="689">
        <v>0</v>
      </c>
      <c r="T25" s="685">
        <v>0</v>
      </c>
      <c r="U25" s="666">
        <v>0</v>
      </c>
      <c r="V25" s="666">
        <v>0</v>
      </c>
      <c r="W25" s="664">
        <v>0</v>
      </c>
      <c r="X25" s="689">
        <v>0</v>
      </c>
    </row>
    <row r="26" spans="1:24" ht="9.75">
      <c r="A26" s="710" t="s">
        <v>23</v>
      </c>
      <c r="B26" s="1160" t="s">
        <v>67</v>
      </c>
      <c r="C26" s="1160"/>
      <c r="D26" s="711" t="s">
        <v>25</v>
      </c>
      <c r="E26" s="681">
        <v>1238364</v>
      </c>
      <c r="F26" s="663">
        <v>1238364</v>
      </c>
      <c r="G26" s="663">
        <v>1238354</v>
      </c>
      <c r="H26" s="664">
        <v>99.99919248298562</v>
      </c>
      <c r="I26" s="675">
        <v>1237312</v>
      </c>
      <c r="J26" s="705">
        <v>1238364</v>
      </c>
      <c r="K26" s="667">
        <v>1238364</v>
      </c>
      <c r="L26" s="667">
        <v>1238354</v>
      </c>
      <c r="M26" s="664">
        <v>99.99919248298562</v>
      </c>
      <c r="N26" s="686">
        <v>1237312</v>
      </c>
      <c r="O26" s="699">
        <v>0</v>
      </c>
      <c r="P26" s="667">
        <v>0</v>
      </c>
      <c r="Q26" s="667">
        <v>0</v>
      </c>
      <c r="R26" s="664">
        <v>0</v>
      </c>
      <c r="S26" s="686">
        <v>0</v>
      </c>
      <c r="T26" s="738">
        <v>9948</v>
      </c>
      <c r="U26" s="741">
        <v>9948</v>
      </c>
      <c r="V26" s="741">
        <v>9948</v>
      </c>
      <c r="W26" s="664">
        <v>100</v>
      </c>
      <c r="X26" s="744">
        <v>11000</v>
      </c>
    </row>
    <row r="27" spans="1:24" ht="9.75">
      <c r="A27" s="710" t="s">
        <v>43</v>
      </c>
      <c r="B27" s="672" t="s">
        <v>68</v>
      </c>
      <c r="C27" s="672"/>
      <c r="D27" s="711" t="s">
        <v>25</v>
      </c>
      <c r="E27" s="681">
        <v>0</v>
      </c>
      <c r="F27" s="663">
        <v>0</v>
      </c>
      <c r="G27" s="663">
        <v>0</v>
      </c>
      <c r="H27" s="664">
        <v>0</v>
      </c>
      <c r="I27" s="675">
        <v>0</v>
      </c>
      <c r="J27" s="705">
        <v>0</v>
      </c>
      <c r="K27" s="667">
        <v>0</v>
      </c>
      <c r="L27" s="667">
        <v>0</v>
      </c>
      <c r="M27" s="664"/>
      <c r="N27" s="682">
        <v>0</v>
      </c>
      <c r="O27" s="699">
        <v>0</v>
      </c>
      <c r="P27" s="667">
        <v>0</v>
      </c>
      <c r="Q27" s="667">
        <v>0</v>
      </c>
      <c r="R27" s="664">
        <v>0</v>
      </c>
      <c r="S27" s="686">
        <v>0</v>
      </c>
      <c r="T27" s="738">
        <v>0</v>
      </c>
      <c r="U27" s="741">
        <v>0</v>
      </c>
      <c r="V27" s="741">
        <v>0</v>
      </c>
      <c r="W27" s="745">
        <v>0</v>
      </c>
      <c r="X27" s="744">
        <v>0</v>
      </c>
    </row>
    <row r="28" spans="1:24" ht="9.75">
      <c r="A28" s="710" t="s">
        <v>49</v>
      </c>
      <c r="B28" s="672" t="s">
        <v>72</v>
      </c>
      <c r="C28" s="672"/>
      <c r="D28" s="711" t="s">
        <v>25</v>
      </c>
      <c r="E28" s="681">
        <v>0</v>
      </c>
      <c r="F28" s="663">
        <v>1038679</v>
      </c>
      <c r="G28" s="663">
        <v>1038679.29</v>
      </c>
      <c r="H28" s="664">
        <v>100.00002792007925</v>
      </c>
      <c r="I28" s="675">
        <v>557855</v>
      </c>
      <c r="J28" s="705">
        <v>0</v>
      </c>
      <c r="K28" s="667">
        <v>463793</v>
      </c>
      <c r="L28" s="667">
        <v>463793.4</v>
      </c>
      <c r="M28" s="664">
        <v>100.0000862453724</v>
      </c>
      <c r="N28" s="682">
        <v>136656</v>
      </c>
      <c r="O28" s="699">
        <v>0</v>
      </c>
      <c r="P28" s="667">
        <v>574886</v>
      </c>
      <c r="Q28" s="667">
        <v>574885.89</v>
      </c>
      <c r="R28" s="664">
        <v>99.999980865771647</v>
      </c>
      <c r="S28" s="686">
        <v>421199</v>
      </c>
      <c r="T28" s="738">
        <v>0</v>
      </c>
      <c r="U28" s="741">
        <v>0</v>
      </c>
      <c r="V28" s="741">
        <v>0</v>
      </c>
      <c r="W28" s="745">
        <v>0</v>
      </c>
      <c r="X28" s="744">
        <v>0</v>
      </c>
    </row>
    <row r="29" spans="1:24" ht="9.75">
      <c r="A29" s="710" t="s">
        <v>50</v>
      </c>
      <c r="B29" s="672" t="s">
        <v>65</v>
      </c>
      <c r="C29" s="672"/>
      <c r="D29" s="711" t="s">
        <v>25</v>
      </c>
      <c r="E29" s="681">
        <v>606</v>
      </c>
      <c r="F29" s="663">
        <v>12739</v>
      </c>
      <c r="G29" s="663">
        <v>12739</v>
      </c>
      <c r="H29" s="664">
        <v>100</v>
      </c>
      <c r="I29" s="675">
        <v>22968</v>
      </c>
      <c r="J29" s="705">
        <v>606</v>
      </c>
      <c r="K29" s="667">
        <v>606</v>
      </c>
      <c r="L29" s="667">
        <v>606</v>
      </c>
      <c r="M29" s="664">
        <v>100</v>
      </c>
      <c r="N29" s="686">
        <v>606</v>
      </c>
      <c r="O29" s="699">
        <v>0</v>
      </c>
      <c r="P29" s="667">
        <v>12133</v>
      </c>
      <c r="Q29" s="667">
        <v>12133</v>
      </c>
      <c r="R29" s="664">
        <v>100</v>
      </c>
      <c r="S29" s="686">
        <v>22362</v>
      </c>
      <c r="T29" s="738">
        <v>0</v>
      </c>
      <c r="U29" s="741">
        <v>0</v>
      </c>
      <c r="V29" s="741">
        <v>0</v>
      </c>
      <c r="W29" s="745">
        <v>0</v>
      </c>
      <c r="X29" s="744">
        <v>0</v>
      </c>
    </row>
    <row r="30" spans="1:24" ht="9.75">
      <c r="A30" s="710" t="s">
        <v>52</v>
      </c>
      <c r="B30" s="672" t="s">
        <v>51</v>
      </c>
      <c r="C30" s="672"/>
      <c r="D30" s="711" t="s">
        <v>25</v>
      </c>
      <c r="E30" s="681">
        <v>0</v>
      </c>
      <c r="F30" s="663">
        <v>0</v>
      </c>
      <c r="G30" s="663">
        <v>0</v>
      </c>
      <c r="H30" s="664">
        <v>0</v>
      </c>
      <c r="I30" s="675">
        <v>0</v>
      </c>
      <c r="J30" s="705">
        <v>0</v>
      </c>
      <c r="K30" s="667">
        <v>0</v>
      </c>
      <c r="L30" s="667">
        <v>0</v>
      </c>
      <c r="M30" s="664"/>
      <c r="N30" s="686">
        <v>0</v>
      </c>
      <c r="O30" s="699">
        <v>0</v>
      </c>
      <c r="P30" s="667">
        <v>0</v>
      </c>
      <c r="Q30" s="667">
        <v>0</v>
      </c>
      <c r="R30" s="664">
        <v>0</v>
      </c>
      <c r="S30" s="686">
        <v>0</v>
      </c>
      <c r="T30" s="738">
        <v>0</v>
      </c>
      <c r="U30" s="741">
        <v>0</v>
      </c>
      <c r="V30" s="741">
        <v>0</v>
      </c>
      <c r="W30" s="745">
        <v>0</v>
      </c>
      <c r="X30" s="744">
        <v>0</v>
      </c>
    </row>
    <row r="31" spans="1:24" ht="9.75">
      <c r="A31" s="710" t="s">
        <v>53</v>
      </c>
      <c r="B31" s="672" t="s">
        <v>69</v>
      </c>
      <c r="C31" s="672"/>
      <c r="D31" s="711" t="s">
        <v>25</v>
      </c>
      <c r="E31" s="681">
        <v>0</v>
      </c>
      <c r="F31" s="663">
        <v>0</v>
      </c>
      <c r="G31" s="663">
        <v>0</v>
      </c>
      <c r="H31" s="664">
        <v>0</v>
      </c>
      <c r="I31" s="675">
        <v>0</v>
      </c>
      <c r="J31" s="705">
        <v>0</v>
      </c>
      <c r="K31" s="670">
        <v>0</v>
      </c>
      <c r="L31" s="670">
        <v>0</v>
      </c>
      <c r="M31" s="664"/>
      <c r="N31" s="692">
        <v>0</v>
      </c>
      <c r="O31" s="700">
        <v>0</v>
      </c>
      <c r="P31" s="670">
        <v>0</v>
      </c>
      <c r="Q31" s="670">
        <v>0</v>
      </c>
      <c r="R31" s="664">
        <v>0</v>
      </c>
      <c r="S31" s="692">
        <v>0</v>
      </c>
      <c r="T31" s="690">
        <v>0</v>
      </c>
      <c r="U31" s="671">
        <v>0</v>
      </c>
      <c r="V31" s="671">
        <v>0</v>
      </c>
      <c r="W31" s="664">
        <v>0</v>
      </c>
      <c r="X31" s="691">
        <v>0</v>
      </c>
    </row>
    <row r="32" spans="1:24" ht="9.75">
      <c r="A32" s="710" t="s">
        <v>54</v>
      </c>
      <c r="B32" s="672" t="s">
        <v>70</v>
      </c>
      <c r="C32" s="672"/>
      <c r="D32" s="711" t="s">
        <v>25</v>
      </c>
      <c r="E32" s="681">
        <v>0</v>
      </c>
      <c r="F32" s="663">
        <v>0</v>
      </c>
      <c r="G32" s="663">
        <v>0</v>
      </c>
      <c r="H32" s="664">
        <v>0</v>
      </c>
      <c r="I32" s="675">
        <v>0</v>
      </c>
      <c r="J32" s="707">
        <v>0</v>
      </c>
      <c r="K32" s="671">
        <v>0</v>
      </c>
      <c r="L32" s="671">
        <v>0</v>
      </c>
      <c r="M32" s="664"/>
      <c r="N32" s="691">
        <v>0</v>
      </c>
      <c r="O32" s="701">
        <v>0</v>
      </c>
      <c r="P32" s="671">
        <v>0</v>
      </c>
      <c r="Q32" s="671">
        <v>0</v>
      </c>
      <c r="R32" s="664">
        <v>0</v>
      </c>
      <c r="S32" s="691">
        <v>0</v>
      </c>
      <c r="T32" s="690">
        <v>0</v>
      </c>
      <c r="U32" s="671">
        <v>0</v>
      </c>
      <c r="V32" s="671">
        <v>0</v>
      </c>
      <c r="W32" s="664">
        <v>0</v>
      </c>
      <c r="X32" s="691">
        <v>0</v>
      </c>
    </row>
    <row r="33" spans="1:24" ht="9.75">
      <c r="A33" s="708" t="s">
        <v>55</v>
      </c>
      <c r="B33" s="1403" t="s">
        <v>56</v>
      </c>
      <c r="C33" s="1534"/>
      <c r="D33" s="709" t="s">
        <v>25</v>
      </c>
      <c r="E33" s="677">
        <v>0</v>
      </c>
      <c r="F33" s="661">
        <v>0</v>
      </c>
      <c r="G33" s="661">
        <v>138833.45000000298</v>
      </c>
      <c r="H33" s="658"/>
      <c r="I33" s="674">
        <v>371537</v>
      </c>
      <c r="J33" s="677">
        <v>0</v>
      </c>
      <c r="K33" s="661">
        <v>0.39999999990686774</v>
      </c>
      <c r="L33" s="661">
        <v>138833</v>
      </c>
      <c r="M33" s="658"/>
      <c r="N33" s="678">
        <v>371537</v>
      </c>
      <c r="O33" s="694">
        <v>0</v>
      </c>
      <c r="P33" s="661">
        <v>0</v>
      </c>
      <c r="Q33" s="661">
        <v>0</v>
      </c>
      <c r="R33" s="658"/>
      <c r="S33" s="678">
        <v>0</v>
      </c>
      <c r="T33" s="677">
        <v>5685</v>
      </c>
      <c r="U33" s="661">
        <v>4915</v>
      </c>
      <c r="V33" s="661">
        <v>4915</v>
      </c>
      <c r="W33" s="658">
        <v>100</v>
      </c>
      <c r="X33" s="678">
        <v>7221</v>
      </c>
    </row>
    <row r="34" spans="1:24" ht="9.75">
      <c r="A34" s="713" t="s">
        <v>57</v>
      </c>
      <c r="B34" s="1157" t="s">
        <v>237</v>
      </c>
      <c r="C34" s="1157"/>
      <c r="D34" s="715" t="s">
        <v>25</v>
      </c>
      <c r="E34" s="726"/>
      <c r="F34" s="727">
        <v>-0.16000000014901161</v>
      </c>
      <c r="G34" s="727"/>
      <c r="H34" s="669"/>
      <c r="I34" s="730"/>
      <c r="J34" s="716"/>
      <c r="K34" s="717"/>
      <c r="L34" s="717"/>
      <c r="M34" s="664"/>
      <c r="N34" s="718">
        <v>0</v>
      </c>
      <c r="O34" s="732"/>
      <c r="P34" s="733"/>
      <c r="Q34" s="733"/>
      <c r="R34" s="664"/>
      <c r="S34" s="736"/>
      <c r="T34" s="716"/>
      <c r="U34" s="717"/>
      <c r="V34" s="717"/>
      <c r="W34" s="664"/>
      <c r="X34" s="718"/>
    </row>
    <row r="35" spans="1:24" ht="9.75">
      <c r="A35" s="714" t="s">
        <v>58</v>
      </c>
      <c r="B35" s="1156" t="s">
        <v>238</v>
      </c>
      <c r="C35" s="1156"/>
      <c r="D35" s="719" t="s">
        <v>26</v>
      </c>
      <c r="E35" s="726"/>
      <c r="F35" s="727"/>
      <c r="G35" s="727"/>
      <c r="H35" s="669"/>
      <c r="I35" s="740"/>
      <c r="J35" s="716"/>
      <c r="K35" s="717"/>
      <c r="L35" s="717"/>
      <c r="M35" s="664"/>
      <c r="N35" s="718">
        <v>0</v>
      </c>
      <c r="O35" s="742"/>
      <c r="P35" s="743"/>
      <c r="Q35" s="733"/>
      <c r="R35" s="664"/>
      <c r="S35" s="739"/>
      <c r="T35" s="716"/>
      <c r="U35" s="717"/>
      <c r="V35" s="717"/>
      <c r="W35" s="664"/>
      <c r="X35" s="718"/>
    </row>
    <row r="36" spans="1:24" ht="9.75">
      <c r="A36" s="714" t="s">
        <v>59</v>
      </c>
      <c r="B36" s="1156" t="s">
        <v>239</v>
      </c>
      <c r="C36" s="1156"/>
      <c r="D36" s="719" t="s">
        <v>26</v>
      </c>
      <c r="E36" s="726"/>
      <c r="F36" s="727"/>
      <c r="G36" s="727"/>
      <c r="H36" s="669"/>
      <c r="I36" s="730"/>
      <c r="J36" s="716"/>
      <c r="K36" s="717"/>
      <c r="L36" s="717"/>
      <c r="M36" s="664"/>
      <c r="N36" s="718">
        <v>0</v>
      </c>
      <c r="O36" s="732"/>
      <c r="P36" s="733"/>
      <c r="Q36" s="733"/>
      <c r="R36" s="664"/>
      <c r="S36" s="736"/>
      <c r="T36" s="716"/>
      <c r="U36" s="717"/>
      <c r="V36" s="717"/>
      <c r="W36" s="664"/>
      <c r="X36" s="718"/>
    </row>
    <row r="37" spans="1:24" ht="10.5" thickBot="1">
      <c r="A37" s="720" t="s">
        <v>240</v>
      </c>
      <c r="B37" s="1174" t="s">
        <v>241</v>
      </c>
      <c r="C37" s="1174"/>
      <c r="D37" s="721" t="s">
        <v>242</v>
      </c>
      <c r="E37" s="728"/>
      <c r="F37" s="729"/>
      <c r="G37" s="729"/>
      <c r="H37" s="693"/>
      <c r="I37" s="731"/>
      <c r="J37" s="722">
        <v>14</v>
      </c>
      <c r="K37" s="723">
        <v>12</v>
      </c>
      <c r="L37" s="723">
        <v>12</v>
      </c>
      <c r="M37" s="724">
        <v>100</v>
      </c>
      <c r="N37" s="725">
        <v>10</v>
      </c>
      <c r="O37" s="734"/>
      <c r="P37" s="735"/>
      <c r="Q37" s="735"/>
      <c r="R37" s="724"/>
      <c r="S37" s="737"/>
      <c r="T37" s="722"/>
      <c r="U37" s="723"/>
      <c r="V37" s="723"/>
      <c r="W37" s="724"/>
      <c r="X37" s="725"/>
    </row>
  </sheetData>
  <mergeCells count="40">
    <mergeCell ref="F4:H4"/>
    <mergeCell ref="S4:S5"/>
    <mergeCell ref="I4:I5"/>
    <mergeCell ref="E3:I3"/>
    <mergeCell ref="O4:O5"/>
    <mergeCell ref="K4:M4"/>
    <mergeCell ref="J3:N3"/>
    <mergeCell ref="J4:J5"/>
    <mergeCell ref="B37:C37"/>
    <mergeCell ref="A1:X1"/>
    <mergeCell ref="T4:T5"/>
    <mergeCell ref="U4:W4"/>
    <mergeCell ref="X4:X5"/>
    <mergeCell ref="T3:X3"/>
    <mergeCell ref="A3:A5"/>
    <mergeCell ref="B3:C5"/>
    <mergeCell ref="D3:D5"/>
    <mergeCell ref="P4:R4"/>
    <mergeCell ref="N4:N5"/>
    <mergeCell ref="E4:E5"/>
    <mergeCell ref="O3:S3"/>
    <mergeCell ref="B12:C12"/>
    <mergeCell ref="B13:C13"/>
    <mergeCell ref="B15:C15"/>
    <mergeCell ref="B16:C16"/>
    <mergeCell ref="B18:C18"/>
    <mergeCell ref="B34:C34"/>
    <mergeCell ref="B35:C35"/>
    <mergeCell ref="B36:C36"/>
    <mergeCell ref="B20:C20"/>
    <mergeCell ref="B21:C21"/>
    <mergeCell ref="B22:C22"/>
    <mergeCell ref="B26:C26"/>
    <mergeCell ref="B33:C33"/>
    <mergeCell ref="B19:C19"/>
    <mergeCell ref="B8:C8"/>
    <mergeCell ref="B10:C10"/>
    <mergeCell ref="B11:C11"/>
    <mergeCell ref="B6:C6"/>
    <mergeCell ref="B7:C7"/>
  </mergeCells>
  <pageMargins left="0.23622047244094491" right="0.23622047244094491" top="0.74803149606299213" bottom="0.74803149606299213" header="0.31496062992125984" footer="0.31496062992125984"/>
  <pageSetup paperSize="9" scale="99" firstPageNumber="173"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7"/>
  <sheetViews>
    <sheetView topLeftCell="A85" zoomScaleNormal="100" workbookViewId="0">
      <selection activeCell="A24" sqref="A24:XFD24"/>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1549" t="s">
        <v>354</v>
      </c>
      <c r="C1" s="1550"/>
      <c r="D1" s="1550"/>
      <c r="E1" s="1550"/>
      <c r="F1" s="1550"/>
      <c r="G1" s="1550"/>
      <c r="H1" s="1550"/>
      <c r="I1" s="1550"/>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1.25">
      <c r="A6" s="1213" t="s">
        <v>414</v>
      </c>
      <c r="B6" s="1213"/>
      <c r="C6" s="16">
        <v>143748</v>
      </c>
      <c r="D6" s="1207"/>
      <c r="E6" s="1208"/>
      <c r="F6" s="1208"/>
      <c r="G6" s="1208"/>
      <c r="H6" s="1208"/>
      <c r="I6" s="1209"/>
    </row>
    <row r="7" spans="1:9" s="2" customFormat="1" ht="93" customHeight="1">
      <c r="A7" s="1199" t="s">
        <v>75</v>
      </c>
      <c r="B7" s="1200"/>
      <c r="C7" s="17">
        <v>138833</v>
      </c>
      <c r="D7" s="1205" t="s">
        <v>925</v>
      </c>
      <c r="E7" s="1205"/>
      <c r="F7" s="1205"/>
      <c r="G7" s="1205"/>
      <c r="H7" s="1205"/>
      <c r="I7" s="1206"/>
    </row>
    <row r="8" spans="1:9" s="281" customFormat="1" ht="52.5" customHeight="1">
      <c r="A8" s="1201" t="s">
        <v>76</v>
      </c>
      <c r="B8" s="1202"/>
      <c r="C8" s="18">
        <v>4915</v>
      </c>
      <c r="D8" s="1205" t="s">
        <v>926</v>
      </c>
      <c r="E8" s="1205"/>
      <c r="F8" s="1205"/>
      <c r="G8" s="1205"/>
      <c r="H8" s="1205"/>
      <c r="I8" s="1206"/>
    </row>
    <row r="9" spans="1:9" s="281" customFormat="1" ht="10.5">
      <c r="A9" s="1203" t="s">
        <v>77</v>
      </c>
      <c r="B9" s="1204"/>
      <c r="C9" s="62">
        <v>0</v>
      </c>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1.25">
      <c r="A14" s="63" t="s">
        <v>79</v>
      </c>
      <c r="B14" s="4"/>
      <c r="C14" s="64">
        <v>60941</v>
      </c>
      <c r="D14" s="22"/>
      <c r="E14" s="22"/>
      <c r="F14" s="22"/>
      <c r="G14" s="22"/>
      <c r="H14" s="22"/>
      <c r="I14" s="22"/>
    </row>
    <row r="15" spans="1:9" s="2" customFormat="1" ht="11.25">
      <c r="A15" s="1190" t="s">
        <v>80</v>
      </c>
      <c r="B15" s="23" t="s">
        <v>91</v>
      </c>
      <c r="C15" s="65">
        <v>0</v>
      </c>
      <c r="D15" s="22"/>
      <c r="E15" s="22"/>
      <c r="F15" s="22"/>
      <c r="G15" s="22"/>
      <c r="H15" s="22"/>
      <c r="I15" s="22"/>
    </row>
    <row r="16" spans="1:9" s="2" customFormat="1" ht="11.25">
      <c r="A16" s="1191"/>
      <c r="B16" s="5" t="s">
        <v>81</v>
      </c>
      <c r="C16" s="66">
        <v>82807</v>
      </c>
      <c r="D16" s="24"/>
      <c r="E16" s="24"/>
      <c r="F16" s="24"/>
      <c r="G16" s="24"/>
      <c r="H16" s="24"/>
      <c r="I16" s="24"/>
    </row>
    <row r="17" spans="1:9" s="2" customFormat="1" ht="11.25">
      <c r="A17" s="1192"/>
      <c r="B17" s="6" t="s">
        <v>82</v>
      </c>
      <c r="C17" s="67">
        <v>0</v>
      </c>
      <c r="D17" s="25"/>
      <c r="E17" s="25"/>
      <c r="F17" s="25"/>
      <c r="G17" s="25"/>
      <c r="H17" s="25"/>
      <c r="I17" s="25"/>
    </row>
    <row r="18" spans="1:9" s="2" customFormat="1" ht="11.25">
      <c r="A18" s="275" t="s">
        <v>414</v>
      </c>
      <c r="B18" s="7"/>
      <c r="C18" s="26">
        <f>SUM(C14:C17)</f>
        <v>143748</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25.5" customHeight="1">
      <c r="A23" s="68" t="s">
        <v>83</v>
      </c>
      <c r="B23" s="32">
        <v>1173005.51</v>
      </c>
      <c r="C23" s="32">
        <v>913795.91</v>
      </c>
      <c r="D23" s="32">
        <v>1423981.95</v>
      </c>
      <c r="E23" s="32">
        <f>B23+C23-D23</f>
        <v>662819.47</v>
      </c>
      <c r="F23" s="1194" t="s">
        <v>927</v>
      </c>
      <c r="G23" s="1195"/>
      <c r="H23" s="1195"/>
      <c r="I23" s="1196"/>
    </row>
    <row r="24" spans="1:9" s="2" customFormat="1" ht="30" customHeight="1">
      <c r="A24" s="69" t="s">
        <v>84</v>
      </c>
      <c r="B24" s="33">
        <v>127384</v>
      </c>
      <c r="C24" s="33">
        <v>1509364.45</v>
      </c>
      <c r="D24" s="33">
        <v>1610539.65</v>
      </c>
      <c r="E24" s="33">
        <f t="shared" ref="E24:E26" si="0">B24+C24-D24</f>
        <v>26208.800000000047</v>
      </c>
      <c r="F24" s="1183" t="s">
        <v>928</v>
      </c>
      <c r="G24" s="1184"/>
      <c r="H24" s="1184"/>
      <c r="I24" s="1185"/>
    </row>
    <row r="25" spans="1:9" s="2" customFormat="1" ht="23.25" customHeight="1">
      <c r="A25" s="69" t="s">
        <v>82</v>
      </c>
      <c r="B25" s="33">
        <v>31235.98</v>
      </c>
      <c r="C25" s="33">
        <v>0</v>
      </c>
      <c r="D25" s="33">
        <v>0</v>
      </c>
      <c r="E25" s="33">
        <f t="shared" si="0"/>
        <v>31235.98</v>
      </c>
      <c r="F25" s="1183" t="s">
        <v>929</v>
      </c>
      <c r="G25" s="1184"/>
      <c r="H25" s="1184"/>
      <c r="I25" s="1185"/>
    </row>
    <row r="26" spans="1:9" s="2" customFormat="1" ht="63.75" customHeight="1">
      <c r="A26" s="70" t="s">
        <v>85</v>
      </c>
      <c r="B26" s="34">
        <v>617773.02</v>
      </c>
      <c r="C26" s="34">
        <v>363770</v>
      </c>
      <c r="D26" s="34">
        <v>284122.90999999997</v>
      </c>
      <c r="E26" s="33">
        <f t="shared" si="0"/>
        <v>697420.1100000001</v>
      </c>
      <c r="F26" s="1186" t="s">
        <v>930</v>
      </c>
      <c r="G26" s="1187"/>
      <c r="H26" s="1187"/>
      <c r="I26" s="1188"/>
    </row>
    <row r="27" spans="1:9" s="281" customFormat="1" ht="10.5">
      <c r="A27" s="3" t="s">
        <v>34</v>
      </c>
      <c r="B27" s="16">
        <f>SUM(B23:B26)</f>
        <v>1949398.51</v>
      </c>
      <c r="C27" s="16">
        <f t="shared" ref="C27:E27" si="1">SUM(C23:C26)</f>
        <v>2786930.36</v>
      </c>
      <c r="D27" s="16">
        <f t="shared" si="1"/>
        <v>3318644.51</v>
      </c>
      <c r="E27" s="16">
        <f t="shared" si="1"/>
        <v>1417684.36</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1.25">
      <c r="A32" s="79"/>
      <c r="B32" s="32"/>
      <c r="C32" s="8"/>
      <c r="D32" s="1215" t="s">
        <v>931</v>
      </c>
      <c r="E32" s="1216"/>
      <c r="F32" s="1216"/>
      <c r="G32" s="1216"/>
      <c r="H32" s="1216"/>
      <c r="I32" s="1217"/>
    </row>
    <row r="33" spans="1:9" s="2" customFormat="1" ht="11.25">
      <c r="A33" s="80"/>
      <c r="B33" s="34"/>
      <c r="C33" s="13"/>
      <c r="D33" s="1218"/>
      <c r="E33" s="1219"/>
      <c r="F33" s="1219"/>
      <c r="G33" s="1219"/>
      <c r="H33" s="1219"/>
      <c r="I33" s="1220"/>
    </row>
    <row r="34" spans="1:9" s="2" customFormat="1" ht="11.25">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1.25">
      <c r="A40" s="79"/>
      <c r="B40" s="32"/>
      <c r="C40" s="8"/>
      <c r="D40" s="1226" t="s">
        <v>932</v>
      </c>
      <c r="E40" s="1227"/>
      <c r="F40" s="1227"/>
      <c r="G40" s="1227"/>
      <c r="H40" s="1227"/>
      <c r="I40" s="1228"/>
    </row>
    <row r="41" spans="1:9" s="2" customFormat="1" ht="11.25">
      <c r="A41" s="86"/>
      <c r="B41" s="33"/>
      <c r="C41" s="9"/>
      <c r="D41" s="1183"/>
      <c r="E41" s="1229"/>
      <c r="F41" s="1229"/>
      <c r="G41" s="1229"/>
      <c r="H41" s="1229"/>
      <c r="I41" s="1230"/>
    </row>
    <row r="42" spans="1:9" s="2" customFormat="1" ht="11.25">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c r="B48" s="36"/>
      <c r="C48" s="1239" t="s">
        <v>933</v>
      </c>
      <c r="D48" s="1239"/>
      <c r="E48" s="1239"/>
      <c r="F48" s="1239"/>
      <c r="G48" s="1239"/>
      <c r="H48" s="1239"/>
      <c r="I48" s="1240"/>
    </row>
    <row r="49" spans="1:9" s="2" customFormat="1" ht="11.25">
      <c r="A49" s="71"/>
      <c r="B49" s="33"/>
      <c r="C49" s="1241"/>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A51" s="16">
        <f>A48+A49+A50</f>
        <v>0</v>
      </c>
      <c r="B51" s="16">
        <f>B48+B49+B50</f>
        <v>0</v>
      </c>
      <c r="C51" s="1233" t="s">
        <v>34</v>
      </c>
      <c r="D51" s="1233"/>
      <c r="E51" s="1233"/>
      <c r="F51" s="1233"/>
      <c r="G51" s="1233"/>
      <c r="H51" s="1233"/>
      <c r="I51" s="1233"/>
    </row>
    <row r="52" spans="1:9" s="2" customFormat="1" ht="11.25">
      <c r="C52" s="19"/>
    </row>
    <row r="53" spans="1:9" s="2" customFormat="1" ht="11.25">
      <c r="A53" s="1189" t="s">
        <v>434</v>
      </c>
      <c r="B53" s="1189"/>
      <c r="C53" s="1189"/>
      <c r="D53" s="1189"/>
      <c r="E53" s="1189"/>
      <c r="F53" s="1189"/>
      <c r="G53" s="1189"/>
      <c r="H53" s="1189"/>
      <c r="I53" s="1189"/>
    </row>
    <row r="54" spans="1:9" s="2" customFormat="1" ht="11.25">
      <c r="C54" s="19"/>
    </row>
    <row r="55" spans="1:9" s="10" customFormat="1" ht="31.5">
      <c r="A55" s="1234" t="s">
        <v>259</v>
      </c>
      <c r="B55" s="1235"/>
      <c r="C55" s="56" t="s">
        <v>179</v>
      </c>
      <c r="D55" s="56" t="s">
        <v>118</v>
      </c>
      <c r="E55" s="56" t="s">
        <v>119</v>
      </c>
      <c r="F55" s="56" t="s">
        <v>244</v>
      </c>
      <c r="G55" s="56" t="s">
        <v>180</v>
      </c>
    </row>
    <row r="56" spans="1:9" s="2" customFormat="1" ht="12">
      <c r="A56" s="1545" t="s">
        <v>355</v>
      </c>
      <c r="B56" s="1546"/>
      <c r="C56" s="747" t="s">
        <v>133</v>
      </c>
      <c r="D56" s="748">
        <v>158601</v>
      </c>
      <c r="E56" s="748"/>
      <c r="F56" s="749">
        <v>44305</v>
      </c>
      <c r="G56" s="747"/>
    </row>
    <row r="57" spans="1:9" s="2" customFormat="1" ht="12">
      <c r="A57" s="1545" t="s">
        <v>934</v>
      </c>
      <c r="B57" s="1546"/>
      <c r="C57" s="747" t="s">
        <v>132</v>
      </c>
      <c r="D57" s="748"/>
      <c r="E57" s="748">
        <v>158601</v>
      </c>
      <c r="F57" s="750"/>
      <c r="G57" s="750">
        <v>44533</v>
      </c>
    </row>
    <row r="58" spans="1:9" s="2" customFormat="1" ht="12">
      <c r="A58" s="1545" t="s">
        <v>935</v>
      </c>
      <c r="B58" s="1548"/>
      <c r="C58" s="747" t="s">
        <v>136</v>
      </c>
      <c r="D58" s="748">
        <v>54000</v>
      </c>
      <c r="E58" s="748"/>
      <c r="F58" s="751" t="s">
        <v>936</v>
      </c>
      <c r="G58" s="752"/>
    </row>
    <row r="59" spans="1:9" s="2" customFormat="1" ht="12">
      <c r="A59" s="753" t="s">
        <v>937</v>
      </c>
      <c r="B59" s="278"/>
      <c r="C59" s="747" t="s">
        <v>130</v>
      </c>
      <c r="D59" s="748"/>
      <c r="E59" s="748">
        <v>1600</v>
      </c>
      <c r="F59" s="752"/>
      <c r="G59" s="750">
        <v>44377</v>
      </c>
    </row>
    <row r="60" spans="1:9" s="2" customFormat="1" ht="12">
      <c r="A60" s="1545" t="s">
        <v>937</v>
      </c>
      <c r="B60" s="1548"/>
      <c r="C60" s="747" t="s">
        <v>140</v>
      </c>
      <c r="D60" s="748"/>
      <c r="E60" s="748">
        <v>640</v>
      </c>
      <c r="F60" s="751"/>
      <c r="G60" s="750">
        <v>44377</v>
      </c>
    </row>
    <row r="61" spans="1:9" s="2" customFormat="1" ht="12">
      <c r="A61" s="753" t="s">
        <v>937</v>
      </c>
      <c r="B61" s="278"/>
      <c r="C61" s="747" t="s">
        <v>132</v>
      </c>
      <c r="D61" s="748"/>
      <c r="E61" s="748">
        <v>51760</v>
      </c>
      <c r="F61" s="752"/>
      <c r="G61" s="750">
        <v>44377</v>
      </c>
    </row>
    <row r="62" spans="1:9" s="2" customFormat="1" ht="12">
      <c r="A62" s="1545" t="s">
        <v>358</v>
      </c>
      <c r="B62" s="1548"/>
      <c r="C62" s="747" t="s">
        <v>136</v>
      </c>
      <c r="D62" s="748">
        <v>323387.05</v>
      </c>
      <c r="E62" s="748"/>
      <c r="F62" s="751" t="s">
        <v>938</v>
      </c>
      <c r="G62" s="752"/>
    </row>
    <row r="63" spans="1:9" s="2" customFormat="1" ht="12">
      <c r="A63" s="1543" t="s">
        <v>939</v>
      </c>
      <c r="B63" s="1544"/>
      <c r="C63" s="747" t="s">
        <v>940</v>
      </c>
      <c r="D63" s="752"/>
      <c r="E63" s="748">
        <v>108702.68</v>
      </c>
      <c r="F63" s="752"/>
      <c r="G63" s="750">
        <v>44561</v>
      </c>
    </row>
    <row r="64" spans="1:9" s="2" customFormat="1" ht="12">
      <c r="A64" s="1545" t="s">
        <v>939</v>
      </c>
      <c r="B64" s="1547"/>
      <c r="C64" s="747" t="s">
        <v>361</v>
      </c>
      <c r="D64" s="752"/>
      <c r="E64" s="748">
        <v>11105.94</v>
      </c>
      <c r="F64" s="752"/>
      <c r="G64" s="750">
        <v>44561</v>
      </c>
    </row>
    <row r="65" spans="1:7" s="2" customFormat="1" ht="12">
      <c r="A65" s="1545" t="s">
        <v>939</v>
      </c>
      <c r="B65" s="1547"/>
      <c r="C65" s="747" t="s">
        <v>132</v>
      </c>
      <c r="D65" s="752"/>
      <c r="E65" s="748">
        <v>203578.43</v>
      </c>
      <c r="F65" s="752"/>
      <c r="G65" s="750">
        <v>44561</v>
      </c>
    </row>
    <row r="66" spans="1:7" s="2" customFormat="1" ht="12">
      <c r="A66" s="1543" t="s">
        <v>941</v>
      </c>
      <c r="B66" s="1544"/>
      <c r="C66" s="747" t="s">
        <v>136</v>
      </c>
      <c r="D66" s="748">
        <v>32000</v>
      </c>
      <c r="E66" s="754"/>
      <c r="F66" s="751" t="s">
        <v>942</v>
      </c>
      <c r="G66" s="752"/>
    </row>
    <row r="67" spans="1:7" s="2" customFormat="1" ht="12">
      <c r="A67" s="1545" t="s">
        <v>356</v>
      </c>
      <c r="B67" s="1547"/>
      <c r="C67" s="747" t="s">
        <v>357</v>
      </c>
      <c r="D67" s="754"/>
      <c r="E67" s="748">
        <v>32000</v>
      </c>
      <c r="F67" s="752"/>
      <c r="G67" s="750">
        <v>44377</v>
      </c>
    </row>
    <row r="68" spans="1:7" s="2" customFormat="1" ht="12">
      <c r="A68" s="1545" t="s">
        <v>943</v>
      </c>
      <c r="B68" s="1548"/>
      <c r="C68" s="747" t="s">
        <v>245</v>
      </c>
      <c r="D68" s="748">
        <v>15000</v>
      </c>
      <c r="E68" s="748"/>
      <c r="F68" s="751" t="s">
        <v>944</v>
      </c>
      <c r="G68" s="752"/>
    </row>
    <row r="69" spans="1:7" s="2" customFormat="1" ht="12">
      <c r="A69" s="1545" t="s">
        <v>945</v>
      </c>
      <c r="B69" s="1547"/>
      <c r="C69" s="747" t="s">
        <v>132</v>
      </c>
      <c r="D69" s="748"/>
      <c r="E69" s="748">
        <v>15000</v>
      </c>
      <c r="F69" s="752"/>
      <c r="G69" s="750">
        <v>44561</v>
      </c>
    </row>
    <row r="70" spans="1:7" s="2" customFormat="1" ht="12">
      <c r="A70" s="1545" t="s">
        <v>946</v>
      </c>
      <c r="B70" s="1548"/>
      <c r="C70" s="747" t="s">
        <v>142</v>
      </c>
      <c r="D70" s="748"/>
      <c r="E70" s="748">
        <v>-44939.46</v>
      </c>
      <c r="F70" s="751"/>
      <c r="G70" s="750">
        <v>44561</v>
      </c>
    </row>
    <row r="71" spans="1:7" s="2" customFormat="1" ht="12">
      <c r="A71" s="1545" t="s">
        <v>947</v>
      </c>
      <c r="B71" s="1547"/>
      <c r="C71" s="747" t="s">
        <v>948</v>
      </c>
      <c r="D71" s="752"/>
      <c r="E71" s="748">
        <v>44939.46</v>
      </c>
      <c r="F71" s="752"/>
      <c r="G71" s="750">
        <v>44561</v>
      </c>
    </row>
    <row r="72" spans="1:7" s="2" customFormat="1" ht="12">
      <c r="A72" s="1545" t="s">
        <v>360</v>
      </c>
      <c r="B72" s="1548"/>
      <c r="C72" s="747" t="s">
        <v>175</v>
      </c>
      <c r="D72" s="748">
        <v>-9040</v>
      </c>
      <c r="E72" s="748"/>
      <c r="F72" s="749">
        <v>44561</v>
      </c>
      <c r="G72" s="752"/>
    </row>
    <row r="73" spans="1:7" s="2" customFormat="1" ht="12">
      <c r="A73" s="1545" t="s">
        <v>949</v>
      </c>
      <c r="B73" s="1547"/>
      <c r="C73" s="747" t="s">
        <v>940</v>
      </c>
      <c r="D73" s="752"/>
      <c r="E73" s="748">
        <v>-9040</v>
      </c>
      <c r="F73" s="752"/>
      <c r="G73" s="750">
        <v>44561</v>
      </c>
    </row>
    <row r="74" spans="1:7" s="2" customFormat="1" ht="12">
      <c r="A74" s="1545" t="s">
        <v>950</v>
      </c>
      <c r="B74" s="1547"/>
      <c r="C74" s="747" t="s">
        <v>132</v>
      </c>
      <c r="D74" s="752"/>
      <c r="E74" s="748">
        <v>13626.97</v>
      </c>
      <c r="F74" s="752"/>
      <c r="G74" s="750">
        <v>44561</v>
      </c>
    </row>
    <row r="75" spans="1:7" s="2" customFormat="1" ht="12">
      <c r="A75" s="1543" t="s">
        <v>949</v>
      </c>
      <c r="B75" s="1544"/>
      <c r="C75" s="747" t="s">
        <v>940</v>
      </c>
      <c r="D75" s="748"/>
      <c r="E75" s="748">
        <v>-13626.97</v>
      </c>
      <c r="F75" s="755"/>
      <c r="G75" s="750">
        <v>44561</v>
      </c>
    </row>
    <row r="76" spans="1:7" s="2" customFormat="1" ht="12">
      <c r="A76" s="1543" t="s">
        <v>951</v>
      </c>
      <c r="B76" s="1544"/>
      <c r="C76" s="747" t="s">
        <v>134</v>
      </c>
      <c r="D76" s="748">
        <v>21227</v>
      </c>
      <c r="E76" s="748"/>
      <c r="F76" s="749">
        <v>44420</v>
      </c>
      <c r="G76" s="756"/>
    </row>
    <row r="77" spans="1:7" s="2" customFormat="1" ht="12">
      <c r="A77" s="1543" t="s">
        <v>952</v>
      </c>
      <c r="B77" s="1544"/>
      <c r="C77" s="747" t="s">
        <v>132</v>
      </c>
      <c r="D77" s="748"/>
      <c r="E77" s="748">
        <v>21227</v>
      </c>
      <c r="F77" s="752"/>
      <c r="G77" s="750">
        <v>44421</v>
      </c>
    </row>
    <row r="78" spans="1:7" s="2" customFormat="1" ht="12">
      <c r="A78" s="1545" t="s">
        <v>953</v>
      </c>
      <c r="B78" s="1547"/>
      <c r="C78" s="747" t="s">
        <v>144</v>
      </c>
      <c r="D78" s="748">
        <v>126251.2</v>
      </c>
      <c r="E78" s="757"/>
      <c r="F78" s="748"/>
      <c r="G78" s="750"/>
    </row>
    <row r="79" spans="1:7" s="2" customFormat="1" ht="12">
      <c r="A79" s="1543" t="s">
        <v>954</v>
      </c>
      <c r="B79" s="1544"/>
      <c r="C79" s="747" t="s">
        <v>145</v>
      </c>
      <c r="D79" s="748"/>
      <c r="E79" s="748">
        <v>126251.2</v>
      </c>
      <c r="F79" s="758"/>
      <c r="G79" s="750">
        <v>44547</v>
      </c>
    </row>
    <row r="80" spans="1:7" s="2" customFormat="1" ht="12">
      <c r="A80" s="1543" t="s">
        <v>955</v>
      </c>
      <c r="B80" s="1544"/>
      <c r="C80" s="747" t="s">
        <v>135</v>
      </c>
      <c r="D80" s="748">
        <v>212431.35</v>
      </c>
      <c r="E80" s="748"/>
      <c r="F80" s="749">
        <v>44561</v>
      </c>
      <c r="G80" s="750"/>
    </row>
    <row r="81" spans="1:9" s="2" customFormat="1" ht="12">
      <c r="A81" s="1543" t="s">
        <v>956</v>
      </c>
      <c r="B81" s="1544"/>
      <c r="C81" s="747" t="s">
        <v>143</v>
      </c>
      <c r="D81" s="748"/>
      <c r="E81" s="748">
        <v>183831.21</v>
      </c>
      <c r="F81" s="759"/>
      <c r="G81" s="750">
        <v>44561</v>
      </c>
    </row>
    <row r="82" spans="1:9" s="2" customFormat="1" ht="12">
      <c r="A82" s="1545" t="s">
        <v>957</v>
      </c>
      <c r="B82" s="1547"/>
      <c r="C82" s="747" t="s">
        <v>249</v>
      </c>
      <c r="D82" s="748"/>
      <c r="E82" s="748">
        <v>16426.64</v>
      </c>
      <c r="F82" s="759"/>
      <c r="G82" s="750">
        <v>44561</v>
      </c>
    </row>
    <row r="83" spans="1:9" s="2" customFormat="1" ht="12">
      <c r="A83" s="1543" t="s">
        <v>958</v>
      </c>
      <c r="B83" s="1544"/>
      <c r="C83" s="747" t="s">
        <v>959</v>
      </c>
      <c r="D83" s="748"/>
      <c r="E83" s="748">
        <v>12173.5</v>
      </c>
      <c r="F83" s="752"/>
      <c r="G83" s="750">
        <v>44561</v>
      </c>
    </row>
    <row r="84" spans="1:9" s="2" customFormat="1" ht="12">
      <c r="A84" s="1545" t="s">
        <v>960</v>
      </c>
      <c r="B84" s="1548"/>
      <c r="C84" s="747" t="s">
        <v>135</v>
      </c>
      <c r="D84" s="748">
        <v>640</v>
      </c>
      <c r="E84" s="748"/>
      <c r="F84" s="749">
        <v>44378</v>
      </c>
      <c r="G84" s="752"/>
    </row>
    <row r="85" spans="1:9" s="2" customFormat="1" ht="12">
      <c r="A85" s="1545" t="s">
        <v>961</v>
      </c>
      <c r="B85" s="1547"/>
      <c r="C85" s="747" t="s">
        <v>940</v>
      </c>
      <c r="D85" s="748"/>
      <c r="E85" s="748">
        <v>640</v>
      </c>
      <c r="F85" s="751"/>
      <c r="G85" s="750">
        <v>44561</v>
      </c>
    </row>
    <row r="86" spans="1:9" s="2" customFormat="1" ht="12">
      <c r="A86" s="1545" t="s">
        <v>962</v>
      </c>
      <c r="B86" s="1547"/>
      <c r="C86" s="747" t="s">
        <v>963</v>
      </c>
      <c r="D86" s="748">
        <v>79.7</v>
      </c>
      <c r="E86" s="748"/>
      <c r="F86" s="749">
        <v>44561</v>
      </c>
      <c r="G86" s="750"/>
    </row>
    <row r="87" spans="1:9" s="2" customFormat="1" ht="12">
      <c r="A87" s="1545" t="s">
        <v>964</v>
      </c>
      <c r="B87" s="1547"/>
      <c r="C87" s="747" t="s">
        <v>965</v>
      </c>
      <c r="D87" s="748"/>
      <c r="E87" s="748">
        <v>79.7</v>
      </c>
      <c r="F87" s="752"/>
      <c r="G87" s="750">
        <v>44561</v>
      </c>
    </row>
    <row r="88" spans="1:9" s="2" customFormat="1" ht="12">
      <c r="A88" s="1545" t="s">
        <v>966</v>
      </c>
      <c r="B88" s="1547"/>
      <c r="C88" s="747" t="s">
        <v>136</v>
      </c>
      <c r="D88" s="748">
        <v>320000</v>
      </c>
      <c r="E88" s="748"/>
      <c r="F88" s="759" t="s">
        <v>967</v>
      </c>
      <c r="G88" s="750"/>
    </row>
    <row r="89" spans="1:9" s="2" customFormat="1" ht="12">
      <c r="A89" s="1545" t="s">
        <v>968</v>
      </c>
      <c r="B89" s="1547"/>
      <c r="C89" s="747" t="s">
        <v>145</v>
      </c>
      <c r="D89" s="748"/>
      <c r="E89" s="748">
        <v>320000</v>
      </c>
      <c r="F89" s="752"/>
      <c r="G89" s="759">
        <v>44557</v>
      </c>
    </row>
    <row r="90" spans="1:9" s="2" customFormat="1" ht="11.25">
      <c r="A90" s="1551"/>
      <c r="B90" s="1552"/>
      <c r="C90" s="89"/>
      <c r="D90" s="89"/>
      <c r="E90" s="90"/>
      <c r="F90" s="90"/>
      <c r="G90" s="91"/>
    </row>
    <row r="91" spans="1:9" s="2" customFormat="1" ht="12">
      <c r="A91" s="1254" t="s">
        <v>458</v>
      </c>
      <c r="B91" s="1255"/>
      <c r="C91" s="92"/>
      <c r="D91" s="93">
        <f>SUM(D56:D90)</f>
        <v>1254577.2999999998</v>
      </c>
      <c r="E91" s="93">
        <f>SUM(E56:E90)</f>
        <v>1254577.2999999998</v>
      </c>
      <c r="F91" s="1256"/>
      <c r="G91" s="1257"/>
    </row>
    <row r="92" spans="1:9" s="2" customFormat="1" ht="11.25">
      <c r="A92" s="76"/>
      <c r="B92" s="76"/>
      <c r="C92" s="37"/>
      <c r="D92" s="37"/>
      <c r="E92" s="38"/>
    </row>
    <row r="93" spans="1:9" s="2" customFormat="1" ht="11.25">
      <c r="A93" s="1261" t="s">
        <v>459</v>
      </c>
      <c r="B93" s="1261"/>
      <c r="C93" s="1261"/>
      <c r="D93" s="1261"/>
      <c r="E93" s="1261"/>
      <c r="F93" s="1261"/>
      <c r="G93" s="1261"/>
      <c r="H93" s="1261"/>
      <c r="I93" s="1261"/>
    </row>
    <row r="94" spans="1:9" s="2" customFormat="1" ht="11.25">
      <c r="A94" s="2" t="s">
        <v>969</v>
      </c>
    </row>
    <row r="95" spans="1:9" s="2" customFormat="1" ht="11.25">
      <c r="A95" s="1258" t="s">
        <v>970</v>
      </c>
      <c r="B95" s="1259"/>
      <c r="C95" s="1259"/>
      <c r="D95" s="1259"/>
      <c r="E95" s="1259"/>
      <c r="F95" s="1259"/>
      <c r="G95" s="1259"/>
      <c r="H95" s="1259"/>
      <c r="I95" s="1260"/>
    </row>
    <row r="96" spans="1:9" s="2" customFormat="1" ht="11.25">
      <c r="A96" s="1258"/>
      <c r="B96" s="1259"/>
      <c r="C96" s="1259"/>
      <c r="D96" s="1259"/>
      <c r="E96" s="1259"/>
      <c r="F96" s="1259"/>
      <c r="G96" s="1259"/>
      <c r="H96" s="1259"/>
      <c r="I96" s="1260"/>
    </row>
    <row r="97" spans="1:9" s="2" customFormat="1" ht="11.25">
      <c r="A97" s="1258"/>
      <c r="B97" s="1259"/>
      <c r="C97" s="1259"/>
      <c r="D97" s="1259"/>
      <c r="E97" s="1259"/>
      <c r="F97" s="1259"/>
      <c r="G97" s="1259"/>
      <c r="H97" s="1259"/>
      <c r="I97" s="1260"/>
    </row>
    <row r="98" spans="1:9" s="2" customFormat="1" ht="11.25"/>
    <row r="99" spans="1:9" s="281" customFormat="1" ht="10.5">
      <c r="A99" s="1189" t="s">
        <v>461</v>
      </c>
      <c r="B99" s="1189"/>
      <c r="C99" s="1189"/>
      <c r="D99" s="1189"/>
      <c r="E99" s="1189"/>
      <c r="F99" s="1189"/>
      <c r="G99" s="1189"/>
      <c r="H99" s="1189"/>
      <c r="I99" s="1189"/>
    </row>
    <row r="100" spans="1:9" s="2" customFormat="1" ht="11.25">
      <c r="A100" s="2" t="s">
        <v>971</v>
      </c>
    </row>
    <row r="101" spans="1:9" s="2" customFormat="1" ht="11.25"/>
    <row r="102" spans="1:9" s="2" customFormat="1" ht="66" customHeight="1">
      <c r="A102" s="1258" t="s">
        <v>972</v>
      </c>
      <c r="B102" s="1259"/>
      <c r="C102" s="1259"/>
      <c r="D102" s="1259"/>
      <c r="E102" s="1259"/>
      <c r="F102" s="1259"/>
      <c r="G102" s="1259"/>
      <c r="H102" s="1259"/>
      <c r="I102" s="1260"/>
    </row>
    <row r="103" spans="1:9" s="2" customFormat="1" ht="11.25">
      <c r="A103" s="76"/>
      <c r="B103" s="76"/>
      <c r="C103" s="76"/>
      <c r="D103" s="76"/>
      <c r="E103" s="76"/>
      <c r="F103" s="76"/>
      <c r="G103" s="76"/>
      <c r="H103" s="76"/>
      <c r="I103" s="76"/>
    </row>
    <row r="104" spans="1:9">
      <c r="A104" s="2" t="s">
        <v>973</v>
      </c>
    </row>
    <row r="105" spans="1:9">
      <c r="A105" s="2" t="s">
        <v>974</v>
      </c>
    </row>
    <row r="106" spans="1:9">
      <c r="A106" s="2"/>
    </row>
    <row r="107" spans="1:9">
      <c r="A107" s="2" t="s">
        <v>975</v>
      </c>
    </row>
  </sheetData>
  <mergeCells count="80">
    <mergeCell ref="A102:I102"/>
    <mergeCell ref="A86:B86"/>
    <mergeCell ref="A87:B87"/>
    <mergeCell ref="A88:B88"/>
    <mergeCell ref="A89:B89"/>
    <mergeCell ref="A90:B90"/>
    <mergeCell ref="A93:I93"/>
    <mergeCell ref="A95:I95"/>
    <mergeCell ref="A97:I97"/>
    <mergeCell ref="A99:I99"/>
    <mergeCell ref="A96:I96"/>
    <mergeCell ref="A91:B91"/>
    <mergeCell ref="F91:G91"/>
    <mergeCell ref="A63:B63"/>
    <mergeCell ref="A65:B65"/>
    <mergeCell ref="A77:B77"/>
    <mergeCell ref="A78:B78"/>
    <mergeCell ref="A66:B66"/>
    <mergeCell ref="A67:B67"/>
    <mergeCell ref="A68:B68"/>
    <mergeCell ref="A73:B73"/>
    <mergeCell ref="A74:B74"/>
    <mergeCell ref="A75:B75"/>
    <mergeCell ref="A76:B76"/>
    <mergeCell ref="C48:I48"/>
    <mergeCell ref="C49:I49"/>
    <mergeCell ref="C50:I50"/>
    <mergeCell ref="C51:I51"/>
    <mergeCell ref="A53:I53"/>
    <mergeCell ref="A82:B82"/>
    <mergeCell ref="A83:B83"/>
    <mergeCell ref="A84:B84"/>
    <mergeCell ref="A85:B85"/>
    <mergeCell ref="B1:I1"/>
    <mergeCell ref="A69:B69"/>
    <mergeCell ref="A70:B70"/>
    <mergeCell ref="A71:B71"/>
    <mergeCell ref="A72:B72"/>
    <mergeCell ref="A58:B58"/>
    <mergeCell ref="A55:B55"/>
    <mergeCell ref="A56:B56"/>
    <mergeCell ref="A81:B81"/>
    <mergeCell ref="A60:B60"/>
    <mergeCell ref="A62:B62"/>
    <mergeCell ref="A64:B64"/>
    <mergeCell ref="A79:B79"/>
    <mergeCell ref="A80:B80"/>
    <mergeCell ref="A57:B57"/>
    <mergeCell ref="F27:I27"/>
    <mergeCell ref="A29:I29"/>
    <mergeCell ref="D31:I31"/>
    <mergeCell ref="C43:I43"/>
    <mergeCell ref="D32:I34"/>
    <mergeCell ref="C35:I35"/>
    <mergeCell ref="A37:I37"/>
    <mergeCell ref="D39:I39"/>
    <mergeCell ref="D40:I40"/>
    <mergeCell ref="D41:I41"/>
    <mergeCell ref="D42:I42"/>
    <mergeCell ref="A45:I45"/>
    <mergeCell ref="C47:I47"/>
    <mergeCell ref="F26:I26"/>
    <mergeCell ref="A8:B8"/>
    <mergeCell ref="D8:I8"/>
    <mergeCell ref="A9:B9"/>
    <mergeCell ref="D9:I9"/>
    <mergeCell ref="A11:I11"/>
    <mergeCell ref="A15:A17"/>
    <mergeCell ref="A20:I20"/>
    <mergeCell ref="F22:I22"/>
    <mergeCell ref="F23:I23"/>
    <mergeCell ref="F24:I24"/>
    <mergeCell ref="F25:I25"/>
    <mergeCell ref="A7:B7"/>
    <mergeCell ref="D7:I7"/>
    <mergeCell ref="A3:I3"/>
    <mergeCell ref="A5:B5"/>
    <mergeCell ref="D5:I5"/>
    <mergeCell ref="A6:B6"/>
    <mergeCell ref="D6:I6"/>
  </mergeCells>
  <pageMargins left="0.23622047244094491" right="0.23622047244094491" top="0.74803149606299213" bottom="0.74803149606299213" header="0.31496062992125984" footer="0.31496062992125984"/>
  <pageSetup paperSize="9" firstPageNumber="174" fitToHeight="5" orientation="landscape"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D6" sqref="D6"/>
    </sheetView>
  </sheetViews>
  <sheetFormatPr defaultColWidth="6.5" defaultRowHeight="8.25"/>
  <cols>
    <col min="1" max="1" width="5.5" style="649" customWidth="1"/>
    <col min="2" max="2" width="6.5" style="773" customWidth="1"/>
    <col min="3" max="3" width="45.5" style="773" customWidth="1"/>
    <col min="4" max="4" width="9.5" style="773" customWidth="1"/>
    <col min="5" max="5" width="13.5" style="773" customWidth="1"/>
    <col min="6" max="7" width="13.75" style="773" bestFit="1" customWidth="1"/>
    <col min="8" max="8" width="8.75" style="773" customWidth="1"/>
    <col min="9" max="10" width="13.75" style="773" customWidth="1"/>
    <col min="11" max="11" width="14" style="773" customWidth="1"/>
    <col min="12" max="12" width="13.5" style="773" customWidth="1"/>
    <col min="13" max="13" width="8.75" style="773" customWidth="1"/>
    <col min="14" max="14" width="17.5" style="773" bestFit="1" customWidth="1"/>
    <col min="15" max="15" width="13.5" style="773" customWidth="1"/>
    <col min="16" max="17" width="13.75" style="773" bestFit="1" customWidth="1"/>
    <col min="18" max="18" width="8.75" style="773" customWidth="1"/>
    <col min="19" max="19" width="14" style="773" customWidth="1"/>
    <col min="20" max="20" width="12.75" style="773" customWidth="1"/>
    <col min="21" max="21" width="13" style="773" customWidth="1"/>
    <col min="22" max="22" width="12.5" style="773" customWidth="1"/>
    <col min="23" max="23" width="8.75" style="773" customWidth="1"/>
    <col min="24" max="24" width="12.5" style="773" customWidth="1"/>
    <col min="25" max="16384" width="6.5" style="773"/>
  </cols>
  <sheetData>
    <row r="1" spans="1:24" s="650" customFormat="1" ht="42" customHeight="1">
      <c r="A1" s="1262" t="s">
        <v>177</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12.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653" customFormat="1" ht="12.75" customHeight="1"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651" customFormat="1" ht="21" customHeight="1" thickBot="1">
      <c r="A6" s="247" t="s">
        <v>0</v>
      </c>
      <c r="B6" s="1172" t="s">
        <v>1</v>
      </c>
      <c r="C6" s="1172"/>
      <c r="D6" s="248" t="s">
        <v>25</v>
      </c>
      <c r="E6" s="774">
        <f>SUM(E7:E9)</f>
        <v>58094501</v>
      </c>
      <c r="F6" s="775">
        <f>SUM(F7:F9)</f>
        <v>61522058.559999995</v>
      </c>
      <c r="G6" s="775">
        <f>SUM(G7:G9)</f>
        <v>58619418.789999999</v>
      </c>
      <c r="H6" s="776">
        <f t="shared" ref="H6:H37" si="0">G6/F6*100</f>
        <v>95.281952785813942</v>
      </c>
      <c r="I6" s="777">
        <f>SUM(I7:I9)</f>
        <v>54287273.760000005</v>
      </c>
      <c r="J6" s="774">
        <f>SUM(J7:J9)</f>
        <v>13802000</v>
      </c>
      <c r="K6" s="775">
        <f t="shared" ref="K6:X6" si="1">SUM(K7:K9)</f>
        <v>16015244.5</v>
      </c>
      <c r="L6" s="775">
        <f t="shared" si="1"/>
        <v>13112604.73</v>
      </c>
      <c r="M6" s="776">
        <f t="shared" ref="M6:M37" si="2">L6/K6*100</f>
        <v>81.875769864144132</v>
      </c>
      <c r="N6" s="777">
        <f t="shared" si="1"/>
        <v>11834779.99</v>
      </c>
      <c r="O6" s="774">
        <f t="shared" si="1"/>
        <v>44292501</v>
      </c>
      <c r="P6" s="775">
        <f t="shared" si="1"/>
        <v>45506814.059999995</v>
      </c>
      <c r="Q6" s="775">
        <f t="shared" si="1"/>
        <v>45506814.059999995</v>
      </c>
      <c r="R6" s="776">
        <f t="shared" ref="R6:R37" si="3">Q6/P6*100</f>
        <v>100</v>
      </c>
      <c r="S6" s="777">
        <f t="shared" si="1"/>
        <v>42452493.770000003</v>
      </c>
      <c r="T6" s="774">
        <f t="shared" si="1"/>
        <v>1350000</v>
      </c>
      <c r="U6" s="775">
        <f t="shared" si="1"/>
        <v>1350000</v>
      </c>
      <c r="V6" s="775">
        <f t="shared" si="1"/>
        <v>1150598</v>
      </c>
      <c r="W6" s="776">
        <f t="shared" ref="W6:W37" si="4">V6/U6*100</f>
        <v>85.229481481481486</v>
      </c>
      <c r="X6" s="778">
        <f t="shared" si="1"/>
        <v>816417</v>
      </c>
    </row>
    <row r="7" spans="1:24" s="651" customFormat="1" ht="13.5" customHeight="1">
      <c r="A7" s="710" t="s">
        <v>2</v>
      </c>
      <c r="B7" s="1160" t="s">
        <v>44</v>
      </c>
      <c r="C7" s="1160"/>
      <c r="D7" s="245" t="s">
        <v>25</v>
      </c>
      <c r="E7" s="779">
        <f t="shared" ref="E7:G10" si="5">SUM(J7,O7)</f>
        <v>8000000</v>
      </c>
      <c r="F7" s="780">
        <f t="shared" si="5"/>
        <v>8436892.1500000004</v>
      </c>
      <c r="G7" s="780">
        <f t="shared" si="5"/>
        <v>5546282.2300000004</v>
      </c>
      <c r="H7" s="781">
        <f t="shared" si="0"/>
        <v>65.738451213934269</v>
      </c>
      <c r="I7" s="782">
        <f>SUM(N7,S7)</f>
        <v>4389667.78</v>
      </c>
      <c r="J7" s="783">
        <v>8000000</v>
      </c>
      <c r="K7" s="784">
        <f>8000000+10000</f>
        <v>8010000</v>
      </c>
      <c r="L7" s="781">
        <f>4805274.08+314116</f>
        <v>5119390.08</v>
      </c>
      <c r="M7" s="781">
        <f t="shared" si="2"/>
        <v>63.912485393258422</v>
      </c>
      <c r="N7" s="785">
        <v>4389667.78</v>
      </c>
      <c r="O7" s="786"/>
      <c r="P7" s="781">
        <v>426892.15</v>
      </c>
      <c r="Q7" s="781">
        <v>426892.15</v>
      </c>
      <c r="R7" s="781">
        <f t="shared" si="3"/>
        <v>100</v>
      </c>
      <c r="S7" s="785"/>
      <c r="T7" s="786">
        <v>1350000</v>
      </c>
      <c r="U7" s="781">
        <v>1350000</v>
      </c>
      <c r="V7" s="781">
        <v>1150598</v>
      </c>
      <c r="W7" s="781">
        <f t="shared" si="4"/>
        <v>85.229481481481486</v>
      </c>
      <c r="X7" s="785">
        <v>816417</v>
      </c>
    </row>
    <row r="8" spans="1:24" s="651" customFormat="1" ht="9.75">
      <c r="A8" s="712" t="s">
        <v>3</v>
      </c>
      <c r="B8" s="1173" t="s">
        <v>45</v>
      </c>
      <c r="C8" s="1173"/>
      <c r="D8" s="245" t="s">
        <v>25</v>
      </c>
      <c r="E8" s="132">
        <f t="shared" si="5"/>
        <v>2000</v>
      </c>
      <c r="F8" s="112">
        <f t="shared" si="5"/>
        <v>2000</v>
      </c>
      <c r="G8" s="112">
        <f t="shared" si="5"/>
        <v>611.15</v>
      </c>
      <c r="H8" s="664">
        <f t="shared" si="0"/>
        <v>30.557499999999997</v>
      </c>
      <c r="I8" s="133">
        <f>SUM(N8,S8)</f>
        <v>352.86</v>
      </c>
      <c r="J8" s="787">
        <v>2000</v>
      </c>
      <c r="K8" s="788">
        <v>2000</v>
      </c>
      <c r="L8" s="135">
        <v>611.15</v>
      </c>
      <c r="M8" s="664">
        <f t="shared" si="2"/>
        <v>30.557499999999997</v>
      </c>
      <c r="N8" s="134">
        <v>352.86</v>
      </c>
      <c r="O8" s="789">
        <v>0</v>
      </c>
      <c r="P8" s="135"/>
      <c r="Q8" s="135"/>
      <c r="R8" s="664" t="e">
        <f t="shared" si="3"/>
        <v>#DIV/0!</v>
      </c>
      <c r="S8" s="134"/>
      <c r="T8" s="789"/>
      <c r="U8" s="112"/>
      <c r="V8" s="112"/>
      <c r="W8" s="664" t="e">
        <f t="shared" si="4"/>
        <v>#DIV/0!</v>
      </c>
      <c r="X8" s="686"/>
    </row>
    <row r="9" spans="1:24" s="651" customFormat="1" ht="10.5" thickBot="1">
      <c r="A9" s="712" t="s">
        <v>4</v>
      </c>
      <c r="B9" s="187" t="s">
        <v>60</v>
      </c>
      <c r="C9" s="673"/>
      <c r="D9" s="245" t="s">
        <v>25</v>
      </c>
      <c r="E9" s="790">
        <f>SUM(J9,O9)</f>
        <v>50092501</v>
      </c>
      <c r="F9" s="791">
        <f>SUM(K9,P9)</f>
        <v>53083166.409999996</v>
      </c>
      <c r="G9" s="791">
        <f t="shared" si="5"/>
        <v>53072525.409999996</v>
      </c>
      <c r="H9" s="724">
        <f t="shared" si="0"/>
        <v>99.9799540970902</v>
      </c>
      <c r="I9" s="792">
        <f>SUM(N9,S9)</f>
        <v>49897253.120000005</v>
      </c>
      <c r="J9" s="793">
        <v>5800000</v>
      </c>
      <c r="K9" s="794">
        <f>5800000+93117+220000+180000+170000+30000+370000+75300+76000+1000000-11172.5</f>
        <v>8003244.5</v>
      </c>
      <c r="L9" s="795">
        <v>7992603.5</v>
      </c>
      <c r="M9" s="724">
        <f t="shared" si="2"/>
        <v>99.867041423012878</v>
      </c>
      <c r="N9" s="796">
        <v>7444759.3499999996</v>
      </c>
      <c r="O9" s="797">
        <f>44051007+241494</f>
        <v>44292501</v>
      </c>
      <c r="P9" s="795">
        <f>44051007+379724.91+649190</f>
        <v>45079921.909999996</v>
      </c>
      <c r="Q9" s="795">
        <f>44700197+379724.91</f>
        <v>45079921.909999996</v>
      </c>
      <c r="R9" s="724">
        <f t="shared" si="3"/>
        <v>100</v>
      </c>
      <c r="S9" s="796">
        <v>42452493.770000003</v>
      </c>
      <c r="T9" s="797"/>
      <c r="U9" s="791"/>
      <c r="V9" s="791"/>
      <c r="W9" s="724" t="e">
        <f t="shared" si="4"/>
        <v>#DIV/0!</v>
      </c>
      <c r="X9" s="798"/>
    </row>
    <row r="10" spans="1:24" s="651" customFormat="1" ht="9.75">
      <c r="A10" s="708" t="s">
        <v>5</v>
      </c>
      <c r="B10" s="1158" t="s">
        <v>7</v>
      </c>
      <c r="C10" s="1158"/>
      <c r="D10" s="245" t="s">
        <v>25</v>
      </c>
      <c r="E10" s="799">
        <f t="shared" si="5"/>
        <v>0</v>
      </c>
      <c r="F10" s="800">
        <f t="shared" si="5"/>
        <v>0</v>
      </c>
      <c r="G10" s="800">
        <f t="shared" si="5"/>
        <v>0</v>
      </c>
      <c r="H10" s="801" t="e">
        <f t="shared" si="0"/>
        <v>#DIV/0!</v>
      </c>
      <c r="I10" s="802">
        <f>SUM(N10,S10)</f>
        <v>0</v>
      </c>
      <c r="J10" s="803"/>
      <c r="K10" s="800"/>
      <c r="L10" s="800"/>
      <c r="M10" s="801" t="e">
        <f t="shared" si="2"/>
        <v>#DIV/0!</v>
      </c>
      <c r="N10" s="802"/>
      <c r="O10" s="799"/>
      <c r="P10" s="800"/>
      <c r="Q10" s="800"/>
      <c r="R10" s="801" t="e">
        <f t="shared" si="3"/>
        <v>#DIV/0!</v>
      </c>
      <c r="S10" s="802"/>
      <c r="T10" s="799"/>
      <c r="U10" s="800"/>
      <c r="V10" s="800"/>
      <c r="W10" s="801" t="e">
        <f t="shared" si="4"/>
        <v>#DIV/0!</v>
      </c>
      <c r="X10" s="804"/>
    </row>
    <row r="11" spans="1:24" s="651" customFormat="1" ht="10.5" thickBot="1">
      <c r="A11" s="708" t="s">
        <v>6</v>
      </c>
      <c r="B11" s="1158" t="s">
        <v>9</v>
      </c>
      <c r="C11" s="1158"/>
      <c r="D11" s="245" t="s">
        <v>25</v>
      </c>
      <c r="E11" s="805">
        <f>SUM(E12:E31)</f>
        <v>58094501</v>
      </c>
      <c r="F11" s="806">
        <f>SUM(F12:F31)</f>
        <v>61522058.559999995</v>
      </c>
      <c r="G11" s="806">
        <f>SUM(G12:G31)</f>
        <v>58648335.749999993</v>
      </c>
      <c r="H11" s="358">
        <f t="shared" si="0"/>
        <v>95.328955374278678</v>
      </c>
      <c r="I11" s="807">
        <f>SUM(I12:I31)</f>
        <v>54352690.82</v>
      </c>
      <c r="J11" s="805">
        <f>SUM(J12:J31)</f>
        <v>13802000</v>
      </c>
      <c r="K11" s="806">
        <f>SUM(K12:K31)</f>
        <v>16015244.5</v>
      </c>
      <c r="L11" s="806">
        <f>SUM(L12:L31)</f>
        <v>13141521.689999999</v>
      </c>
      <c r="M11" s="358">
        <f t="shared" si="2"/>
        <v>82.056328830946029</v>
      </c>
      <c r="N11" s="807">
        <f>SUM(N12:N31)</f>
        <v>11900197.049999999</v>
      </c>
      <c r="O11" s="805">
        <f>SUM(O12:O31)</f>
        <v>44292501</v>
      </c>
      <c r="P11" s="806">
        <f>SUM(P12:P31)</f>
        <v>45506814.059999995</v>
      </c>
      <c r="Q11" s="806">
        <f>SUM(Q12:Q31)</f>
        <v>45506814.059999995</v>
      </c>
      <c r="R11" s="358">
        <f t="shared" si="3"/>
        <v>100</v>
      </c>
      <c r="S11" s="807">
        <f>SUM(S12:S31)</f>
        <v>42452493.770000003</v>
      </c>
      <c r="T11" s="805">
        <f>SUM(T12:T31)</f>
        <v>1104100</v>
      </c>
      <c r="U11" s="806">
        <f>SUM(U12:U31)</f>
        <v>1104100</v>
      </c>
      <c r="V11" s="806">
        <f>SUM(V12:V32)</f>
        <v>1112351.55</v>
      </c>
      <c r="W11" s="358">
        <f t="shared" si="4"/>
        <v>100.74735531201884</v>
      </c>
      <c r="X11" s="807">
        <f>SUM(X12:X31)</f>
        <v>704226.10999999987</v>
      </c>
    </row>
    <row r="12" spans="1:24" s="651" customFormat="1" ht="9.75">
      <c r="A12" s="232" t="s">
        <v>8</v>
      </c>
      <c r="B12" s="1159" t="s">
        <v>28</v>
      </c>
      <c r="C12" s="1159"/>
      <c r="D12" s="245" t="s">
        <v>25</v>
      </c>
      <c r="E12" s="779">
        <f>SUM(J12,O12)</f>
        <v>6148894</v>
      </c>
      <c r="F12" s="780">
        <f>SUM(K12,P12)</f>
        <v>6867788.8100000005</v>
      </c>
      <c r="G12" s="780">
        <f>SUM(L12,Q12)</f>
        <v>5111063.32</v>
      </c>
      <c r="H12" s="781">
        <f t="shared" si="0"/>
        <v>74.420799203346505</v>
      </c>
      <c r="I12" s="782">
        <f t="shared" ref="E12:I28" si="6">SUM(N12,S12)</f>
        <v>3624650.2</v>
      </c>
      <c r="J12" s="808">
        <v>5700000</v>
      </c>
      <c r="K12" s="809">
        <f>5700000+4053.5+14819.48+24601+54780+76000+150000+5534-743</f>
        <v>6029044.9800000004</v>
      </c>
      <c r="L12" s="781">
        <v>4272319.49</v>
      </c>
      <c r="M12" s="781">
        <f t="shared" si="2"/>
        <v>70.862292521824912</v>
      </c>
      <c r="N12" s="785">
        <v>3222335.73</v>
      </c>
      <c r="O12" s="786">
        <f>448894</f>
        <v>448894</v>
      </c>
      <c r="P12" s="781">
        <v>838743.83</v>
      </c>
      <c r="Q12" s="781">
        <f>448894.23+389849.6</f>
        <v>838743.83</v>
      </c>
      <c r="R12" s="781">
        <f t="shared" si="3"/>
        <v>100</v>
      </c>
      <c r="S12" s="785">
        <v>402314.47</v>
      </c>
      <c r="T12" s="786">
        <v>450000</v>
      </c>
      <c r="U12" s="781">
        <v>450000</v>
      </c>
      <c r="V12" s="781">
        <v>509379.6</v>
      </c>
      <c r="W12" s="781">
        <f t="shared" si="4"/>
        <v>113.19546666666666</v>
      </c>
      <c r="X12" s="785">
        <v>337771.83</v>
      </c>
    </row>
    <row r="13" spans="1:24" s="651" customFormat="1" ht="9.75">
      <c r="A13" s="710" t="s">
        <v>10</v>
      </c>
      <c r="B13" s="1160" t="s">
        <v>29</v>
      </c>
      <c r="C13" s="1160"/>
      <c r="D13" s="245" t="s">
        <v>25</v>
      </c>
      <c r="E13" s="132">
        <f t="shared" si="6"/>
        <v>2300000</v>
      </c>
      <c r="F13" s="112">
        <f t="shared" si="6"/>
        <v>2450000</v>
      </c>
      <c r="G13" s="112">
        <f t="shared" si="6"/>
        <v>2307501.09</v>
      </c>
      <c r="H13" s="664">
        <f t="shared" si="0"/>
        <v>94.183717959183667</v>
      </c>
      <c r="I13" s="133">
        <f t="shared" si="6"/>
        <v>1976317.97</v>
      </c>
      <c r="J13" s="810">
        <v>2300000</v>
      </c>
      <c r="K13" s="811">
        <f>2300000+150000</f>
        <v>2450000</v>
      </c>
      <c r="L13" s="135">
        <v>2307501.09</v>
      </c>
      <c r="M13" s="664">
        <f t="shared" si="2"/>
        <v>94.183717959183667</v>
      </c>
      <c r="N13" s="134">
        <v>1976317.97</v>
      </c>
      <c r="O13" s="789"/>
      <c r="P13" s="135"/>
      <c r="Q13" s="135"/>
      <c r="R13" s="664" t="e">
        <f t="shared" si="3"/>
        <v>#DIV/0!</v>
      </c>
      <c r="S13" s="134"/>
      <c r="T13" s="789">
        <v>240000</v>
      </c>
      <c r="U13" s="135">
        <v>240000</v>
      </c>
      <c r="V13" s="135">
        <v>130903.93</v>
      </c>
      <c r="W13" s="664">
        <f t="shared" si="4"/>
        <v>54.543304166666658</v>
      </c>
      <c r="X13" s="134">
        <v>92485.51</v>
      </c>
    </row>
    <row r="14" spans="1:24" s="651" customFormat="1" ht="9.75">
      <c r="A14" s="710" t="s">
        <v>11</v>
      </c>
      <c r="B14" s="672" t="s">
        <v>61</v>
      </c>
      <c r="C14" s="672"/>
      <c r="D14" s="245" t="s">
        <v>25</v>
      </c>
      <c r="E14" s="132">
        <f t="shared" si="6"/>
        <v>10000</v>
      </c>
      <c r="F14" s="112">
        <f t="shared" si="6"/>
        <v>60000</v>
      </c>
      <c r="G14" s="112">
        <f t="shared" si="6"/>
        <v>19440</v>
      </c>
      <c r="H14" s="664">
        <f t="shared" si="0"/>
        <v>32.4</v>
      </c>
      <c r="I14" s="133">
        <f t="shared" si="6"/>
        <v>17280</v>
      </c>
      <c r="J14" s="810">
        <v>10000</v>
      </c>
      <c r="K14" s="811">
        <v>60000</v>
      </c>
      <c r="L14" s="135">
        <v>19440</v>
      </c>
      <c r="M14" s="664">
        <f t="shared" si="2"/>
        <v>32.4</v>
      </c>
      <c r="N14" s="134">
        <v>17280</v>
      </c>
      <c r="O14" s="789"/>
      <c r="P14" s="135"/>
      <c r="Q14" s="135"/>
      <c r="R14" s="664" t="e">
        <f t="shared" si="3"/>
        <v>#DIV/0!</v>
      </c>
      <c r="S14" s="134"/>
      <c r="T14" s="789"/>
      <c r="U14" s="135"/>
      <c r="V14" s="135"/>
      <c r="W14" s="664" t="e">
        <f t="shared" si="4"/>
        <v>#DIV/0!</v>
      </c>
      <c r="X14" s="134"/>
    </row>
    <row r="15" spans="1:24" s="651" customFormat="1" ht="9.75">
      <c r="A15" s="710" t="s">
        <v>12</v>
      </c>
      <c r="B15" s="1160" t="s">
        <v>62</v>
      </c>
      <c r="C15" s="1160"/>
      <c r="D15" s="245" t="s">
        <v>25</v>
      </c>
      <c r="E15" s="132">
        <f t="shared" si="6"/>
        <v>770000</v>
      </c>
      <c r="F15" s="112">
        <f t="shared" si="6"/>
        <v>1805620</v>
      </c>
      <c r="G15" s="112">
        <f t="shared" si="6"/>
        <v>1314959.04</v>
      </c>
      <c r="H15" s="664">
        <f t="shared" si="0"/>
        <v>72.825901352444035</v>
      </c>
      <c r="I15" s="133">
        <f t="shared" si="6"/>
        <v>1943566.44</v>
      </c>
      <c r="J15" s="810">
        <v>770000</v>
      </c>
      <c r="K15" s="811">
        <f>770000+170012.5+180000+185607.5+500000</f>
        <v>1805620</v>
      </c>
      <c r="L15" s="135">
        <v>1314959.04</v>
      </c>
      <c r="M15" s="664">
        <f t="shared" si="2"/>
        <v>72.825901352444035</v>
      </c>
      <c r="N15" s="134">
        <v>1943566.44</v>
      </c>
      <c r="O15" s="789"/>
      <c r="P15" s="135"/>
      <c r="Q15" s="135"/>
      <c r="R15" s="664" t="e">
        <f t="shared" si="3"/>
        <v>#DIV/0!</v>
      </c>
      <c r="S15" s="134">
        <v>0</v>
      </c>
      <c r="T15" s="789">
        <v>25000</v>
      </c>
      <c r="U15" s="135">
        <v>25000</v>
      </c>
      <c r="V15" s="135">
        <v>45855.59</v>
      </c>
      <c r="W15" s="664">
        <f t="shared" si="4"/>
        <v>183.42236</v>
      </c>
      <c r="X15" s="134">
        <v>12748.73</v>
      </c>
    </row>
    <row r="16" spans="1:24" s="651" customFormat="1" ht="9.75">
      <c r="A16" s="710" t="s">
        <v>13</v>
      </c>
      <c r="B16" s="1160" t="s">
        <v>30</v>
      </c>
      <c r="C16" s="1160"/>
      <c r="D16" s="245" t="s">
        <v>25</v>
      </c>
      <c r="E16" s="132">
        <f t="shared" si="6"/>
        <v>41209</v>
      </c>
      <c r="F16" s="112">
        <f t="shared" si="6"/>
        <v>41209</v>
      </c>
      <c r="G16" s="112">
        <f t="shared" si="6"/>
        <v>32662</v>
      </c>
      <c r="H16" s="664">
        <f t="shared" si="0"/>
        <v>79.259385085782228</v>
      </c>
      <c r="I16" s="133">
        <f t="shared" si="6"/>
        <v>14478</v>
      </c>
      <c r="J16" s="810">
        <v>10000</v>
      </c>
      <c r="K16" s="811">
        <v>10000</v>
      </c>
      <c r="L16" s="135">
        <v>1453</v>
      </c>
      <c r="M16" s="664">
        <f t="shared" si="2"/>
        <v>14.530000000000001</v>
      </c>
      <c r="N16" s="134">
        <v>7564</v>
      </c>
      <c r="O16" s="789">
        <v>31209</v>
      </c>
      <c r="P16" s="135">
        <v>31209</v>
      </c>
      <c r="Q16" s="135">
        <v>31209</v>
      </c>
      <c r="R16" s="664">
        <f t="shared" si="3"/>
        <v>100</v>
      </c>
      <c r="S16" s="134">
        <v>6914</v>
      </c>
      <c r="T16" s="789">
        <v>100</v>
      </c>
      <c r="U16" s="135">
        <v>100</v>
      </c>
      <c r="V16" s="135">
        <v>0</v>
      </c>
      <c r="W16" s="664">
        <f t="shared" si="4"/>
        <v>0</v>
      </c>
      <c r="X16" s="134">
        <v>0</v>
      </c>
    </row>
    <row r="17" spans="1:24" s="651" customFormat="1" ht="9.75">
      <c r="A17" s="710" t="s">
        <v>14</v>
      </c>
      <c r="B17" s="672" t="s">
        <v>46</v>
      </c>
      <c r="C17" s="672"/>
      <c r="D17" s="245" t="s">
        <v>25</v>
      </c>
      <c r="E17" s="132">
        <f t="shared" si="6"/>
        <v>5000</v>
      </c>
      <c r="F17" s="112">
        <f t="shared" si="6"/>
        <v>5000</v>
      </c>
      <c r="G17" s="112">
        <f t="shared" si="6"/>
        <v>2241</v>
      </c>
      <c r="H17" s="664">
        <f t="shared" si="0"/>
        <v>44.82</v>
      </c>
      <c r="I17" s="133">
        <f t="shared" si="6"/>
        <v>1850</v>
      </c>
      <c r="J17" s="810">
        <v>5000</v>
      </c>
      <c r="K17" s="811">
        <v>5000</v>
      </c>
      <c r="L17" s="135">
        <v>2241</v>
      </c>
      <c r="M17" s="664">
        <f t="shared" si="2"/>
        <v>44.82</v>
      </c>
      <c r="N17" s="134">
        <v>1850</v>
      </c>
      <c r="O17" s="789"/>
      <c r="P17" s="135"/>
      <c r="Q17" s="135"/>
      <c r="R17" s="664" t="e">
        <f t="shared" si="3"/>
        <v>#DIV/0!</v>
      </c>
      <c r="S17" s="134">
        <v>0</v>
      </c>
      <c r="T17" s="789"/>
      <c r="U17" s="135"/>
      <c r="V17" s="135"/>
      <c r="W17" s="664" t="e">
        <f t="shared" si="4"/>
        <v>#DIV/0!</v>
      </c>
      <c r="X17" s="134"/>
    </row>
    <row r="18" spans="1:24" s="651" customFormat="1" ht="9.75">
      <c r="A18" s="710" t="s">
        <v>15</v>
      </c>
      <c r="B18" s="1160" t="s">
        <v>31</v>
      </c>
      <c r="C18" s="1160"/>
      <c r="D18" s="245" t="s">
        <v>25</v>
      </c>
      <c r="E18" s="132">
        <f t="shared" si="6"/>
        <v>917560</v>
      </c>
      <c r="F18" s="112">
        <f t="shared" si="6"/>
        <v>1024167.3</v>
      </c>
      <c r="G18" s="112">
        <f t="shared" si="6"/>
        <v>872377.16</v>
      </c>
      <c r="H18" s="664">
        <f t="shared" si="0"/>
        <v>85.179165552346774</v>
      </c>
      <c r="I18" s="133">
        <f t="shared" si="6"/>
        <v>993558.45000000007</v>
      </c>
      <c r="J18" s="810">
        <v>800000</v>
      </c>
      <c r="K18" s="811">
        <f>800000+6609+100000</f>
        <v>906609</v>
      </c>
      <c r="L18" s="135">
        <v>754818.86</v>
      </c>
      <c r="M18" s="664">
        <f t="shared" si="2"/>
        <v>83.257375561019131</v>
      </c>
      <c r="N18" s="134">
        <v>756701.93</v>
      </c>
      <c r="O18" s="789">
        <v>117560</v>
      </c>
      <c r="P18" s="135">
        <v>117558.3</v>
      </c>
      <c r="Q18" s="135">
        <v>117558.3</v>
      </c>
      <c r="R18" s="664">
        <f t="shared" si="3"/>
        <v>100</v>
      </c>
      <c r="S18" s="134">
        <v>236856.52</v>
      </c>
      <c r="T18" s="789">
        <v>20000</v>
      </c>
      <c r="U18" s="135">
        <v>20000</v>
      </c>
      <c r="V18" s="135">
        <v>23045.99</v>
      </c>
      <c r="W18" s="664">
        <f t="shared" si="4"/>
        <v>115.22995</v>
      </c>
      <c r="X18" s="134">
        <v>15603.31</v>
      </c>
    </row>
    <row r="19" spans="1:24" s="654" customFormat="1" ht="9.75">
      <c r="A19" s="710" t="s">
        <v>16</v>
      </c>
      <c r="B19" s="1160" t="s">
        <v>32</v>
      </c>
      <c r="C19" s="1160"/>
      <c r="D19" s="245" t="s">
        <v>25</v>
      </c>
      <c r="E19" s="132">
        <f t="shared" si="6"/>
        <v>33453517</v>
      </c>
      <c r="F19" s="112">
        <f t="shared" si="6"/>
        <v>33937832</v>
      </c>
      <c r="G19" s="112">
        <f t="shared" si="6"/>
        <v>33938491</v>
      </c>
      <c r="H19" s="664">
        <f t="shared" si="0"/>
        <v>100.00194178579234</v>
      </c>
      <c r="I19" s="133">
        <f t="shared" si="6"/>
        <v>31727368</v>
      </c>
      <c r="J19" s="812">
        <v>1815000</v>
      </c>
      <c r="K19" s="813">
        <f>1815000-160000</f>
        <v>1655000</v>
      </c>
      <c r="L19" s="135">
        <v>1655659</v>
      </c>
      <c r="M19" s="664">
        <f t="shared" si="2"/>
        <v>100.03981873111782</v>
      </c>
      <c r="N19" s="134">
        <v>1599202</v>
      </c>
      <c r="O19" s="789">
        <f>31275823+121200+241494</f>
        <v>31638517</v>
      </c>
      <c r="P19" s="135">
        <v>32282832</v>
      </c>
      <c r="Q19" s="135">
        <v>32282832</v>
      </c>
      <c r="R19" s="664">
        <f t="shared" si="3"/>
        <v>100</v>
      </c>
      <c r="S19" s="134">
        <v>30128166</v>
      </c>
      <c r="T19" s="814">
        <v>236000</v>
      </c>
      <c r="U19" s="745">
        <v>236000</v>
      </c>
      <c r="V19" s="745">
        <v>252021</v>
      </c>
      <c r="W19" s="664">
        <f t="shared" si="4"/>
        <v>106.7885593220339</v>
      </c>
      <c r="X19" s="815">
        <v>157582</v>
      </c>
    </row>
    <row r="20" spans="1:24" s="651" customFormat="1" ht="9.75">
      <c r="A20" s="710" t="s">
        <v>17</v>
      </c>
      <c r="B20" s="1160" t="s">
        <v>47</v>
      </c>
      <c r="C20" s="1160"/>
      <c r="D20" s="245" t="s">
        <v>25</v>
      </c>
      <c r="E20" s="132">
        <f t="shared" si="6"/>
        <v>11496045</v>
      </c>
      <c r="F20" s="112">
        <f t="shared" si="6"/>
        <v>11441045.52</v>
      </c>
      <c r="G20" s="112">
        <f t="shared" si="6"/>
        <v>11441529.139999999</v>
      </c>
      <c r="H20" s="664">
        <f t="shared" si="0"/>
        <v>100.0042270612345</v>
      </c>
      <c r="I20" s="133">
        <f t="shared" si="6"/>
        <v>10677456.35</v>
      </c>
      <c r="J20" s="810">
        <v>580000</v>
      </c>
      <c r="K20" s="811">
        <f>580000-55000</f>
        <v>525000</v>
      </c>
      <c r="L20" s="135">
        <v>525483.62</v>
      </c>
      <c r="M20" s="664">
        <f t="shared" si="2"/>
        <v>100.09211809523811</v>
      </c>
      <c r="N20" s="134">
        <v>525020.19999999995</v>
      </c>
      <c r="O20" s="789">
        <v>10916045</v>
      </c>
      <c r="P20" s="135">
        <f>10916045.52</f>
        <v>10916045.52</v>
      </c>
      <c r="Q20" s="135">
        <v>10916045.52</v>
      </c>
      <c r="R20" s="664">
        <f t="shared" si="3"/>
        <v>100</v>
      </c>
      <c r="S20" s="134">
        <v>10152436.15</v>
      </c>
      <c r="T20" s="789">
        <v>80000</v>
      </c>
      <c r="U20" s="135">
        <v>80000</v>
      </c>
      <c r="V20" s="135">
        <v>82668.429999999993</v>
      </c>
      <c r="W20" s="664">
        <f t="shared" si="4"/>
        <v>103.3355375</v>
      </c>
      <c r="X20" s="134">
        <v>53987.839999999997</v>
      </c>
    </row>
    <row r="21" spans="1:24" s="651" customFormat="1" ht="9.75">
      <c r="A21" s="710" t="s">
        <v>18</v>
      </c>
      <c r="B21" s="1160" t="s">
        <v>48</v>
      </c>
      <c r="C21" s="1160"/>
      <c r="D21" s="245" t="s">
        <v>25</v>
      </c>
      <c r="E21" s="132">
        <f t="shared" si="6"/>
        <v>715866</v>
      </c>
      <c r="F21" s="112">
        <f t="shared" si="6"/>
        <v>757784.41</v>
      </c>
      <c r="G21" s="112">
        <f t="shared" si="6"/>
        <v>756493.33000000007</v>
      </c>
      <c r="H21" s="664">
        <f t="shared" si="0"/>
        <v>99.829624365061832</v>
      </c>
      <c r="I21" s="133">
        <f t="shared" si="6"/>
        <v>728386.51</v>
      </c>
      <c r="J21" s="810">
        <v>50000</v>
      </c>
      <c r="K21" s="811">
        <v>50000</v>
      </c>
      <c r="L21" s="135">
        <f>48708.92</f>
        <v>48708.92</v>
      </c>
      <c r="M21" s="664">
        <f t="shared" si="2"/>
        <v>97.417839999999998</v>
      </c>
      <c r="N21" s="134">
        <v>87822.66</v>
      </c>
      <c r="O21" s="789">
        <v>665866</v>
      </c>
      <c r="P21" s="135">
        <v>707784.41</v>
      </c>
      <c r="Q21" s="135">
        <v>707784.41</v>
      </c>
      <c r="R21" s="664">
        <f t="shared" si="3"/>
        <v>100</v>
      </c>
      <c r="S21" s="134">
        <v>640563.85</v>
      </c>
      <c r="T21" s="789">
        <v>6000</v>
      </c>
      <c r="U21" s="135">
        <v>6000</v>
      </c>
      <c r="V21" s="135">
        <v>5460.98</v>
      </c>
      <c r="W21" s="664">
        <f t="shared" si="4"/>
        <v>91.016333333333321</v>
      </c>
      <c r="X21" s="134">
        <v>3506.19</v>
      </c>
    </row>
    <row r="22" spans="1:24" s="651" customFormat="1" ht="9.75">
      <c r="A22" s="710" t="s">
        <v>19</v>
      </c>
      <c r="B22" s="1160" t="s">
        <v>63</v>
      </c>
      <c r="C22" s="1160"/>
      <c r="D22" s="245" t="s">
        <v>25</v>
      </c>
      <c r="E22" s="132">
        <f t="shared" si="6"/>
        <v>3000</v>
      </c>
      <c r="F22" s="112">
        <f t="shared" si="6"/>
        <v>3000</v>
      </c>
      <c r="G22" s="112">
        <f t="shared" si="6"/>
        <v>0</v>
      </c>
      <c r="H22" s="664">
        <f t="shared" si="0"/>
        <v>0</v>
      </c>
      <c r="I22" s="133">
        <f t="shared" si="6"/>
        <v>0</v>
      </c>
      <c r="J22" s="810">
        <v>3000</v>
      </c>
      <c r="K22" s="811">
        <v>3000</v>
      </c>
      <c r="L22" s="816"/>
      <c r="M22" s="664">
        <f t="shared" si="2"/>
        <v>0</v>
      </c>
      <c r="N22" s="134">
        <v>0</v>
      </c>
      <c r="O22" s="789"/>
      <c r="P22" s="135"/>
      <c r="Q22" s="135"/>
      <c r="R22" s="664" t="e">
        <f t="shared" si="3"/>
        <v>#DIV/0!</v>
      </c>
      <c r="S22" s="134"/>
      <c r="T22" s="789">
        <v>5000</v>
      </c>
      <c r="U22" s="135">
        <v>5000</v>
      </c>
      <c r="V22" s="135">
        <v>4404</v>
      </c>
      <c r="W22" s="664">
        <f t="shared" si="4"/>
        <v>88.08</v>
      </c>
      <c r="X22" s="134">
        <v>3000</v>
      </c>
    </row>
    <row r="23" spans="1:24" s="651" customFormat="1" ht="9.75">
      <c r="A23" s="710" t="s">
        <v>20</v>
      </c>
      <c r="B23" s="672" t="s">
        <v>64</v>
      </c>
      <c r="C23" s="672"/>
      <c r="D23" s="245" t="s">
        <v>25</v>
      </c>
      <c r="E23" s="132">
        <f t="shared" si="6"/>
        <v>0</v>
      </c>
      <c r="F23" s="112">
        <f t="shared" si="6"/>
        <v>0</v>
      </c>
      <c r="G23" s="112">
        <f t="shared" si="6"/>
        <v>0</v>
      </c>
      <c r="H23" s="664" t="e">
        <f t="shared" si="0"/>
        <v>#DIV/0!</v>
      </c>
      <c r="I23" s="133">
        <f t="shared" si="6"/>
        <v>0</v>
      </c>
      <c r="J23" s="810">
        <v>0</v>
      </c>
      <c r="K23" s="811">
        <v>0</v>
      </c>
      <c r="L23" s="135"/>
      <c r="M23" s="664" t="e">
        <f t="shared" si="2"/>
        <v>#DIV/0!</v>
      </c>
      <c r="N23" s="134">
        <v>0</v>
      </c>
      <c r="O23" s="789"/>
      <c r="P23" s="135"/>
      <c r="Q23" s="135"/>
      <c r="R23" s="664" t="e">
        <f t="shared" si="3"/>
        <v>#DIV/0!</v>
      </c>
      <c r="S23" s="134"/>
      <c r="T23" s="789"/>
      <c r="U23" s="135"/>
      <c r="V23" s="135"/>
      <c r="W23" s="664" t="e">
        <f t="shared" si="4"/>
        <v>#DIV/0!</v>
      </c>
      <c r="X23" s="134"/>
    </row>
    <row r="24" spans="1:24" s="651" customFormat="1" ht="9.75">
      <c r="A24" s="710" t="s">
        <v>21</v>
      </c>
      <c r="B24" s="672" t="s">
        <v>71</v>
      </c>
      <c r="C24" s="672"/>
      <c r="D24" s="245" t="s">
        <v>25</v>
      </c>
      <c r="E24" s="132">
        <f t="shared" si="6"/>
        <v>0</v>
      </c>
      <c r="F24" s="112">
        <f t="shared" si="6"/>
        <v>0</v>
      </c>
      <c r="G24" s="112">
        <f t="shared" si="6"/>
        <v>0</v>
      </c>
      <c r="H24" s="664" t="e">
        <f t="shared" si="0"/>
        <v>#DIV/0!</v>
      </c>
      <c r="I24" s="133">
        <f t="shared" si="6"/>
        <v>0</v>
      </c>
      <c r="J24" s="810">
        <v>0</v>
      </c>
      <c r="K24" s="811"/>
      <c r="L24" s="135"/>
      <c r="M24" s="664" t="e">
        <f t="shared" si="2"/>
        <v>#DIV/0!</v>
      </c>
      <c r="N24" s="134"/>
      <c r="O24" s="789"/>
      <c r="P24" s="135"/>
      <c r="Q24" s="135"/>
      <c r="R24" s="664" t="e">
        <f t="shared" si="3"/>
        <v>#DIV/0!</v>
      </c>
      <c r="S24" s="134"/>
      <c r="T24" s="789"/>
      <c r="U24" s="135"/>
      <c r="V24" s="135"/>
      <c r="W24" s="664" t="e">
        <f t="shared" si="4"/>
        <v>#DIV/0!</v>
      </c>
      <c r="X24" s="134"/>
    </row>
    <row r="25" spans="1:24" s="651" customFormat="1" ht="9.75">
      <c r="A25" s="232" t="s">
        <v>22</v>
      </c>
      <c r="B25" s="264" t="s">
        <v>66</v>
      </c>
      <c r="C25" s="264"/>
      <c r="D25" s="245" t="s">
        <v>25</v>
      </c>
      <c r="E25" s="132">
        <f t="shared" si="6"/>
        <v>3000</v>
      </c>
      <c r="F25" s="112">
        <f t="shared" si="6"/>
        <v>3000</v>
      </c>
      <c r="G25" s="112">
        <f t="shared" si="6"/>
        <v>0</v>
      </c>
      <c r="H25" s="664">
        <f t="shared" si="0"/>
        <v>0</v>
      </c>
      <c r="I25" s="133">
        <f t="shared" si="6"/>
        <v>1483.79</v>
      </c>
      <c r="J25" s="810">
        <v>3000</v>
      </c>
      <c r="K25" s="811">
        <v>3000</v>
      </c>
      <c r="L25" s="664">
        <v>0</v>
      </c>
      <c r="M25" s="664">
        <f t="shared" si="2"/>
        <v>0</v>
      </c>
      <c r="N25" s="817">
        <v>1483.79</v>
      </c>
      <c r="O25" s="818"/>
      <c r="P25" s="664"/>
      <c r="Q25" s="664"/>
      <c r="R25" s="664" t="e">
        <f t="shared" si="3"/>
        <v>#DIV/0!</v>
      </c>
      <c r="S25" s="817"/>
      <c r="T25" s="818"/>
      <c r="U25" s="664"/>
      <c r="V25" s="664"/>
      <c r="W25" s="664" t="e">
        <f t="shared" si="4"/>
        <v>#DIV/0!</v>
      </c>
      <c r="X25" s="817"/>
    </row>
    <row r="26" spans="1:24" s="655" customFormat="1" ht="9.75">
      <c r="A26" s="710" t="s">
        <v>23</v>
      </c>
      <c r="B26" s="1160" t="s">
        <v>67</v>
      </c>
      <c r="C26" s="1160"/>
      <c r="D26" s="245" t="s">
        <v>25</v>
      </c>
      <c r="E26" s="132">
        <f t="shared" si="6"/>
        <v>1545000</v>
      </c>
      <c r="F26" s="112">
        <f t="shared" si="6"/>
        <v>1714160</v>
      </c>
      <c r="G26" s="112">
        <f t="shared" si="6"/>
        <v>1667645.55</v>
      </c>
      <c r="H26" s="669">
        <f t="shared" si="0"/>
        <v>97.286458090259956</v>
      </c>
      <c r="I26" s="133">
        <f t="shared" si="6"/>
        <v>1526225.09</v>
      </c>
      <c r="J26" s="810">
        <v>1545000</v>
      </c>
      <c r="K26" s="811">
        <f>1545000+93117+75300+743</f>
        <v>1714160</v>
      </c>
      <c r="L26" s="135">
        <v>1667645.55</v>
      </c>
      <c r="M26" s="664">
        <f t="shared" si="2"/>
        <v>97.286458090259956</v>
      </c>
      <c r="N26" s="134">
        <v>1526225.09</v>
      </c>
      <c r="O26" s="789"/>
      <c r="P26" s="135"/>
      <c r="Q26" s="135"/>
      <c r="R26" s="664" t="e">
        <f t="shared" si="3"/>
        <v>#DIV/0!</v>
      </c>
      <c r="S26" s="134"/>
      <c r="T26" s="819">
        <v>35000</v>
      </c>
      <c r="U26" s="135">
        <v>35000</v>
      </c>
      <c r="V26" s="820">
        <v>46223.45</v>
      </c>
      <c r="W26" s="664">
        <f t="shared" si="4"/>
        <v>132.06700000000001</v>
      </c>
      <c r="X26" s="821">
        <v>24230.91</v>
      </c>
    </row>
    <row r="27" spans="1:24" s="656" customFormat="1" ht="9.75">
      <c r="A27" s="710" t="s">
        <v>43</v>
      </c>
      <c r="B27" s="672" t="s">
        <v>68</v>
      </c>
      <c r="C27" s="672"/>
      <c r="D27" s="245" t="s">
        <v>25</v>
      </c>
      <c r="E27" s="132">
        <f t="shared" si="6"/>
        <v>5000</v>
      </c>
      <c r="F27" s="112">
        <f t="shared" si="6"/>
        <v>5000</v>
      </c>
      <c r="G27" s="112">
        <f t="shared" si="6"/>
        <v>0</v>
      </c>
      <c r="H27" s="669">
        <f t="shared" si="0"/>
        <v>0</v>
      </c>
      <c r="I27" s="133">
        <f t="shared" si="6"/>
        <v>0</v>
      </c>
      <c r="J27" s="810">
        <v>5000</v>
      </c>
      <c r="K27" s="811">
        <v>5000</v>
      </c>
      <c r="L27" s="135"/>
      <c r="M27" s="664">
        <f t="shared" si="2"/>
        <v>0</v>
      </c>
      <c r="N27" s="134">
        <v>0</v>
      </c>
      <c r="O27" s="789"/>
      <c r="P27" s="135"/>
      <c r="Q27" s="135"/>
      <c r="R27" s="664" t="e">
        <f t="shared" si="3"/>
        <v>#DIV/0!</v>
      </c>
      <c r="S27" s="134"/>
      <c r="T27" s="819"/>
      <c r="U27" s="135"/>
      <c r="V27" s="820"/>
      <c r="W27" s="664" t="e">
        <f t="shared" si="4"/>
        <v>#DIV/0!</v>
      </c>
      <c r="X27" s="821"/>
    </row>
    <row r="28" spans="1:24" s="656" customFormat="1" ht="9.75">
      <c r="A28" s="710" t="s">
        <v>49</v>
      </c>
      <c r="B28" s="672" t="s">
        <v>72</v>
      </c>
      <c r="C28" s="672"/>
      <c r="D28" s="245" t="s">
        <v>25</v>
      </c>
      <c r="E28" s="132">
        <f t="shared" si="6"/>
        <v>630410</v>
      </c>
      <c r="F28" s="112">
        <f t="shared" si="6"/>
        <v>1306451.52</v>
      </c>
      <c r="G28" s="112">
        <f t="shared" si="6"/>
        <v>1150286.33</v>
      </c>
      <c r="H28" s="669">
        <f t="shared" si="0"/>
        <v>88.046614236401211</v>
      </c>
      <c r="I28" s="133">
        <f t="shared" si="6"/>
        <v>1057938.6100000001</v>
      </c>
      <c r="J28" s="810">
        <v>156000</v>
      </c>
      <c r="K28" s="811">
        <f>156000+39325+155180.52+5399+4466+118440+215000</f>
        <v>693810.52</v>
      </c>
      <c r="L28" s="135">
        <v>537645.32999999996</v>
      </c>
      <c r="M28" s="664">
        <f t="shared" si="2"/>
        <v>77.491665880188719</v>
      </c>
      <c r="N28" s="134">
        <v>172695.83</v>
      </c>
      <c r="O28" s="789">
        <v>474410</v>
      </c>
      <c r="P28" s="135">
        <v>612641</v>
      </c>
      <c r="Q28" s="135">
        <v>612641</v>
      </c>
      <c r="R28" s="664">
        <f t="shared" si="3"/>
        <v>100</v>
      </c>
      <c r="S28" s="134">
        <v>885242.78</v>
      </c>
      <c r="T28" s="819">
        <v>7000</v>
      </c>
      <c r="U28" s="135">
        <v>7000</v>
      </c>
      <c r="V28" s="820">
        <v>734.71</v>
      </c>
      <c r="W28" s="664">
        <f t="shared" si="4"/>
        <v>10.495857142857142</v>
      </c>
      <c r="X28" s="821">
        <v>1967.44</v>
      </c>
    </row>
    <row r="29" spans="1:24" s="655" customFormat="1" ht="9.75">
      <c r="A29" s="710" t="s">
        <v>50</v>
      </c>
      <c r="B29" s="1160" t="s">
        <v>65</v>
      </c>
      <c r="C29" s="1160"/>
      <c r="D29" s="245" t="s">
        <v>25</v>
      </c>
      <c r="E29" s="132">
        <f t="shared" ref="E29:G31" si="7">SUM(J29,O29)</f>
        <v>50000</v>
      </c>
      <c r="F29" s="112">
        <f t="shared" si="7"/>
        <v>100000</v>
      </c>
      <c r="G29" s="112">
        <f t="shared" si="7"/>
        <v>33646.79</v>
      </c>
      <c r="H29" s="669">
        <f t="shared" si="0"/>
        <v>33.646789999999996</v>
      </c>
      <c r="I29" s="133">
        <f>SUM(N29,S29)</f>
        <v>62131.41</v>
      </c>
      <c r="J29" s="810">
        <v>50000</v>
      </c>
      <c r="K29" s="811">
        <v>100000</v>
      </c>
      <c r="L29" s="135">
        <v>33646.79</v>
      </c>
      <c r="M29" s="664">
        <f t="shared" si="2"/>
        <v>33.646789999999996</v>
      </c>
      <c r="N29" s="134">
        <v>62131.41</v>
      </c>
      <c r="O29" s="789"/>
      <c r="P29" s="135"/>
      <c r="Q29" s="135"/>
      <c r="R29" s="664" t="e">
        <f t="shared" si="3"/>
        <v>#DIV/0!</v>
      </c>
      <c r="S29" s="134"/>
      <c r="T29" s="819">
        <v>0</v>
      </c>
      <c r="U29" s="135">
        <v>0</v>
      </c>
      <c r="V29" s="820">
        <v>2483.87</v>
      </c>
      <c r="W29" s="664" t="e">
        <f t="shared" si="4"/>
        <v>#DIV/0!</v>
      </c>
      <c r="X29" s="821">
        <v>1342.35</v>
      </c>
    </row>
    <row r="30" spans="1:24" s="651" customFormat="1" ht="9.75">
      <c r="A30" s="710" t="s">
        <v>52</v>
      </c>
      <c r="B30" s="672" t="s">
        <v>51</v>
      </c>
      <c r="C30" s="672"/>
      <c r="D30" s="245" t="s">
        <v>25</v>
      </c>
      <c r="E30" s="132">
        <f t="shared" si="7"/>
        <v>0</v>
      </c>
      <c r="F30" s="112">
        <f t="shared" si="7"/>
        <v>0</v>
      </c>
      <c r="G30" s="112">
        <f t="shared" si="7"/>
        <v>0</v>
      </c>
      <c r="H30" s="669" t="e">
        <f t="shared" si="0"/>
        <v>#DIV/0!</v>
      </c>
      <c r="I30" s="133">
        <f>SUM(N30,S30)</f>
        <v>0</v>
      </c>
      <c r="J30" s="810">
        <v>0</v>
      </c>
      <c r="K30" s="135"/>
      <c r="L30" s="135"/>
      <c r="M30" s="664" t="e">
        <f t="shared" si="2"/>
        <v>#DIV/0!</v>
      </c>
      <c r="N30" s="134"/>
      <c r="O30" s="789"/>
      <c r="P30" s="135"/>
      <c r="Q30" s="135"/>
      <c r="R30" s="664" t="e">
        <f t="shared" si="3"/>
        <v>#DIV/0!</v>
      </c>
      <c r="S30" s="134"/>
      <c r="T30" s="822"/>
      <c r="U30" s="823"/>
      <c r="V30" s="823"/>
      <c r="W30" s="664" t="e">
        <f t="shared" si="4"/>
        <v>#DIV/0!</v>
      </c>
      <c r="X30" s="824"/>
    </row>
    <row r="31" spans="1:24" s="833" customFormat="1" ht="9.75">
      <c r="A31" s="710" t="s">
        <v>53</v>
      </c>
      <c r="B31" s="672" t="s">
        <v>69</v>
      </c>
      <c r="C31" s="672"/>
      <c r="D31" s="245" t="s">
        <v>25</v>
      </c>
      <c r="E31" s="132">
        <f t="shared" si="7"/>
        <v>0</v>
      </c>
      <c r="F31" s="112">
        <f t="shared" si="7"/>
        <v>0</v>
      </c>
      <c r="G31" s="112">
        <f t="shared" si="7"/>
        <v>0</v>
      </c>
      <c r="H31" s="669" t="e">
        <f t="shared" si="0"/>
        <v>#DIV/0!</v>
      </c>
      <c r="I31" s="133">
        <f>SUM(N31,S31)</f>
        <v>0</v>
      </c>
      <c r="J31" s="810">
        <v>0</v>
      </c>
      <c r="K31" s="825"/>
      <c r="L31" s="825"/>
      <c r="M31" s="664" t="e">
        <f t="shared" si="2"/>
        <v>#DIV/0!</v>
      </c>
      <c r="N31" s="826"/>
      <c r="O31" s="827"/>
      <c r="P31" s="825"/>
      <c r="Q31" s="825"/>
      <c r="R31" s="664" t="e">
        <f t="shared" si="3"/>
        <v>#DIV/0!</v>
      </c>
      <c r="S31" s="828"/>
      <c r="T31" s="829"/>
      <c r="U31" s="830"/>
      <c r="V31" s="831"/>
      <c r="W31" s="664" t="e">
        <f t="shared" si="4"/>
        <v>#DIV/0!</v>
      </c>
      <c r="X31" s="832"/>
    </row>
    <row r="32" spans="1:24" s="833" customFormat="1" ht="23.25" thickBot="1">
      <c r="A32" s="232" t="s">
        <v>54</v>
      </c>
      <c r="B32" s="264" t="s">
        <v>70</v>
      </c>
      <c r="C32" s="264"/>
      <c r="D32" s="245" t="s">
        <v>25</v>
      </c>
      <c r="E32" s="834">
        <f>SUM(J32,O32)</f>
        <v>0</v>
      </c>
      <c r="F32" s="835">
        <f>SUM(K32,P32)</f>
        <v>0</v>
      </c>
      <c r="G32" s="835">
        <f>SUM(L32,Q32)</f>
        <v>0</v>
      </c>
      <c r="H32" s="693" t="e">
        <f t="shared" si="0"/>
        <v>#DIV/0!</v>
      </c>
      <c r="I32" s="836">
        <f>SUM(N32,S32)</f>
        <v>0</v>
      </c>
      <c r="J32" s="837">
        <v>0</v>
      </c>
      <c r="K32" s="838"/>
      <c r="L32" s="839"/>
      <c r="M32" s="724" t="e">
        <f t="shared" si="2"/>
        <v>#DIV/0!</v>
      </c>
      <c r="N32" s="840"/>
      <c r="O32" s="841" t="s">
        <v>1022</v>
      </c>
      <c r="P32" s="842"/>
      <c r="Q32" s="838"/>
      <c r="R32" s="724" t="e">
        <f t="shared" si="3"/>
        <v>#DIV/0!</v>
      </c>
      <c r="S32" s="843"/>
      <c r="T32" s="844"/>
      <c r="U32" s="845"/>
      <c r="V32" s="846">
        <v>9170</v>
      </c>
      <c r="W32" s="724" t="e">
        <f t="shared" si="4"/>
        <v>#DIV/0!</v>
      </c>
      <c r="X32" s="840"/>
    </row>
    <row r="33" spans="1:24" s="833" customFormat="1" ht="24" customHeight="1" thickBot="1">
      <c r="A33" s="708" t="s">
        <v>55</v>
      </c>
      <c r="B33" s="746" t="s">
        <v>56</v>
      </c>
      <c r="C33" s="746"/>
      <c r="D33" s="245" t="s">
        <v>25</v>
      </c>
      <c r="E33" s="847">
        <f>E6-E11</f>
        <v>0</v>
      </c>
      <c r="F33" s="848">
        <f>F6-F11</f>
        <v>0</v>
      </c>
      <c r="G33" s="848">
        <f>G6-G11</f>
        <v>-28916.959999993443</v>
      </c>
      <c r="H33" s="849" t="e">
        <f t="shared" si="0"/>
        <v>#DIV/0!</v>
      </c>
      <c r="I33" s="850">
        <f>I6-I11</f>
        <v>-65417.059999994934</v>
      </c>
      <c r="J33" s="847">
        <f>J6-J11</f>
        <v>0</v>
      </c>
      <c r="K33" s="851">
        <f>K6-K11</f>
        <v>0</v>
      </c>
      <c r="L33" s="848">
        <f>L6-L11</f>
        <v>-28916.959999999031</v>
      </c>
      <c r="M33" s="852" t="e">
        <f t="shared" si="2"/>
        <v>#DIV/0!</v>
      </c>
      <c r="N33" s="850">
        <f>N6-N11</f>
        <v>-65417.059999998659</v>
      </c>
      <c r="O33" s="853">
        <f>O6-O11</f>
        <v>0</v>
      </c>
      <c r="P33" s="854">
        <f>P6-P11</f>
        <v>0</v>
      </c>
      <c r="Q33" s="854">
        <f>Q6-Q11</f>
        <v>0</v>
      </c>
      <c r="R33" s="801" t="e">
        <f t="shared" si="3"/>
        <v>#DIV/0!</v>
      </c>
      <c r="S33" s="855">
        <f>S6-S11</f>
        <v>0</v>
      </c>
      <c r="T33" s="856">
        <f>T6-T11</f>
        <v>245900</v>
      </c>
      <c r="U33" s="848">
        <f>U6-U11</f>
        <v>245900</v>
      </c>
      <c r="V33" s="848">
        <f>V6-V11</f>
        <v>38246.449999999953</v>
      </c>
      <c r="W33" s="852">
        <f t="shared" si="4"/>
        <v>15.553660024400143</v>
      </c>
      <c r="X33" s="850">
        <f>X6-X11</f>
        <v>112190.89000000013</v>
      </c>
    </row>
    <row r="34" spans="1:24" s="865" customFormat="1" ht="9.75">
      <c r="A34" s="713" t="s">
        <v>57</v>
      </c>
      <c r="B34" s="1157" t="s">
        <v>237</v>
      </c>
      <c r="C34" s="1157"/>
      <c r="D34" s="715" t="s">
        <v>25</v>
      </c>
      <c r="E34" s="857"/>
      <c r="F34" s="858"/>
      <c r="G34" s="858"/>
      <c r="H34" s="859" t="e">
        <f t="shared" si="0"/>
        <v>#DIV/0!</v>
      </c>
      <c r="I34" s="860"/>
      <c r="J34" s="861">
        <v>38194</v>
      </c>
      <c r="K34" s="862">
        <v>38194</v>
      </c>
      <c r="L34" s="863">
        <v>32330</v>
      </c>
      <c r="M34" s="781">
        <f t="shared" si="2"/>
        <v>84.646803162800438</v>
      </c>
      <c r="N34" s="864">
        <v>32979</v>
      </c>
      <c r="O34" s="239"/>
      <c r="P34" s="240"/>
      <c r="Q34" s="240"/>
      <c r="R34" s="664" t="e">
        <f t="shared" si="3"/>
        <v>#DIV/0!</v>
      </c>
      <c r="S34" s="243"/>
      <c r="T34" s="861">
        <v>24583</v>
      </c>
      <c r="U34" s="862">
        <v>24583</v>
      </c>
      <c r="V34" s="863">
        <v>22107</v>
      </c>
      <c r="W34" s="781">
        <f t="shared" si="4"/>
        <v>89.927999023715572</v>
      </c>
      <c r="X34" s="864">
        <v>12708</v>
      </c>
    </row>
    <row r="35" spans="1:24" s="865" customFormat="1" ht="9.75">
      <c r="A35" s="714" t="s">
        <v>58</v>
      </c>
      <c r="B35" s="1156" t="s">
        <v>238</v>
      </c>
      <c r="C35" s="1156"/>
      <c r="D35" s="719" t="s">
        <v>26</v>
      </c>
      <c r="E35" s="136"/>
      <c r="F35" s="137"/>
      <c r="G35" s="137"/>
      <c r="H35" s="669" t="e">
        <f t="shared" si="0"/>
        <v>#DIV/0!</v>
      </c>
      <c r="I35" s="138"/>
      <c r="J35" s="866">
        <v>3.96</v>
      </c>
      <c r="K35" s="867">
        <v>3.96</v>
      </c>
      <c r="L35" s="831">
        <v>3.96</v>
      </c>
      <c r="M35" s="664">
        <f t="shared" si="2"/>
        <v>100</v>
      </c>
      <c r="N35" s="868">
        <v>3.87</v>
      </c>
      <c r="O35" s="239"/>
      <c r="P35" s="240"/>
      <c r="Q35" s="240"/>
      <c r="R35" s="664" t="e">
        <f t="shared" si="3"/>
        <v>#DIV/0!</v>
      </c>
      <c r="S35" s="243"/>
      <c r="T35" s="866">
        <v>0.98</v>
      </c>
      <c r="U35" s="867">
        <v>0.98</v>
      </c>
      <c r="V35" s="831">
        <v>1.21</v>
      </c>
      <c r="W35" s="664">
        <f t="shared" si="4"/>
        <v>123.46938775510203</v>
      </c>
      <c r="X35" s="868">
        <v>1.03</v>
      </c>
    </row>
    <row r="36" spans="1:24" s="865" customFormat="1" ht="9.75">
      <c r="A36" s="714" t="s">
        <v>59</v>
      </c>
      <c r="B36" s="1156" t="s">
        <v>239</v>
      </c>
      <c r="C36" s="1156"/>
      <c r="D36" s="719" t="s">
        <v>26</v>
      </c>
      <c r="E36" s="136"/>
      <c r="F36" s="137"/>
      <c r="G36" s="137"/>
      <c r="H36" s="669" t="e">
        <f t="shared" si="0"/>
        <v>#DIV/0!</v>
      </c>
      <c r="I36" s="138"/>
      <c r="J36" s="866">
        <v>10</v>
      </c>
      <c r="K36" s="867">
        <v>10</v>
      </c>
      <c r="L36" s="831">
        <v>10</v>
      </c>
      <c r="M36" s="664">
        <f t="shared" si="2"/>
        <v>100</v>
      </c>
      <c r="N36" s="868">
        <v>9</v>
      </c>
      <c r="O36" s="239"/>
      <c r="P36" s="240"/>
      <c r="Q36" s="240"/>
      <c r="R36" s="664" t="e">
        <f t="shared" si="3"/>
        <v>#DIV/0!</v>
      </c>
      <c r="S36" s="243"/>
      <c r="T36" s="866">
        <v>17</v>
      </c>
      <c r="U36" s="867">
        <v>17</v>
      </c>
      <c r="V36" s="831">
        <v>17</v>
      </c>
      <c r="W36" s="664">
        <f t="shared" si="4"/>
        <v>100</v>
      </c>
      <c r="X36" s="868">
        <v>19</v>
      </c>
    </row>
    <row r="37" spans="1:24" s="865" customFormat="1" ht="10.5" thickBot="1">
      <c r="A37" s="720" t="s">
        <v>240</v>
      </c>
      <c r="B37" s="1174" t="s">
        <v>241</v>
      </c>
      <c r="C37" s="1174"/>
      <c r="D37" s="721" t="s">
        <v>242</v>
      </c>
      <c r="E37" s="139"/>
      <c r="F37" s="140"/>
      <c r="G37" s="140"/>
      <c r="H37" s="693" t="e">
        <f t="shared" si="0"/>
        <v>#DIV/0!</v>
      </c>
      <c r="I37" s="141"/>
      <c r="J37" s="722"/>
      <c r="K37" s="723"/>
      <c r="L37" s="723"/>
      <c r="M37" s="724" t="e">
        <f t="shared" si="2"/>
        <v>#DIV/0!</v>
      </c>
      <c r="N37" s="725"/>
      <c r="O37" s="241"/>
      <c r="P37" s="242"/>
      <c r="Q37" s="242"/>
      <c r="R37" s="724" t="e">
        <f t="shared" si="3"/>
        <v>#DIV/0!</v>
      </c>
      <c r="S37" s="244"/>
      <c r="T37" s="722"/>
      <c r="U37" s="723"/>
      <c r="V37" s="723"/>
      <c r="W37" s="724" t="e">
        <f t="shared" si="4"/>
        <v>#DIV/0!</v>
      </c>
      <c r="X37" s="725"/>
    </row>
  </sheetData>
  <mergeCells count="40">
    <mergeCell ref="A1:X1"/>
    <mergeCell ref="O3:S3"/>
    <mergeCell ref="T3:X3"/>
    <mergeCell ref="E4:E5"/>
    <mergeCell ref="F4:H4"/>
    <mergeCell ref="I4:I5"/>
    <mergeCell ref="J4:J5"/>
    <mergeCell ref="K4:M4"/>
    <mergeCell ref="N4:N5"/>
    <mergeCell ref="O4:O5"/>
    <mergeCell ref="P4:R4"/>
    <mergeCell ref="S4:S5"/>
    <mergeCell ref="T4:T5"/>
    <mergeCell ref="U4:W4"/>
    <mergeCell ref="X4:X5"/>
    <mergeCell ref="A3:A5"/>
    <mergeCell ref="B3:C5"/>
    <mergeCell ref="D3:D5"/>
    <mergeCell ref="E3:I3"/>
    <mergeCell ref="J3:N3"/>
    <mergeCell ref="B35:C35"/>
    <mergeCell ref="B6:C6"/>
    <mergeCell ref="B10:C10"/>
    <mergeCell ref="B8:C8"/>
    <mergeCell ref="B7:C7"/>
    <mergeCell ref="B36:C36"/>
    <mergeCell ref="B37:C37"/>
    <mergeCell ref="B11:C11"/>
    <mergeCell ref="B12:C12"/>
    <mergeCell ref="B13:C13"/>
    <mergeCell ref="B16:C16"/>
    <mergeCell ref="B19:C19"/>
    <mergeCell ref="B20:C20"/>
    <mergeCell ref="B21:C21"/>
    <mergeCell ref="B22:C22"/>
    <mergeCell ref="B26:C26"/>
    <mergeCell ref="B29:C29"/>
    <mergeCell ref="B34:C34"/>
    <mergeCell ref="B15:C15"/>
    <mergeCell ref="B18:C18"/>
  </mergeCells>
  <pageMargins left="0.23622047244094491" right="0.23622047244094491" top="0.74803149606299213" bottom="0.74803149606299213" header="0.31496062992125984" footer="0.31496062992125984"/>
  <pageSetup paperSize="9" scale="83" firstPageNumber="178" orientation="landscape" useFirstPageNumber="1" r:id="rId1"/>
  <headerFooter>
    <oddFooter>&amp;C&amp;P</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zoomScaleNormal="100" workbookViewId="0">
      <selection activeCell="C8" sqref="C8"/>
    </sheetView>
  </sheetViews>
  <sheetFormatPr defaultColWidth="16" defaultRowHeight="12.75"/>
  <cols>
    <col min="1" max="1" width="58" style="14" customWidth="1"/>
    <col min="2" max="2" width="33.5" style="14" customWidth="1"/>
    <col min="3" max="4" width="25.75" style="14" customWidth="1"/>
    <col min="5" max="5" width="26.75" style="14" customWidth="1"/>
    <col min="6" max="6" width="22.75" style="14" customWidth="1"/>
    <col min="7" max="16384" width="16" style="14"/>
  </cols>
  <sheetData>
    <row r="1" spans="1:9" s="277" customFormat="1" ht="18.75">
      <c r="A1" s="277" t="s">
        <v>73</v>
      </c>
      <c r="B1" s="277" t="s">
        <v>177</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9329.489999999998</v>
      </c>
      <c r="D6" s="1207"/>
      <c r="E6" s="1208"/>
      <c r="F6" s="1208"/>
      <c r="G6" s="1208"/>
      <c r="H6" s="1208"/>
      <c r="I6" s="1209"/>
    </row>
    <row r="7" spans="1:9" s="2" customFormat="1" ht="22.5" customHeight="1">
      <c r="A7" s="1199" t="s">
        <v>75</v>
      </c>
      <c r="B7" s="1200"/>
      <c r="C7" s="17">
        <v>-28916.959999999999</v>
      </c>
      <c r="D7" s="1205" t="s">
        <v>976</v>
      </c>
      <c r="E7" s="1205"/>
      <c r="F7" s="1205"/>
      <c r="G7" s="1205"/>
      <c r="H7" s="1205"/>
      <c r="I7" s="1206"/>
    </row>
    <row r="8" spans="1:9" s="281" customFormat="1" ht="22.5" customHeight="1">
      <c r="A8" s="1201" t="s">
        <v>76</v>
      </c>
      <c r="B8" s="1202"/>
      <c r="C8" s="18">
        <v>38246.449999999997</v>
      </c>
      <c r="D8" s="1205" t="s">
        <v>977</v>
      </c>
      <c r="E8" s="1205"/>
      <c r="F8" s="1205"/>
      <c r="G8" s="1205"/>
      <c r="H8" s="1205"/>
      <c r="I8" s="1206"/>
    </row>
    <row r="9" spans="1:9" s="281" customFormat="1" ht="15" customHeight="1">
      <c r="A9" s="1203" t="s">
        <v>77</v>
      </c>
      <c r="B9" s="1204"/>
      <c r="C9" s="62">
        <v>0</v>
      </c>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1865.9</v>
      </c>
      <c r="D16" s="24"/>
      <c r="E16" s="24"/>
      <c r="F16" s="24"/>
      <c r="G16" s="24"/>
      <c r="H16" s="24"/>
      <c r="I16" s="24"/>
    </row>
    <row r="17" spans="1:9" s="2" customFormat="1" ht="15" customHeight="1">
      <c r="A17" s="1192"/>
      <c r="B17" s="6" t="s">
        <v>82</v>
      </c>
      <c r="C17" s="67">
        <v>7463.59</v>
      </c>
      <c r="D17" s="25"/>
      <c r="E17" s="25"/>
      <c r="F17" s="25"/>
      <c r="G17" s="25"/>
      <c r="H17" s="25"/>
      <c r="I17" s="25"/>
    </row>
    <row r="18" spans="1:9" s="2" customFormat="1" ht="15" customHeight="1">
      <c r="A18" s="275" t="s">
        <v>414</v>
      </c>
      <c r="B18" s="7"/>
      <c r="C18" s="26">
        <f>SUM(C14:C17)</f>
        <v>9329.49</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24" customHeight="1">
      <c r="A23" s="68" t="s">
        <v>83</v>
      </c>
      <c r="B23" s="32">
        <f>16989.64+1141090.27</f>
        <v>1158079.9099999999</v>
      </c>
      <c r="C23" s="32">
        <f>46773.83+753470</f>
        <v>800243.83</v>
      </c>
      <c r="D23" s="32">
        <f>1153014</f>
        <v>1153014</v>
      </c>
      <c r="E23" s="32">
        <f>B23+C23-D23</f>
        <v>805309.73999999976</v>
      </c>
      <c r="F23" s="1194" t="s">
        <v>978</v>
      </c>
      <c r="G23" s="1195"/>
      <c r="H23" s="1195"/>
      <c r="I23" s="1196"/>
    </row>
    <row r="24" spans="1:9" s="2" customFormat="1" ht="15.75" customHeight="1">
      <c r="A24" s="69" t="s">
        <v>84</v>
      </c>
      <c r="B24" s="33">
        <v>679046.25</v>
      </c>
      <c r="C24" s="33">
        <v>1714159</v>
      </c>
      <c r="D24" s="33">
        <v>2308644</v>
      </c>
      <c r="E24" s="33">
        <f t="shared" ref="E24:E26" si="0">B24+C24-D24</f>
        <v>84561.25</v>
      </c>
      <c r="F24" s="1183" t="s">
        <v>979</v>
      </c>
      <c r="G24" s="1184"/>
      <c r="H24" s="1184"/>
      <c r="I24" s="1185"/>
    </row>
    <row r="25" spans="1:9" s="2" customFormat="1" ht="15.75" customHeight="1">
      <c r="A25" s="69" t="s">
        <v>82</v>
      </c>
      <c r="B25" s="33">
        <v>14920.01</v>
      </c>
      <c r="C25" s="33">
        <v>0</v>
      </c>
      <c r="D25" s="33">
        <v>11300</v>
      </c>
      <c r="E25" s="33">
        <f t="shared" si="0"/>
        <v>3620.01</v>
      </c>
      <c r="F25" s="1183"/>
      <c r="G25" s="1184"/>
      <c r="H25" s="1184"/>
      <c r="I25" s="1185"/>
    </row>
    <row r="26" spans="1:9" s="2" customFormat="1" ht="31.5" customHeight="1">
      <c r="A26" s="70" t="s">
        <v>85</v>
      </c>
      <c r="B26" s="34">
        <v>234314.64</v>
      </c>
      <c r="C26" s="34">
        <v>675437.46</v>
      </c>
      <c r="D26" s="34">
        <v>467189</v>
      </c>
      <c r="E26" s="33">
        <f t="shared" si="0"/>
        <v>442563.1</v>
      </c>
      <c r="F26" s="1186" t="s">
        <v>980</v>
      </c>
      <c r="G26" s="1187"/>
      <c r="H26" s="1187"/>
      <c r="I26" s="1188"/>
    </row>
    <row r="27" spans="1:9" s="281" customFormat="1" ht="10.5">
      <c r="A27" s="3" t="s">
        <v>34</v>
      </c>
      <c r="B27" s="16">
        <f>SUM(B23:B26)</f>
        <v>2086360.81</v>
      </c>
      <c r="C27" s="16">
        <f t="shared" ref="C27:E27" si="1">SUM(C23:C26)</f>
        <v>3189840.29</v>
      </c>
      <c r="D27" s="16">
        <f t="shared" si="1"/>
        <v>3940147</v>
      </c>
      <c r="E27" s="16">
        <f t="shared" si="1"/>
        <v>1336054.0999999996</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8.25" customHeight="1">
      <c r="A32" s="81"/>
      <c r="B32" s="82"/>
      <c r="C32" s="83"/>
      <c r="D32" s="1221"/>
      <c r="E32" s="1222"/>
      <c r="F32" s="1222"/>
      <c r="G32" s="1222"/>
      <c r="H32" s="1222"/>
      <c r="I32" s="1223"/>
    </row>
    <row r="33" spans="1:9" s="281" customFormat="1" ht="11.25">
      <c r="A33" s="84" t="s">
        <v>34</v>
      </c>
      <c r="B33" s="85">
        <f>SUM(B32:B32)</f>
        <v>0</v>
      </c>
      <c r="C33" s="1224"/>
      <c r="D33" s="1224"/>
      <c r="E33" s="1224"/>
      <c r="F33" s="1224"/>
      <c r="G33" s="1224"/>
      <c r="H33" s="1224"/>
      <c r="I33" s="1225"/>
    </row>
    <row r="34" spans="1:9" s="2" customFormat="1" ht="11.25">
      <c r="C34" s="19"/>
    </row>
    <row r="35" spans="1:9" s="2" customFormat="1" ht="11.25">
      <c r="A35" s="1189" t="s">
        <v>431</v>
      </c>
      <c r="B35" s="1189"/>
      <c r="C35" s="1189"/>
      <c r="D35" s="1189"/>
      <c r="E35" s="1189"/>
      <c r="F35" s="1189"/>
      <c r="G35" s="1189"/>
      <c r="H35" s="1189"/>
      <c r="I35" s="1189"/>
    </row>
    <row r="36" spans="1:9" s="2" customFormat="1" ht="7.5" customHeight="1">
      <c r="C36" s="19"/>
    </row>
    <row r="37" spans="1:9" s="2" customFormat="1" ht="11.25">
      <c r="A37" s="271" t="s">
        <v>86</v>
      </c>
      <c r="B37" s="271" t="s">
        <v>25</v>
      </c>
      <c r="C37" s="270" t="s">
        <v>87</v>
      </c>
      <c r="D37" s="1193" t="s">
        <v>88</v>
      </c>
      <c r="E37" s="1193"/>
      <c r="F37" s="1193"/>
      <c r="G37" s="1193"/>
      <c r="H37" s="1193"/>
      <c r="I37" s="1193"/>
    </row>
    <row r="38" spans="1:9" s="2" customFormat="1" ht="9.75" customHeight="1">
      <c r="A38" s="86"/>
      <c r="B38" s="33"/>
      <c r="C38" s="9"/>
      <c r="D38" s="1183"/>
      <c r="E38" s="1229"/>
      <c r="F38" s="1229"/>
      <c r="G38" s="1229"/>
      <c r="H38" s="1229"/>
      <c r="I38" s="1230"/>
    </row>
    <row r="39" spans="1:9" s="281" customFormat="1" ht="10.5">
      <c r="A39" s="3" t="s">
        <v>34</v>
      </c>
      <c r="B39" s="16">
        <f>SUM(B38:B38)</f>
        <v>0</v>
      </c>
      <c r="C39" s="1236"/>
      <c r="D39" s="1237"/>
      <c r="E39" s="1237"/>
      <c r="F39" s="1237"/>
      <c r="G39" s="1237"/>
      <c r="H39" s="1237"/>
      <c r="I39" s="1237"/>
    </row>
    <row r="40" spans="1:9" s="2" customFormat="1" ht="11.25">
      <c r="C40" s="19"/>
    </row>
    <row r="41" spans="1:9" s="2" customFormat="1" ht="11.25">
      <c r="A41" s="1189" t="s">
        <v>432</v>
      </c>
      <c r="B41" s="1189"/>
      <c r="C41" s="1189"/>
      <c r="D41" s="1189"/>
      <c r="E41" s="1189"/>
      <c r="F41" s="1189"/>
      <c r="G41" s="1189"/>
      <c r="H41" s="1189"/>
      <c r="I41" s="1189"/>
    </row>
    <row r="42" spans="1:9" s="2" customFormat="1" ht="11.25">
      <c r="C42" s="19"/>
    </row>
    <row r="43" spans="1:9" s="2" customFormat="1" ht="11.25">
      <c r="A43" s="271" t="s">
        <v>25</v>
      </c>
      <c r="B43" s="270" t="s">
        <v>433</v>
      </c>
      <c r="C43" s="1238" t="s">
        <v>89</v>
      </c>
      <c r="D43" s="1238"/>
      <c r="E43" s="1238"/>
      <c r="F43" s="1238"/>
      <c r="G43" s="1238"/>
      <c r="H43" s="1238"/>
      <c r="I43" s="1238"/>
    </row>
    <row r="44" spans="1:9" s="2" customFormat="1" ht="11.25">
      <c r="A44" s="87">
        <v>10000</v>
      </c>
      <c r="B44" s="36">
        <v>10000</v>
      </c>
      <c r="C44" s="1239" t="s">
        <v>981</v>
      </c>
      <c r="D44" s="1239"/>
      <c r="E44" s="1239"/>
      <c r="F44" s="1239"/>
      <c r="G44" s="1239"/>
      <c r="H44" s="1239"/>
      <c r="I44" s="1240"/>
    </row>
    <row r="45" spans="1:9" s="281" customFormat="1" ht="10.5">
      <c r="A45" s="16">
        <f>A44</f>
        <v>10000</v>
      </c>
      <c r="B45" s="16">
        <f>B44</f>
        <v>10000</v>
      </c>
      <c r="C45" s="1233" t="s">
        <v>34</v>
      </c>
      <c r="D45" s="1233"/>
      <c r="E45" s="1233"/>
      <c r="F45" s="1233"/>
      <c r="G45" s="1233"/>
      <c r="H45" s="1233"/>
      <c r="I45" s="1233"/>
    </row>
    <row r="46" spans="1:9" s="2" customFormat="1" ht="11.25">
      <c r="C46" s="19"/>
    </row>
    <row r="47" spans="1:9" s="2" customFormat="1" ht="11.25">
      <c r="A47" s="1189" t="s">
        <v>434</v>
      </c>
      <c r="B47" s="1189"/>
      <c r="C47" s="1189"/>
      <c r="D47" s="1189"/>
      <c r="E47" s="1189"/>
      <c r="F47" s="1189"/>
      <c r="G47" s="1189"/>
      <c r="H47" s="1189"/>
      <c r="I47" s="1189"/>
    </row>
    <row r="48" spans="1:9" s="2" customFormat="1" ht="11.25">
      <c r="C48" s="19"/>
    </row>
    <row r="49" spans="1:7" s="10" customFormat="1" ht="31.5">
      <c r="A49" s="1234" t="s">
        <v>259</v>
      </c>
      <c r="B49" s="1235"/>
      <c r="C49" s="56" t="s">
        <v>179</v>
      </c>
      <c r="D49" s="56" t="s">
        <v>118</v>
      </c>
      <c r="E49" s="56" t="s">
        <v>119</v>
      </c>
      <c r="F49" s="56" t="s">
        <v>244</v>
      </c>
      <c r="G49" s="56" t="s">
        <v>180</v>
      </c>
    </row>
    <row r="50" spans="1:7" s="2" customFormat="1" ht="11.25">
      <c r="A50" s="1244" t="s">
        <v>982</v>
      </c>
      <c r="B50" s="1245"/>
      <c r="C50" s="143" t="s">
        <v>983</v>
      </c>
      <c r="D50" s="142">
        <v>93117</v>
      </c>
      <c r="E50" s="760">
        <v>93117</v>
      </c>
      <c r="F50" s="761">
        <v>44249</v>
      </c>
      <c r="G50" s="288">
        <v>44249</v>
      </c>
    </row>
    <row r="51" spans="1:7" s="2" customFormat="1" ht="30.75" customHeight="1">
      <c r="A51" s="1553" t="s">
        <v>984</v>
      </c>
      <c r="B51" s="1554"/>
      <c r="C51" s="762" t="s">
        <v>985</v>
      </c>
      <c r="D51" s="763">
        <v>220000</v>
      </c>
      <c r="E51" s="764" t="s">
        <v>986</v>
      </c>
      <c r="F51" s="765">
        <v>44257</v>
      </c>
      <c r="G51" s="297">
        <v>44257</v>
      </c>
    </row>
    <row r="52" spans="1:7" s="2" customFormat="1" ht="18.75" customHeight="1">
      <c r="A52" s="1553" t="s">
        <v>987</v>
      </c>
      <c r="B52" s="1554"/>
      <c r="C52" s="11" t="s">
        <v>988</v>
      </c>
      <c r="D52" s="145">
        <v>180000</v>
      </c>
      <c r="E52" s="766">
        <v>180000</v>
      </c>
      <c r="F52" s="305">
        <v>44257</v>
      </c>
      <c r="G52" s="303">
        <v>44257</v>
      </c>
    </row>
    <row r="53" spans="1:7" s="2" customFormat="1" ht="20.25" customHeight="1">
      <c r="A53" s="1553" t="s">
        <v>989</v>
      </c>
      <c r="B53" s="1554"/>
      <c r="C53" s="762" t="s">
        <v>990</v>
      </c>
      <c r="D53" s="763">
        <v>170000</v>
      </c>
      <c r="E53" s="767" t="s">
        <v>991</v>
      </c>
      <c r="F53" s="765">
        <v>44273</v>
      </c>
      <c r="G53" s="297">
        <v>44273</v>
      </c>
    </row>
    <row r="54" spans="1:7" s="2" customFormat="1" ht="19.5" customHeight="1">
      <c r="A54" s="1555" t="s">
        <v>992</v>
      </c>
      <c r="B54" s="1556"/>
      <c r="C54" s="768" t="s">
        <v>993</v>
      </c>
      <c r="D54" s="145">
        <v>30000</v>
      </c>
      <c r="E54" s="769" t="s">
        <v>994</v>
      </c>
      <c r="F54" s="305">
        <v>44306</v>
      </c>
      <c r="G54" s="303">
        <v>44306</v>
      </c>
    </row>
    <row r="55" spans="1:7" s="2" customFormat="1" ht="18.75" customHeight="1">
      <c r="A55" s="1553" t="s">
        <v>995</v>
      </c>
      <c r="B55" s="1554"/>
      <c r="C55" s="762" t="s">
        <v>996</v>
      </c>
      <c r="D55" s="763">
        <v>370000</v>
      </c>
      <c r="E55" s="764" t="s">
        <v>997</v>
      </c>
      <c r="F55" s="765">
        <v>44328</v>
      </c>
      <c r="G55" s="297">
        <v>44328</v>
      </c>
    </row>
    <row r="56" spans="1:7" s="2" customFormat="1" ht="19.5" customHeight="1">
      <c r="A56" s="1555" t="s">
        <v>998</v>
      </c>
      <c r="B56" s="1556"/>
      <c r="C56" s="11" t="s">
        <v>988</v>
      </c>
      <c r="D56" s="145">
        <v>-11172.5</v>
      </c>
      <c r="E56" s="766">
        <v>-11172.5</v>
      </c>
      <c r="F56" s="305">
        <v>44447</v>
      </c>
      <c r="G56" s="303">
        <v>44447</v>
      </c>
    </row>
    <row r="57" spans="1:7" s="2" customFormat="1" ht="19.5" customHeight="1">
      <c r="A57" s="1553" t="s">
        <v>999</v>
      </c>
      <c r="B57" s="1554"/>
      <c r="C57" s="11" t="s">
        <v>1000</v>
      </c>
      <c r="D57" s="145">
        <v>76000</v>
      </c>
      <c r="E57" s="766">
        <v>76000</v>
      </c>
      <c r="F57" s="305">
        <v>44348</v>
      </c>
      <c r="G57" s="303">
        <v>44348</v>
      </c>
    </row>
    <row r="58" spans="1:7" s="2" customFormat="1" ht="19.5" customHeight="1">
      <c r="A58" s="1553" t="s">
        <v>1001</v>
      </c>
      <c r="B58" s="1554"/>
      <c r="C58" s="11" t="s">
        <v>983</v>
      </c>
      <c r="D58" s="145">
        <v>75300</v>
      </c>
      <c r="E58" s="766">
        <v>75300</v>
      </c>
      <c r="F58" s="305">
        <v>44348</v>
      </c>
      <c r="G58" s="303">
        <v>44348</v>
      </c>
    </row>
    <row r="59" spans="1:7" s="2" customFormat="1" ht="78" customHeight="1">
      <c r="A59" s="313" t="s">
        <v>1002</v>
      </c>
      <c r="B59" s="314"/>
      <c r="C59" s="762" t="s">
        <v>1003</v>
      </c>
      <c r="D59" s="763">
        <v>1000000</v>
      </c>
      <c r="E59" s="764" t="s">
        <v>1004</v>
      </c>
      <c r="F59" s="765">
        <v>44390</v>
      </c>
      <c r="G59" s="297">
        <v>44390</v>
      </c>
    </row>
    <row r="60" spans="1:7" s="2" customFormat="1" ht="10.15" customHeight="1">
      <c r="A60" s="313" t="s">
        <v>1005</v>
      </c>
      <c r="B60" s="314"/>
      <c r="C60" s="11" t="s">
        <v>1006</v>
      </c>
      <c r="D60" s="145"/>
      <c r="E60" s="770" t="s">
        <v>1007</v>
      </c>
      <c r="F60" s="305">
        <v>44495</v>
      </c>
      <c r="G60" s="303">
        <v>44495</v>
      </c>
    </row>
    <row r="61" spans="1:7" s="2" customFormat="1" ht="22.5" customHeight="1">
      <c r="A61" s="313" t="s">
        <v>1008</v>
      </c>
      <c r="B61" s="314"/>
      <c r="C61" s="762" t="s">
        <v>1009</v>
      </c>
      <c r="D61" s="763"/>
      <c r="E61" s="771" t="s">
        <v>1010</v>
      </c>
      <c r="F61" s="765">
        <v>44550</v>
      </c>
      <c r="G61" s="297">
        <v>44550</v>
      </c>
    </row>
    <row r="62" spans="1:7" s="2" customFormat="1" ht="18.75" customHeight="1">
      <c r="A62" s="313" t="s">
        <v>1011</v>
      </c>
      <c r="B62" s="314"/>
      <c r="C62" s="768" t="s">
        <v>1012</v>
      </c>
      <c r="D62" s="145">
        <v>10000</v>
      </c>
      <c r="E62" s="769" t="s">
        <v>1013</v>
      </c>
      <c r="F62" s="305">
        <v>44552</v>
      </c>
      <c r="G62" s="303">
        <v>44552</v>
      </c>
    </row>
    <row r="63" spans="1:7" s="2" customFormat="1" ht="10.15" customHeight="1">
      <c r="A63" s="1252" t="s">
        <v>1014</v>
      </c>
      <c r="B63" s="1253"/>
      <c r="C63" s="89" t="s">
        <v>1015</v>
      </c>
      <c r="D63" s="763"/>
      <c r="E63" s="772" t="s">
        <v>1016</v>
      </c>
      <c r="F63" s="765">
        <v>44586</v>
      </c>
      <c r="G63" s="297">
        <v>44586</v>
      </c>
    </row>
    <row r="64" spans="1:7" s="2" customFormat="1" ht="10.15" customHeight="1">
      <c r="A64" s="1254" t="s">
        <v>458</v>
      </c>
      <c r="B64" s="1255"/>
      <c r="C64" s="92"/>
      <c r="D64" s="93">
        <f>SUM(D50:D63)</f>
        <v>2213244.5</v>
      </c>
      <c r="E64" s="93">
        <v>2213244.5</v>
      </c>
      <c r="F64" s="1256"/>
      <c r="G64" s="1257"/>
    </row>
    <row r="65" spans="1:9" s="2" customFormat="1" ht="11.25">
      <c r="A65" s="76"/>
      <c r="B65" s="76"/>
      <c r="C65" s="37"/>
      <c r="D65" s="37"/>
      <c r="E65" s="38"/>
    </row>
    <row r="66" spans="1:9" s="2" customFormat="1" ht="11.25">
      <c r="A66" s="1261" t="s">
        <v>459</v>
      </c>
      <c r="B66" s="1261"/>
      <c r="C66" s="1261"/>
      <c r="D66" s="1261"/>
      <c r="E66" s="1261"/>
      <c r="F66" s="1261"/>
      <c r="G66" s="1261"/>
      <c r="H66" s="1261"/>
      <c r="I66" s="1261"/>
    </row>
    <row r="67" spans="1:9" s="2" customFormat="1" ht="11.25">
      <c r="A67" s="2" t="s">
        <v>1017</v>
      </c>
    </row>
    <row r="68" spans="1:9" s="2" customFormat="1" ht="11.25">
      <c r="A68" s="1258"/>
      <c r="B68" s="1259"/>
      <c r="C68" s="1259"/>
      <c r="D68" s="1259"/>
      <c r="E68" s="1259"/>
      <c r="F68" s="1259"/>
      <c r="G68" s="1259"/>
      <c r="H68" s="1259"/>
      <c r="I68" s="1260"/>
    </row>
    <row r="69" spans="1:9" s="2" customFormat="1" ht="11.25">
      <c r="A69" s="1258"/>
      <c r="B69" s="1259"/>
      <c r="C69" s="1259"/>
      <c r="D69" s="1259"/>
      <c r="E69" s="1259"/>
      <c r="F69" s="1259"/>
      <c r="G69" s="1259"/>
      <c r="H69" s="1259"/>
      <c r="I69" s="1260"/>
    </row>
    <row r="70" spans="1:9" s="2" customFormat="1" ht="0.75" customHeight="1">
      <c r="A70" s="1258"/>
      <c r="B70" s="1259"/>
      <c r="C70" s="1259"/>
      <c r="D70" s="1259"/>
      <c r="E70" s="1259"/>
      <c r="F70" s="1259"/>
      <c r="G70" s="1259"/>
      <c r="H70" s="1259"/>
      <c r="I70" s="1260"/>
    </row>
    <row r="71" spans="1:9" s="2" customFormat="1" ht="11.25" hidden="1"/>
    <row r="72" spans="1:9" s="281" customFormat="1" ht="10.5">
      <c r="A72" s="1189" t="s">
        <v>461</v>
      </c>
      <c r="B72" s="1189"/>
      <c r="C72" s="1189"/>
      <c r="D72" s="1189"/>
      <c r="E72" s="1189"/>
      <c r="F72" s="1189"/>
      <c r="G72" s="1189"/>
      <c r="H72" s="1189"/>
      <c r="I72" s="1189"/>
    </row>
    <row r="73" spans="1:9" s="2" customFormat="1" ht="11.25">
      <c r="A73" s="1557" t="s">
        <v>1018</v>
      </c>
      <c r="B73" s="1558"/>
      <c r="C73" s="1558"/>
      <c r="D73" s="1558"/>
      <c r="E73" s="1558"/>
      <c r="F73" s="1558"/>
      <c r="G73" s="1558"/>
      <c r="H73" s="1558"/>
      <c r="I73" s="1558"/>
    </row>
    <row r="74" spans="1:9" s="2" customFormat="1" ht="22.5" customHeight="1">
      <c r="A74" s="1258" t="s">
        <v>1019</v>
      </c>
      <c r="B74" s="1259"/>
      <c r="C74" s="1259"/>
      <c r="D74" s="1259"/>
      <c r="E74" s="1259"/>
      <c r="F74" s="1259"/>
      <c r="G74" s="1259"/>
      <c r="H74" s="1259"/>
      <c r="I74" s="1260"/>
    </row>
    <row r="75" spans="1:9" s="2" customFormat="1" ht="16.149999999999999" customHeight="1">
      <c r="A75" s="1258"/>
      <c r="B75" s="1259"/>
      <c r="C75" s="1259"/>
      <c r="D75" s="1259"/>
      <c r="E75" s="1259"/>
      <c r="F75" s="1259"/>
      <c r="G75" s="1259"/>
      <c r="H75" s="1259"/>
      <c r="I75" s="1260"/>
    </row>
    <row r="76" spans="1:9" s="2" customFormat="1" ht="16.149999999999999" customHeight="1">
      <c r="A76" s="76"/>
      <c r="B76" s="76"/>
      <c r="C76" s="76"/>
      <c r="D76" s="76"/>
      <c r="E76" s="76"/>
      <c r="F76" s="76"/>
      <c r="G76" s="76"/>
      <c r="H76" s="76"/>
      <c r="I76" s="76"/>
    </row>
    <row r="77" spans="1:9">
      <c r="A77" s="2" t="s">
        <v>362</v>
      </c>
    </row>
    <row r="78" spans="1:9">
      <c r="A78" s="2" t="s">
        <v>1020</v>
      </c>
    </row>
    <row r="79" spans="1:9">
      <c r="A79" s="2"/>
    </row>
    <row r="80" spans="1:9">
      <c r="A80" s="2" t="s">
        <v>1021</v>
      </c>
    </row>
  </sheetData>
  <mergeCells count="54">
    <mergeCell ref="A74:I74"/>
    <mergeCell ref="A75:I75"/>
    <mergeCell ref="A68:I68"/>
    <mergeCell ref="A69:I69"/>
    <mergeCell ref="A70:I70"/>
    <mergeCell ref="A72:I72"/>
    <mergeCell ref="A73:I73"/>
    <mergeCell ref="A58:B58"/>
    <mergeCell ref="A63:B63"/>
    <mergeCell ref="A64:B64"/>
    <mergeCell ref="F64:G64"/>
    <mergeCell ref="A66:I66"/>
    <mergeCell ref="A53:B53"/>
    <mergeCell ref="A54:B54"/>
    <mergeCell ref="A55:B55"/>
    <mergeCell ref="A56:B56"/>
    <mergeCell ref="A57:B57"/>
    <mergeCell ref="C39:I39"/>
    <mergeCell ref="A41:I41"/>
    <mergeCell ref="C43:I43"/>
    <mergeCell ref="C44:I44"/>
    <mergeCell ref="C45:I45"/>
    <mergeCell ref="A47:I47"/>
    <mergeCell ref="A49:B49"/>
    <mergeCell ref="A51:B51"/>
    <mergeCell ref="A52:B52"/>
    <mergeCell ref="A50:B50"/>
    <mergeCell ref="F27:I27"/>
    <mergeCell ref="A29:I29"/>
    <mergeCell ref="D31:I31"/>
    <mergeCell ref="D38:I38"/>
    <mergeCell ref="D32:I32"/>
    <mergeCell ref="C33:I33"/>
    <mergeCell ref="A35:I35"/>
    <mergeCell ref="D37:I37"/>
    <mergeCell ref="F26:I26"/>
    <mergeCell ref="A8:B8"/>
    <mergeCell ref="D8:I8"/>
    <mergeCell ref="A9:B9"/>
    <mergeCell ref="D9:I9"/>
    <mergeCell ref="A11:I11"/>
    <mergeCell ref="A15:A17"/>
    <mergeCell ref="A20:I20"/>
    <mergeCell ref="F22:I22"/>
    <mergeCell ref="F23:I23"/>
    <mergeCell ref="F24:I24"/>
    <mergeCell ref="F25:I25"/>
    <mergeCell ref="A7:B7"/>
    <mergeCell ref="D7:I7"/>
    <mergeCell ref="A3:I3"/>
    <mergeCell ref="A5:B5"/>
    <mergeCell ref="D5:I5"/>
    <mergeCell ref="A6:B6"/>
    <mergeCell ref="D6:I6"/>
  </mergeCells>
  <pageMargins left="0.23622047244094491" right="0.23622047244094491" top="0.74803149606299213" bottom="0.74803149606299213" header="0.31496062992125984" footer="0.31496062992125984"/>
  <pageSetup paperSize="9" firstPageNumber="179" fitToHeight="5" orientation="landscape"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zoomScale="130" zoomScaleNormal="130" workbookViewId="0">
      <selection sqref="A1:XFD1048576"/>
    </sheetView>
  </sheetViews>
  <sheetFormatPr defaultColWidth="6.5" defaultRowHeight="8.25"/>
  <cols>
    <col min="1" max="1" width="5.5" style="649" customWidth="1"/>
    <col min="2" max="2" width="6.5" style="648" customWidth="1"/>
    <col min="3" max="3" width="45.5" style="648" customWidth="1"/>
    <col min="4" max="4" width="9.5" style="648" customWidth="1"/>
    <col min="5" max="5" width="11" style="648" customWidth="1"/>
    <col min="6" max="6" width="11.75" style="648" customWidth="1"/>
    <col min="7" max="7" width="11" style="648" customWidth="1"/>
    <col min="8" max="8" width="8.75" style="648" customWidth="1"/>
    <col min="9" max="10" width="11" style="648" customWidth="1"/>
    <col min="11" max="11" width="11.5" style="648" customWidth="1"/>
    <col min="12" max="12" width="11" style="648" customWidth="1"/>
    <col min="13" max="13" width="8.75" style="648" customWidth="1"/>
    <col min="14" max="15" width="11" style="648" customWidth="1"/>
    <col min="16" max="16" width="11.5" style="648" customWidth="1"/>
    <col min="17" max="17" width="11" style="648" customWidth="1"/>
    <col min="18" max="18" width="8.75" style="648" customWidth="1"/>
    <col min="19" max="20" width="11" style="648" customWidth="1"/>
    <col min="21" max="21" width="11.5" style="660" customWidth="1"/>
    <col min="22" max="22" width="11" style="648" customWidth="1"/>
    <col min="23" max="23" width="8.75" style="648" customWidth="1"/>
    <col min="24" max="24" width="11" style="648" customWidth="1"/>
    <col min="25" max="16384" width="6.5" style="648"/>
  </cols>
  <sheetData>
    <row r="1" spans="1:24" s="650" customFormat="1" ht="15.75">
      <c r="A1" s="1262" t="s">
        <v>1023</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653"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651" customFormat="1" ht="9.75" customHeight="1">
      <c r="A6" s="247" t="s">
        <v>0</v>
      </c>
      <c r="B6" s="1172" t="s">
        <v>1</v>
      </c>
      <c r="C6" s="1172"/>
      <c r="D6" s="248" t="s">
        <v>25</v>
      </c>
      <c r="E6" s="249">
        <f>SUM(E7:E9)</f>
        <v>75508513</v>
      </c>
      <c r="F6" s="250">
        <f>SUM(F7:F9)</f>
        <v>75605529</v>
      </c>
      <c r="G6" s="250">
        <f>SUM(G7:G9)</f>
        <v>75271727</v>
      </c>
      <c r="H6" s="251">
        <f t="shared" ref="H6:H32" si="0">G6/F6*100</f>
        <v>99.558495252377639</v>
      </c>
      <c r="I6" s="252">
        <f>SUM(I7:I9)</f>
        <v>67476848</v>
      </c>
      <c r="J6" s="249">
        <f>SUM(J7:J9)</f>
        <v>10250000</v>
      </c>
      <c r="K6" s="250">
        <f t="shared" ref="K6:V6" si="1">SUM(K7:K9)</f>
        <v>9428695</v>
      </c>
      <c r="L6" s="250">
        <f t="shared" si="1"/>
        <v>9125686</v>
      </c>
      <c r="M6" s="251">
        <f t="shared" ref="M6:M37" si="2">L6/K6*100</f>
        <v>96.786310300630149</v>
      </c>
      <c r="N6" s="250">
        <f t="shared" ref="N6" si="3">SUM(N7:N9)</f>
        <v>8501082</v>
      </c>
      <c r="O6" s="249">
        <f t="shared" si="1"/>
        <v>65258513</v>
      </c>
      <c r="P6" s="250">
        <f t="shared" si="1"/>
        <v>66176834</v>
      </c>
      <c r="Q6" s="250">
        <f t="shared" si="1"/>
        <v>66146041</v>
      </c>
      <c r="R6" s="251">
        <f t="shared" ref="R6:R28" si="4">Q6/P6*100</f>
        <v>99.953468611085256</v>
      </c>
      <c r="S6" s="250">
        <f t="shared" ref="S6" si="5">SUM(S7:S9)</f>
        <v>58975766</v>
      </c>
      <c r="T6" s="249">
        <f t="shared" si="1"/>
        <v>722000</v>
      </c>
      <c r="U6" s="250">
        <f t="shared" si="1"/>
        <v>722000</v>
      </c>
      <c r="V6" s="250">
        <f t="shared" si="1"/>
        <v>525679</v>
      </c>
      <c r="W6" s="251">
        <f t="shared" ref="W6:W37" si="6">V6/U6*100</f>
        <v>72.808725761772848</v>
      </c>
      <c r="X6" s="250">
        <f t="shared" ref="X6" si="7">SUM(X7:X9)</f>
        <v>434618</v>
      </c>
    </row>
    <row r="7" spans="1:24" s="651" customFormat="1" ht="9.75">
      <c r="A7" s="710" t="s">
        <v>2</v>
      </c>
      <c r="B7" s="1160" t="s">
        <v>44</v>
      </c>
      <c r="C7" s="1160"/>
      <c r="D7" s="245" t="s">
        <v>25</v>
      </c>
      <c r="E7" s="681">
        <f t="shared" ref="E7:G10" si="8">SUM(J7,O7)</f>
        <v>5449200</v>
      </c>
      <c r="F7" s="663">
        <f t="shared" si="8"/>
        <v>4043805</v>
      </c>
      <c r="G7" s="663">
        <f t="shared" si="8"/>
        <v>3811690</v>
      </c>
      <c r="H7" s="664">
        <f t="shared" si="0"/>
        <v>94.259985335593583</v>
      </c>
      <c r="I7" s="682">
        <f>SUM(N7,S7)</f>
        <v>2669936</v>
      </c>
      <c r="J7" s="702">
        <v>5449200</v>
      </c>
      <c r="K7" s="665">
        <v>4005195</v>
      </c>
      <c r="L7" s="665">
        <v>3773081</v>
      </c>
      <c r="M7" s="664">
        <f t="shared" si="2"/>
        <v>94.204676676166827</v>
      </c>
      <c r="N7" s="665">
        <v>2669936</v>
      </c>
      <c r="O7" s="695"/>
      <c r="P7" s="665">
        <v>38610</v>
      </c>
      <c r="Q7" s="665">
        <v>38609</v>
      </c>
      <c r="R7" s="664">
        <f>Q7/P7*100</f>
        <v>99.997409997410003</v>
      </c>
      <c r="S7" s="665"/>
      <c r="T7" s="679">
        <v>722000</v>
      </c>
      <c r="U7" s="665">
        <v>722000</v>
      </c>
      <c r="V7" s="665">
        <v>525679</v>
      </c>
      <c r="W7" s="664">
        <f t="shared" si="6"/>
        <v>72.808725761772848</v>
      </c>
      <c r="X7" s="665">
        <v>434618</v>
      </c>
    </row>
    <row r="8" spans="1:24" s="651" customFormat="1" ht="9.75">
      <c r="A8" s="712" t="s">
        <v>3</v>
      </c>
      <c r="B8" s="1173" t="s">
        <v>45</v>
      </c>
      <c r="C8" s="1173"/>
      <c r="D8" s="245" t="s">
        <v>25</v>
      </c>
      <c r="E8" s="681">
        <f t="shared" si="8"/>
        <v>800</v>
      </c>
      <c r="F8" s="663">
        <f t="shared" si="8"/>
        <v>800</v>
      </c>
      <c r="G8" s="663">
        <f t="shared" si="8"/>
        <v>3161</v>
      </c>
      <c r="H8" s="664">
        <f t="shared" si="0"/>
        <v>395.125</v>
      </c>
      <c r="I8" s="682">
        <f>SUM(N8,S8)</f>
        <v>3506</v>
      </c>
      <c r="J8" s="703">
        <v>800</v>
      </c>
      <c r="K8" s="663">
        <v>800</v>
      </c>
      <c r="L8" s="663">
        <v>3161</v>
      </c>
      <c r="M8" s="664">
        <f t="shared" si="2"/>
        <v>395.125</v>
      </c>
      <c r="N8" s="663">
        <v>3506</v>
      </c>
      <c r="O8" s="696"/>
      <c r="P8" s="663"/>
      <c r="Q8" s="663"/>
      <c r="R8" s="664">
        <v>0</v>
      </c>
      <c r="S8" s="663"/>
      <c r="T8" s="681"/>
      <c r="U8" s="663"/>
      <c r="V8" s="663"/>
      <c r="W8" s="664">
        <v>0</v>
      </c>
      <c r="X8" s="663"/>
    </row>
    <row r="9" spans="1:24" s="651" customFormat="1" ht="9.75">
      <c r="A9" s="712" t="s">
        <v>4</v>
      </c>
      <c r="B9" s="187" t="s">
        <v>60</v>
      </c>
      <c r="C9" s="673"/>
      <c r="D9" s="245" t="s">
        <v>25</v>
      </c>
      <c r="E9" s="681">
        <f t="shared" si="8"/>
        <v>70058513</v>
      </c>
      <c r="F9" s="663">
        <f t="shared" si="8"/>
        <v>71560924</v>
      </c>
      <c r="G9" s="663">
        <f t="shared" si="8"/>
        <v>71456876</v>
      </c>
      <c r="H9" s="664">
        <f t="shared" si="0"/>
        <v>99.854602212794234</v>
      </c>
      <c r="I9" s="682">
        <f>SUM(N9,S9)</f>
        <v>64803406</v>
      </c>
      <c r="J9" s="703">
        <v>4800000</v>
      </c>
      <c r="K9" s="663">
        <v>5422700</v>
      </c>
      <c r="L9" s="663">
        <v>5349444</v>
      </c>
      <c r="M9" s="664">
        <f t="shared" si="2"/>
        <v>98.649086248547775</v>
      </c>
      <c r="N9" s="663">
        <v>5827640</v>
      </c>
      <c r="O9" s="696">
        <v>65258513</v>
      </c>
      <c r="P9" s="663">
        <v>66138224</v>
      </c>
      <c r="Q9" s="663">
        <v>66107432</v>
      </c>
      <c r="R9" s="664">
        <f t="shared" si="4"/>
        <v>99.953442959097288</v>
      </c>
      <c r="S9" s="663">
        <v>58975766</v>
      </c>
      <c r="T9" s="681"/>
      <c r="U9" s="663"/>
      <c r="V9" s="663"/>
      <c r="W9" s="664">
        <v>0</v>
      </c>
      <c r="X9" s="663"/>
    </row>
    <row r="10" spans="1:24" s="651" customFormat="1" ht="9.75">
      <c r="A10" s="708" t="s">
        <v>5</v>
      </c>
      <c r="B10" s="1158" t="s">
        <v>7</v>
      </c>
      <c r="C10" s="1158"/>
      <c r="D10" s="245" t="s">
        <v>25</v>
      </c>
      <c r="E10" s="683">
        <f t="shared" si="8"/>
        <v>0</v>
      </c>
      <c r="F10" s="662">
        <f t="shared" si="8"/>
        <v>0</v>
      </c>
      <c r="G10" s="662">
        <f t="shared" si="8"/>
        <v>0</v>
      </c>
      <c r="H10" s="658">
        <v>0</v>
      </c>
      <c r="I10" s="684">
        <f>SUM(N10,S10)</f>
        <v>0</v>
      </c>
      <c r="J10" s="704"/>
      <c r="K10" s="662"/>
      <c r="L10" s="662"/>
      <c r="M10" s="658">
        <v>0</v>
      </c>
      <c r="N10" s="662">
        <v>0</v>
      </c>
      <c r="O10" s="697"/>
      <c r="P10" s="662"/>
      <c r="Q10" s="662"/>
      <c r="R10" s="658">
        <v>0</v>
      </c>
      <c r="S10" s="662"/>
      <c r="T10" s="683"/>
      <c r="U10" s="662"/>
      <c r="V10" s="662"/>
      <c r="W10" s="658">
        <v>0</v>
      </c>
      <c r="X10" s="662"/>
    </row>
    <row r="11" spans="1:24" s="651" customFormat="1" ht="9.75">
      <c r="A11" s="708" t="s">
        <v>6</v>
      </c>
      <c r="B11" s="1158" t="s">
        <v>9</v>
      </c>
      <c r="C11" s="1158"/>
      <c r="D11" s="245" t="s">
        <v>25</v>
      </c>
      <c r="E11" s="677">
        <f>SUM(E12:E32)</f>
        <v>75508513</v>
      </c>
      <c r="F11" s="677">
        <f t="shared" ref="F11:G11" si="9">SUM(F12:F32)</f>
        <v>75605529</v>
      </c>
      <c r="G11" s="677">
        <f t="shared" si="9"/>
        <v>75269013.120000005</v>
      </c>
      <c r="H11" s="658">
        <f t="shared" si="0"/>
        <v>99.554905726537541</v>
      </c>
      <c r="I11" s="684">
        <f>SUM(N11,S11)</f>
        <v>67477704</v>
      </c>
      <c r="J11" s="677">
        <f>SUM(J12:J32)</f>
        <v>10250000</v>
      </c>
      <c r="K11" s="677">
        <f t="shared" ref="K11:L11" si="10">SUM(K12:K32)</f>
        <v>9428695</v>
      </c>
      <c r="L11" s="677">
        <f t="shared" si="10"/>
        <v>9122972</v>
      </c>
      <c r="M11" s="658">
        <f t="shared" si="2"/>
        <v>96.757525829396329</v>
      </c>
      <c r="N11" s="677">
        <f t="shared" ref="N11" si="11">SUM(N12:N32)</f>
        <v>8501938</v>
      </c>
      <c r="O11" s="694">
        <f>SUM(O12:O32)</f>
        <v>65258513</v>
      </c>
      <c r="P11" s="694">
        <f t="shared" ref="P11:Q11" si="12">SUM(P12:P32)</f>
        <v>66176834</v>
      </c>
      <c r="Q11" s="677">
        <f t="shared" si="12"/>
        <v>66146041.119999997</v>
      </c>
      <c r="R11" s="658">
        <f t="shared" si="4"/>
        <v>99.953468792417596</v>
      </c>
      <c r="S11" s="677">
        <f t="shared" ref="S11:U11" si="13">SUM(S12:S32)</f>
        <v>58975766</v>
      </c>
      <c r="T11" s="661">
        <f t="shared" si="13"/>
        <v>614000</v>
      </c>
      <c r="U11" s="661">
        <f t="shared" si="13"/>
        <v>614000</v>
      </c>
      <c r="V11" s="661">
        <f>SUM(V12:V31)</f>
        <v>348164</v>
      </c>
      <c r="W11" s="658">
        <f t="shared" si="6"/>
        <v>56.704234527687291</v>
      </c>
      <c r="X11" s="677">
        <f t="shared" ref="X11" si="14">SUM(X12:X32)</f>
        <v>289957</v>
      </c>
    </row>
    <row r="12" spans="1:24" s="651" customFormat="1" ht="9.75">
      <c r="A12" s="232" t="s">
        <v>8</v>
      </c>
      <c r="B12" s="1159" t="s">
        <v>28</v>
      </c>
      <c r="C12" s="1159"/>
      <c r="D12" s="245" t="s">
        <v>25</v>
      </c>
      <c r="E12" s="681">
        <f>SUM(J12,O12)</f>
        <v>5741063</v>
      </c>
      <c r="F12" s="663">
        <f t="shared" ref="E12:I28" si="15">SUM(K12,P12)</f>
        <v>4481263</v>
      </c>
      <c r="G12" s="663">
        <f t="shared" si="15"/>
        <v>4385593</v>
      </c>
      <c r="H12" s="664">
        <f t="shared" si="0"/>
        <v>97.865110795773418</v>
      </c>
      <c r="I12" s="682">
        <f t="shared" si="15"/>
        <v>3201073</v>
      </c>
      <c r="J12" s="705">
        <v>5341063</v>
      </c>
      <c r="K12" s="666">
        <v>3781263</v>
      </c>
      <c r="L12" s="666">
        <v>3694814</v>
      </c>
      <c r="M12" s="664">
        <f t="shared" si="2"/>
        <v>97.713753314699346</v>
      </c>
      <c r="N12" s="666">
        <v>3007682</v>
      </c>
      <c r="O12" s="698">
        <v>400000</v>
      </c>
      <c r="P12" s="666">
        <v>700000</v>
      </c>
      <c r="Q12" s="666">
        <v>690779</v>
      </c>
      <c r="R12" s="664">
        <f t="shared" si="4"/>
        <v>98.682714285714297</v>
      </c>
      <c r="S12" s="666">
        <v>193391</v>
      </c>
      <c r="T12" s="685">
        <v>50084</v>
      </c>
      <c r="U12" s="666">
        <v>31084</v>
      </c>
      <c r="V12" s="666">
        <v>30939</v>
      </c>
      <c r="W12" s="664">
        <f t="shared" si="6"/>
        <v>99.533522069231765</v>
      </c>
      <c r="X12" s="666">
        <v>24525</v>
      </c>
    </row>
    <row r="13" spans="1:24" s="651" customFormat="1" ht="9.75">
      <c r="A13" s="710" t="s">
        <v>10</v>
      </c>
      <c r="B13" s="1160" t="s">
        <v>29</v>
      </c>
      <c r="C13" s="1160"/>
      <c r="D13" s="245" t="s">
        <v>25</v>
      </c>
      <c r="E13" s="681">
        <f t="shared" si="15"/>
        <v>2522000</v>
      </c>
      <c r="F13" s="663">
        <f t="shared" si="15"/>
        <v>2272000</v>
      </c>
      <c r="G13" s="663">
        <f t="shared" si="15"/>
        <v>2218020</v>
      </c>
      <c r="H13" s="664">
        <f t="shared" si="0"/>
        <v>97.624119718309856</v>
      </c>
      <c r="I13" s="682">
        <f t="shared" si="15"/>
        <v>1758332</v>
      </c>
      <c r="J13" s="705">
        <v>2522000</v>
      </c>
      <c r="K13" s="663">
        <v>2272000</v>
      </c>
      <c r="L13" s="663">
        <v>2218020</v>
      </c>
      <c r="M13" s="664">
        <f t="shared" si="2"/>
        <v>97.624119718309856</v>
      </c>
      <c r="N13" s="663">
        <v>1758332</v>
      </c>
      <c r="O13" s="696"/>
      <c r="P13" s="663"/>
      <c r="Q13" s="663"/>
      <c r="R13" s="664">
        <v>0</v>
      </c>
      <c r="S13" s="663"/>
      <c r="T13" s="681">
        <v>333000</v>
      </c>
      <c r="U13" s="663">
        <v>333000</v>
      </c>
      <c r="V13" s="663">
        <v>154074</v>
      </c>
      <c r="W13" s="664">
        <f t="shared" si="6"/>
        <v>46.26846846846847</v>
      </c>
      <c r="X13" s="663">
        <v>135989</v>
      </c>
    </row>
    <row r="14" spans="1:24" s="651" customFormat="1" ht="9.75">
      <c r="A14" s="710" t="s">
        <v>11</v>
      </c>
      <c r="B14" s="672" t="s">
        <v>61</v>
      </c>
      <c r="C14" s="672"/>
      <c r="D14" s="245" t="s">
        <v>25</v>
      </c>
      <c r="E14" s="681">
        <f t="shared" si="15"/>
        <v>0</v>
      </c>
      <c r="F14" s="663">
        <f t="shared" si="15"/>
        <v>-23400</v>
      </c>
      <c r="G14" s="663">
        <f t="shared" si="15"/>
        <v>-23344</v>
      </c>
      <c r="H14" s="664">
        <f t="shared" si="0"/>
        <v>99.760683760683762</v>
      </c>
      <c r="I14" s="682">
        <f t="shared" si="15"/>
        <v>-51680</v>
      </c>
      <c r="J14" s="705"/>
      <c r="K14" s="663">
        <v>-23400</v>
      </c>
      <c r="L14" s="663">
        <v>-23344</v>
      </c>
      <c r="M14" s="664">
        <f t="shared" si="2"/>
        <v>99.760683760683762</v>
      </c>
      <c r="N14" s="663">
        <v>-51680</v>
      </c>
      <c r="O14" s="696"/>
      <c r="P14" s="663"/>
      <c r="Q14" s="663"/>
      <c r="R14" s="664">
        <v>0</v>
      </c>
      <c r="S14" s="663"/>
      <c r="T14" s="681"/>
      <c r="U14" s="663"/>
      <c r="V14" s="663"/>
      <c r="W14" s="664">
        <v>0</v>
      </c>
      <c r="X14" s="663"/>
    </row>
    <row r="15" spans="1:24" s="651" customFormat="1" ht="9.75">
      <c r="A15" s="710" t="s">
        <v>12</v>
      </c>
      <c r="B15" s="1160" t="s">
        <v>62</v>
      </c>
      <c r="C15" s="1160"/>
      <c r="D15" s="245" t="s">
        <v>25</v>
      </c>
      <c r="E15" s="681">
        <f t="shared" si="15"/>
        <v>275000</v>
      </c>
      <c r="F15" s="663">
        <f t="shared" si="15"/>
        <v>881000</v>
      </c>
      <c r="G15" s="663">
        <f t="shared" si="15"/>
        <v>863528</v>
      </c>
      <c r="H15" s="664">
        <f t="shared" si="0"/>
        <v>98.016799091940982</v>
      </c>
      <c r="I15" s="682">
        <f t="shared" si="15"/>
        <v>1512054</v>
      </c>
      <c r="J15" s="705">
        <v>275000</v>
      </c>
      <c r="K15" s="663">
        <v>881000</v>
      </c>
      <c r="L15" s="663">
        <v>863528</v>
      </c>
      <c r="M15" s="664">
        <f t="shared" si="2"/>
        <v>98.016799091940982</v>
      </c>
      <c r="N15" s="667">
        <v>1512054</v>
      </c>
      <c r="O15" s="699"/>
      <c r="P15" s="667"/>
      <c r="Q15" s="667"/>
      <c r="R15" s="664">
        <v>0</v>
      </c>
      <c r="S15" s="667"/>
      <c r="T15" s="222">
        <v>15000</v>
      </c>
      <c r="U15" s="667">
        <v>36000</v>
      </c>
      <c r="V15" s="667">
        <v>35852</v>
      </c>
      <c r="W15" s="664">
        <f t="shared" si="6"/>
        <v>99.588888888888889</v>
      </c>
      <c r="X15" s="667">
        <v>23714</v>
      </c>
    </row>
    <row r="16" spans="1:24" s="651" customFormat="1" ht="9.75">
      <c r="A16" s="710" t="s">
        <v>13</v>
      </c>
      <c r="B16" s="1160" t="s">
        <v>30</v>
      </c>
      <c r="C16" s="1160"/>
      <c r="D16" s="245" t="s">
        <v>25</v>
      </c>
      <c r="E16" s="681">
        <f t="shared" si="15"/>
        <v>46000</v>
      </c>
      <c r="F16" s="663">
        <f t="shared" si="15"/>
        <v>16000</v>
      </c>
      <c r="G16" s="663">
        <f t="shared" si="15"/>
        <v>13531</v>
      </c>
      <c r="H16" s="664">
        <f t="shared" si="0"/>
        <v>84.568750000000009</v>
      </c>
      <c r="I16" s="682">
        <f t="shared" si="15"/>
        <v>33441</v>
      </c>
      <c r="J16" s="705">
        <v>6000</v>
      </c>
      <c r="K16" s="663">
        <v>6000</v>
      </c>
      <c r="L16" s="663">
        <v>3878</v>
      </c>
      <c r="M16" s="664">
        <f t="shared" si="2"/>
        <v>64.633333333333326</v>
      </c>
      <c r="N16" s="667">
        <v>4214</v>
      </c>
      <c r="O16" s="699">
        <v>40000</v>
      </c>
      <c r="P16" s="667">
        <v>10000</v>
      </c>
      <c r="Q16" s="667">
        <v>9653</v>
      </c>
      <c r="R16" s="664">
        <f t="shared" si="4"/>
        <v>96.53</v>
      </c>
      <c r="S16" s="667">
        <v>29227</v>
      </c>
      <c r="T16" s="222"/>
      <c r="U16" s="667"/>
      <c r="V16" s="667"/>
      <c r="W16" s="664">
        <v>0</v>
      </c>
      <c r="X16" s="667"/>
    </row>
    <row r="17" spans="1:24" s="651" customFormat="1" ht="9.75">
      <c r="A17" s="710" t="s">
        <v>14</v>
      </c>
      <c r="B17" s="672" t="s">
        <v>46</v>
      </c>
      <c r="C17" s="672"/>
      <c r="D17" s="245" t="s">
        <v>25</v>
      </c>
      <c r="E17" s="681">
        <f t="shared" si="15"/>
        <v>8000</v>
      </c>
      <c r="F17" s="663">
        <f t="shared" si="15"/>
        <v>8000</v>
      </c>
      <c r="G17" s="663">
        <f t="shared" si="15"/>
        <v>7052</v>
      </c>
      <c r="H17" s="664">
        <f t="shared" si="0"/>
        <v>88.149999999999991</v>
      </c>
      <c r="I17" s="682">
        <f t="shared" si="15"/>
        <v>7787</v>
      </c>
      <c r="J17" s="705">
        <v>8000</v>
      </c>
      <c r="K17" s="663">
        <v>8000</v>
      </c>
      <c r="L17" s="663">
        <v>7052</v>
      </c>
      <c r="M17" s="664">
        <f t="shared" si="2"/>
        <v>88.149999999999991</v>
      </c>
      <c r="N17" s="667">
        <v>7787</v>
      </c>
      <c r="O17" s="699"/>
      <c r="P17" s="667"/>
      <c r="Q17" s="667"/>
      <c r="R17" s="664">
        <v>0</v>
      </c>
      <c r="S17" s="667"/>
      <c r="T17" s="222"/>
      <c r="U17" s="667"/>
      <c r="V17" s="667"/>
      <c r="W17" s="664">
        <v>0</v>
      </c>
      <c r="X17" s="667"/>
    </row>
    <row r="18" spans="1:24" s="651" customFormat="1" ht="9.75">
      <c r="A18" s="710" t="s">
        <v>15</v>
      </c>
      <c r="B18" s="1160" t="s">
        <v>31</v>
      </c>
      <c r="C18" s="1160"/>
      <c r="D18" s="245" t="s">
        <v>25</v>
      </c>
      <c r="E18" s="681">
        <f t="shared" si="15"/>
        <v>636000</v>
      </c>
      <c r="F18" s="663">
        <f t="shared" si="15"/>
        <v>602000</v>
      </c>
      <c r="G18" s="663">
        <f t="shared" si="15"/>
        <v>588167</v>
      </c>
      <c r="H18" s="664">
        <f t="shared" si="0"/>
        <v>97.702159468438538</v>
      </c>
      <c r="I18" s="682">
        <f t="shared" si="15"/>
        <v>631297</v>
      </c>
      <c r="J18" s="705">
        <v>586000</v>
      </c>
      <c r="K18" s="663">
        <v>530000</v>
      </c>
      <c r="L18" s="663">
        <v>517842</v>
      </c>
      <c r="M18" s="664">
        <f t="shared" si="2"/>
        <v>97.706037735849065</v>
      </c>
      <c r="N18" s="667">
        <v>581862</v>
      </c>
      <c r="O18" s="699">
        <v>50000</v>
      </c>
      <c r="P18" s="667">
        <v>72000</v>
      </c>
      <c r="Q18" s="667">
        <v>70325</v>
      </c>
      <c r="R18" s="664">
        <f t="shared" si="4"/>
        <v>97.673611111111114</v>
      </c>
      <c r="S18" s="667">
        <v>49435</v>
      </c>
      <c r="T18" s="222">
        <v>36000</v>
      </c>
      <c r="U18" s="667">
        <v>34000</v>
      </c>
      <c r="V18" s="667">
        <v>16756</v>
      </c>
      <c r="W18" s="664">
        <f t="shared" si="6"/>
        <v>49.28235294117647</v>
      </c>
      <c r="X18" s="667">
        <v>17411</v>
      </c>
    </row>
    <row r="19" spans="1:24" s="654" customFormat="1" ht="9.75">
      <c r="A19" s="710" t="s">
        <v>16</v>
      </c>
      <c r="B19" s="1160" t="s">
        <v>32</v>
      </c>
      <c r="C19" s="1160"/>
      <c r="D19" s="245" t="s">
        <v>25</v>
      </c>
      <c r="E19" s="681">
        <f t="shared" si="15"/>
        <v>47360685</v>
      </c>
      <c r="F19" s="663">
        <f t="shared" si="15"/>
        <v>48216137</v>
      </c>
      <c r="G19" s="663">
        <f t="shared" si="15"/>
        <v>48087831</v>
      </c>
      <c r="H19" s="664">
        <f t="shared" si="0"/>
        <v>99.733894069531118</v>
      </c>
      <c r="I19" s="682">
        <f t="shared" si="15"/>
        <v>42778639</v>
      </c>
      <c r="J19" s="706">
        <v>281906</v>
      </c>
      <c r="K19" s="663">
        <v>278041</v>
      </c>
      <c r="L19" s="663">
        <v>169285</v>
      </c>
      <c r="M19" s="664">
        <f t="shared" si="2"/>
        <v>60.884905463582704</v>
      </c>
      <c r="N19" s="667">
        <v>187975</v>
      </c>
      <c r="O19" s="699">
        <f>46390779+688000</f>
        <v>47078779</v>
      </c>
      <c r="P19" s="667">
        <v>47938096</v>
      </c>
      <c r="Q19" s="667">
        <v>47918546</v>
      </c>
      <c r="R19" s="664">
        <f t="shared" si="4"/>
        <v>99.959218238454866</v>
      </c>
      <c r="S19" s="667">
        <v>42590664</v>
      </c>
      <c r="T19" s="738">
        <v>70000</v>
      </c>
      <c r="U19" s="741">
        <v>68730</v>
      </c>
      <c r="V19" s="741">
        <v>42067</v>
      </c>
      <c r="W19" s="664">
        <f t="shared" si="6"/>
        <v>61.20616906736506</v>
      </c>
      <c r="X19" s="741">
        <v>35302</v>
      </c>
    </row>
    <row r="20" spans="1:24" s="651" customFormat="1" ht="9.75">
      <c r="A20" s="710" t="s">
        <v>17</v>
      </c>
      <c r="B20" s="1160" t="s">
        <v>47</v>
      </c>
      <c r="C20" s="1160"/>
      <c r="D20" s="245" t="s">
        <v>25</v>
      </c>
      <c r="E20" s="681">
        <f t="shared" si="15"/>
        <v>15988514</v>
      </c>
      <c r="F20" s="663">
        <f t="shared" si="15"/>
        <v>16202495</v>
      </c>
      <c r="G20" s="663">
        <f t="shared" si="15"/>
        <v>16188370</v>
      </c>
      <c r="H20" s="664">
        <f t="shared" si="0"/>
        <v>99.912822068453039</v>
      </c>
      <c r="I20" s="682">
        <f t="shared" si="15"/>
        <v>14523194</v>
      </c>
      <c r="J20" s="705">
        <v>26780</v>
      </c>
      <c r="K20" s="663">
        <v>30645</v>
      </c>
      <c r="L20" s="663">
        <v>16520</v>
      </c>
      <c r="M20" s="664">
        <f t="shared" si="2"/>
        <v>53.907652145537611</v>
      </c>
      <c r="N20" s="667">
        <v>25165</v>
      </c>
      <c r="O20" s="699">
        <v>15961734</v>
      </c>
      <c r="P20" s="667">
        <v>16171850</v>
      </c>
      <c r="Q20" s="667">
        <v>16171850</v>
      </c>
      <c r="R20" s="664">
        <f t="shared" si="4"/>
        <v>100</v>
      </c>
      <c r="S20" s="667">
        <v>14498029</v>
      </c>
      <c r="T20" s="222"/>
      <c r="U20" s="667">
        <v>1100</v>
      </c>
      <c r="V20" s="667">
        <v>1095</v>
      </c>
      <c r="W20" s="664">
        <f t="shared" si="6"/>
        <v>99.545454545454547</v>
      </c>
      <c r="X20" s="667"/>
    </row>
    <row r="21" spans="1:24" s="651" customFormat="1" ht="9.75">
      <c r="A21" s="710" t="s">
        <v>18</v>
      </c>
      <c r="B21" s="1160" t="s">
        <v>48</v>
      </c>
      <c r="C21" s="1160"/>
      <c r="D21" s="245" t="s">
        <v>25</v>
      </c>
      <c r="E21" s="681">
        <f t="shared" si="15"/>
        <v>996700</v>
      </c>
      <c r="F21" s="663">
        <f t="shared" si="15"/>
        <v>1082210</v>
      </c>
      <c r="G21" s="663">
        <f t="shared" si="15"/>
        <v>1082210.1200000001</v>
      </c>
      <c r="H21" s="664">
        <f t="shared" si="0"/>
        <v>100.00001108842093</v>
      </c>
      <c r="I21" s="682">
        <f t="shared" si="15"/>
        <v>893590</v>
      </c>
      <c r="J21" s="705">
        <v>6700</v>
      </c>
      <c r="K21" s="663">
        <v>61700</v>
      </c>
      <c r="L21" s="663">
        <v>61700</v>
      </c>
      <c r="M21" s="664">
        <f t="shared" si="2"/>
        <v>100</v>
      </c>
      <c r="N21" s="667">
        <v>69084</v>
      </c>
      <c r="O21" s="699">
        <v>990000</v>
      </c>
      <c r="P21" s="667">
        <v>1020510</v>
      </c>
      <c r="Q21" s="667">
        <v>1020510.12</v>
      </c>
      <c r="R21" s="664">
        <f t="shared" si="4"/>
        <v>100.00001175882647</v>
      </c>
      <c r="S21" s="667">
        <v>824506</v>
      </c>
      <c r="T21" s="222"/>
      <c r="U21" s="667">
        <v>170</v>
      </c>
      <c r="V21" s="667">
        <v>165</v>
      </c>
      <c r="W21" s="664">
        <f t="shared" si="6"/>
        <v>97.058823529411768</v>
      </c>
      <c r="X21" s="667"/>
    </row>
    <row r="22" spans="1:24" s="651" customFormat="1" ht="9.75">
      <c r="A22" s="710" t="s">
        <v>19</v>
      </c>
      <c r="B22" s="1160" t="s">
        <v>63</v>
      </c>
      <c r="C22" s="1160"/>
      <c r="D22" s="245" t="s">
        <v>25</v>
      </c>
      <c r="E22" s="681">
        <f t="shared" si="15"/>
        <v>0</v>
      </c>
      <c r="F22" s="663">
        <f t="shared" si="15"/>
        <v>0</v>
      </c>
      <c r="G22" s="663">
        <f t="shared" si="15"/>
        <v>0</v>
      </c>
      <c r="H22" s="664">
        <v>0</v>
      </c>
      <c r="I22" s="682">
        <f t="shared" si="15"/>
        <v>0</v>
      </c>
      <c r="J22" s="705"/>
      <c r="K22" s="663"/>
      <c r="L22" s="663"/>
      <c r="M22" s="664">
        <v>0</v>
      </c>
      <c r="N22" s="667"/>
      <c r="O22" s="699"/>
      <c r="P22" s="667"/>
      <c r="Q22" s="667"/>
      <c r="R22" s="664">
        <v>0</v>
      </c>
      <c r="S22" s="667"/>
      <c r="T22" s="222"/>
      <c r="U22" s="667"/>
      <c r="V22" s="667"/>
      <c r="W22" s="664">
        <v>0</v>
      </c>
      <c r="X22" s="667"/>
    </row>
    <row r="23" spans="1:24" s="651" customFormat="1" ht="9.75">
      <c r="A23" s="710" t="s">
        <v>20</v>
      </c>
      <c r="B23" s="672" t="s">
        <v>64</v>
      </c>
      <c r="C23" s="672"/>
      <c r="D23" s="245" t="s">
        <v>25</v>
      </c>
      <c r="E23" s="681">
        <f t="shared" si="15"/>
        <v>0</v>
      </c>
      <c r="F23" s="663">
        <f t="shared" si="15"/>
        <v>0</v>
      </c>
      <c r="G23" s="663">
        <f t="shared" si="15"/>
        <v>0</v>
      </c>
      <c r="H23" s="664">
        <v>0</v>
      </c>
      <c r="I23" s="682">
        <f t="shared" si="15"/>
        <v>0</v>
      </c>
      <c r="J23" s="705"/>
      <c r="K23" s="663"/>
      <c r="L23" s="663"/>
      <c r="M23" s="664">
        <v>0</v>
      </c>
      <c r="N23" s="667"/>
      <c r="O23" s="699"/>
      <c r="P23" s="667"/>
      <c r="Q23" s="667"/>
      <c r="R23" s="664">
        <v>0</v>
      </c>
      <c r="S23" s="667"/>
      <c r="T23" s="222"/>
      <c r="U23" s="667"/>
      <c r="V23" s="667"/>
      <c r="W23" s="664">
        <v>0</v>
      </c>
      <c r="X23" s="667"/>
    </row>
    <row r="24" spans="1:24" s="651" customFormat="1" ht="9.75">
      <c r="A24" s="710" t="s">
        <v>21</v>
      </c>
      <c r="B24" s="672" t="s">
        <v>71</v>
      </c>
      <c r="C24" s="672"/>
      <c r="D24" s="245" t="s">
        <v>25</v>
      </c>
      <c r="E24" s="681">
        <f t="shared" si="15"/>
        <v>0</v>
      </c>
      <c r="F24" s="663">
        <f t="shared" si="15"/>
        <v>0</v>
      </c>
      <c r="G24" s="663">
        <f t="shared" si="15"/>
        <v>0</v>
      </c>
      <c r="H24" s="664">
        <v>0</v>
      </c>
      <c r="I24" s="682">
        <f t="shared" si="15"/>
        <v>0</v>
      </c>
      <c r="J24" s="705"/>
      <c r="K24" s="663"/>
      <c r="L24" s="663"/>
      <c r="M24" s="664">
        <v>0</v>
      </c>
      <c r="N24" s="667"/>
      <c r="O24" s="699"/>
      <c r="P24" s="667"/>
      <c r="Q24" s="667"/>
      <c r="R24" s="664">
        <v>0</v>
      </c>
      <c r="S24" s="667"/>
      <c r="T24" s="222"/>
      <c r="U24" s="667"/>
      <c r="V24" s="667"/>
      <c r="W24" s="664">
        <v>0</v>
      </c>
      <c r="X24" s="667"/>
    </row>
    <row r="25" spans="1:24" s="651" customFormat="1" ht="9.75">
      <c r="A25" s="232" t="s">
        <v>22</v>
      </c>
      <c r="B25" s="264" t="s">
        <v>66</v>
      </c>
      <c r="C25" s="264"/>
      <c r="D25" s="245" t="s">
        <v>25</v>
      </c>
      <c r="E25" s="681">
        <f t="shared" si="15"/>
        <v>25000</v>
      </c>
      <c r="F25" s="663">
        <f t="shared" si="15"/>
        <v>25000</v>
      </c>
      <c r="G25" s="663">
        <f t="shared" si="15"/>
        <v>16560</v>
      </c>
      <c r="H25" s="664">
        <f t="shared" si="0"/>
        <v>66.239999999999995</v>
      </c>
      <c r="I25" s="682">
        <f t="shared" si="15"/>
        <v>17430</v>
      </c>
      <c r="J25" s="705">
        <v>25000</v>
      </c>
      <c r="K25" s="666">
        <v>25000</v>
      </c>
      <c r="L25" s="666">
        <v>16560</v>
      </c>
      <c r="M25" s="664">
        <f t="shared" si="2"/>
        <v>66.239999999999995</v>
      </c>
      <c r="N25" s="666">
        <v>17430</v>
      </c>
      <c r="O25" s="698"/>
      <c r="P25" s="666"/>
      <c r="Q25" s="666"/>
      <c r="R25" s="664">
        <v>0</v>
      </c>
      <c r="S25" s="666"/>
      <c r="T25" s="685"/>
      <c r="U25" s="666"/>
      <c r="V25" s="666"/>
      <c r="W25" s="664">
        <v>0</v>
      </c>
      <c r="X25" s="666"/>
    </row>
    <row r="26" spans="1:24" s="655" customFormat="1" ht="9.75">
      <c r="A26" s="710" t="s">
        <v>23</v>
      </c>
      <c r="B26" s="1160" t="s">
        <v>67</v>
      </c>
      <c r="C26" s="1160"/>
      <c r="D26" s="245" t="s">
        <v>25</v>
      </c>
      <c r="E26" s="681">
        <f t="shared" si="15"/>
        <v>1068151</v>
      </c>
      <c r="F26" s="663">
        <f t="shared" si="15"/>
        <v>1147246</v>
      </c>
      <c r="G26" s="663">
        <f t="shared" si="15"/>
        <v>1147246</v>
      </c>
      <c r="H26" s="669">
        <f t="shared" si="0"/>
        <v>100</v>
      </c>
      <c r="I26" s="682">
        <f t="shared" si="15"/>
        <v>1125117</v>
      </c>
      <c r="J26" s="705">
        <v>1068151</v>
      </c>
      <c r="K26" s="667">
        <v>1147246</v>
      </c>
      <c r="L26" s="667">
        <v>1147246</v>
      </c>
      <c r="M26" s="664">
        <f t="shared" si="2"/>
        <v>100</v>
      </c>
      <c r="N26" s="667">
        <v>1125117</v>
      </c>
      <c r="O26" s="699"/>
      <c r="P26" s="667"/>
      <c r="Q26" s="667"/>
      <c r="R26" s="664">
        <v>0</v>
      </c>
      <c r="S26" s="667"/>
      <c r="T26" s="869">
        <v>109916</v>
      </c>
      <c r="U26" s="870">
        <v>109916</v>
      </c>
      <c r="V26" s="192">
        <v>67216</v>
      </c>
      <c r="W26" s="664">
        <f t="shared" si="6"/>
        <v>61.152152552858553</v>
      </c>
      <c r="X26" s="870">
        <v>53016</v>
      </c>
    </row>
    <row r="27" spans="1:24" s="656" customFormat="1" ht="9.75">
      <c r="A27" s="710" t="s">
        <v>43</v>
      </c>
      <c r="B27" s="672" t="s">
        <v>68</v>
      </c>
      <c r="C27" s="672"/>
      <c r="D27" s="245" t="s">
        <v>25</v>
      </c>
      <c r="E27" s="681">
        <f t="shared" si="15"/>
        <v>0</v>
      </c>
      <c r="F27" s="663">
        <f t="shared" si="15"/>
        <v>0</v>
      </c>
      <c r="G27" s="663">
        <f t="shared" si="15"/>
        <v>0</v>
      </c>
      <c r="H27" s="669">
        <v>0</v>
      </c>
      <c r="I27" s="682">
        <f t="shared" si="15"/>
        <v>0</v>
      </c>
      <c r="J27" s="705"/>
      <c r="K27" s="667"/>
      <c r="L27" s="667"/>
      <c r="M27" s="664">
        <v>0</v>
      </c>
      <c r="N27" s="667"/>
      <c r="O27" s="699"/>
      <c r="P27" s="667"/>
      <c r="Q27" s="667"/>
      <c r="R27" s="664">
        <v>0</v>
      </c>
      <c r="S27" s="667"/>
      <c r="T27" s="227"/>
      <c r="U27" s="192"/>
      <c r="V27" s="192"/>
      <c r="W27" s="664">
        <v>0</v>
      </c>
      <c r="X27" s="192"/>
    </row>
    <row r="28" spans="1:24" s="656" customFormat="1" ht="9.75">
      <c r="A28" s="710" t="s">
        <v>49</v>
      </c>
      <c r="B28" s="672" t="s">
        <v>72</v>
      </c>
      <c r="C28" s="672"/>
      <c r="D28" s="245" t="s">
        <v>25</v>
      </c>
      <c r="E28" s="681">
        <f t="shared" si="15"/>
        <v>838000</v>
      </c>
      <c r="F28" s="663">
        <f t="shared" si="15"/>
        <v>666178</v>
      </c>
      <c r="G28" s="663">
        <f t="shared" si="15"/>
        <v>665063</v>
      </c>
      <c r="H28" s="669">
        <f t="shared" si="0"/>
        <v>99.832627315822492</v>
      </c>
      <c r="I28" s="682">
        <f t="shared" si="15"/>
        <v>1039061</v>
      </c>
      <c r="J28" s="705">
        <v>100000</v>
      </c>
      <c r="K28" s="667">
        <v>401800</v>
      </c>
      <c r="L28" s="667">
        <v>400685</v>
      </c>
      <c r="M28" s="664">
        <f t="shared" si="2"/>
        <v>99.722498755599801</v>
      </c>
      <c r="N28" s="667">
        <v>248547</v>
      </c>
      <c r="O28" s="699">
        <v>738000</v>
      </c>
      <c r="P28" s="667">
        <v>264378</v>
      </c>
      <c r="Q28" s="667">
        <v>264378</v>
      </c>
      <c r="R28" s="664">
        <f t="shared" si="4"/>
        <v>100</v>
      </c>
      <c r="S28" s="667">
        <v>790514</v>
      </c>
      <c r="T28" s="227"/>
      <c r="U28" s="192"/>
      <c r="V28" s="192"/>
      <c r="W28" s="664">
        <v>0</v>
      </c>
      <c r="X28" s="192"/>
    </row>
    <row r="29" spans="1:24" s="655" customFormat="1" ht="9.75">
      <c r="A29" s="710" t="s">
        <v>50</v>
      </c>
      <c r="B29" s="1160" t="s">
        <v>65</v>
      </c>
      <c r="C29" s="1160"/>
      <c r="D29" s="245" t="s">
        <v>25</v>
      </c>
      <c r="E29" s="681">
        <f t="shared" ref="E29:G31" si="16">SUM(J29,O29)</f>
        <v>2600</v>
      </c>
      <c r="F29" s="663">
        <f t="shared" si="16"/>
        <v>28600</v>
      </c>
      <c r="G29" s="663">
        <f t="shared" si="16"/>
        <v>28585</v>
      </c>
      <c r="H29" s="669">
        <f t="shared" si="0"/>
        <v>99.94755244755244</v>
      </c>
      <c r="I29" s="682">
        <f>SUM(N29,S29)</f>
        <v>7703</v>
      </c>
      <c r="J29" s="705">
        <v>2600</v>
      </c>
      <c r="K29" s="667">
        <v>28600</v>
      </c>
      <c r="L29" s="667">
        <v>28585</v>
      </c>
      <c r="M29" s="664">
        <f t="shared" si="2"/>
        <v>99.94755244755244</v>
      </c>
      <c r="N29" s="667">
        <v>7703</v>
      </c>
      <c r="O29" s="699"/>
      <c r="P29" s="667"/>
      <c r="Q29" s="667"/>
      <c r="R29" s="664">
        <v>0</v>
      </c>
      <c r="S29" s="667"/>
      <c r="T29" s="227"/>
      <c r="U29" s="192"/>
      <c r="V29" s="192"/>
      <c r="W29" s="664">
        <v>0</v>
      </c>
      <c r="X29" s="192"/>
    </row>
    <row r="30" spans="1:24" s="651" customFormat="1" ht="9.75">
      <c r="A30" s="710" t="s">
        <v>52</v>
      </c>
      <c r="B30" s="672" t="s">
        <v>51</v>
      </c>
      <c r="C30" s="672"/>
      <c r="D30" s="245" t="s">
        <v>25</v>
      </c>
      <c r="E30" s="681">
        <f t="shared" si="16"/>
        <v>0</v>
      </c>
      <c r="F30" s="663">
        <f t="shared" si="16"/>
        <v>0</v>
      </c>
      <c r="G30" s="663">
        <f t="shared" si="16"/>
        <v>0</v>
      </c>
      <c r="H30" s="669">
        <v>0</v>
      </c>
      <c r="I30" s="682">
        <f>SUM(N30,S30)</f>
        <v>0</v>
      </c>
      <c r="J30" s="705"/>
      <c r="K30" s="667"/>
      <c r="L30" s="667"/>
      <c r="M30" s="664">
        <v>0</v>
      </c>
      <c r="N30" s="667"/>
      <c r="O30" s="699"/>
      <c r="P30" s="667"/>
      <c r="Q30" s="667"/>
      <c r="R30" s="664">
        <v>0</v>
      </c>
      <c r="S30" s="667"/>
      <c r="T30" s="227"/>
      <c r="U30" s="192"/>
      <c r="V30" s="192"/>
      <c r="W30" s="664">
        <v>0</v>
      </c>
      <c r="X30" s="192"/>
    </row>
    <row r="31" spans="1:24" s="659" customFormat="1" ht="9.75">
      <c r="A31" s="710" t="s">
        <v>53</v>
      </c>
      <c r="B31" s="672" t="s">
        <v>69</v>
      </c>
      <c r="C31" s="672"/>
      <c r="D31" s="245" t="s">
        <v>25</v>
      </c>
      <c r="E31" s="681">
        <f t="shared" si="16"/>
        <v>0</v>
      </c>
      <c r="F31" s="663">
        <f t="shared" si="16"/>
        <v>0</v>
      </c>
      <c r="G31" s="663">
        <f t="shared" si="16"/>
        <v>0</v>
      </c>
      <c r="H31" s="669">
        <v>0</v>
      </c>
      <c r="I31" s="682">
        <f>SUM(N31,S31)</f>
        <v>0</v>
      </c>
      <c r="J31" s="705"/>
      <c r="K31" s="670"/>
      <c r="L31" s="670"/>
      <c r="M31" s="664">
        <v>0</v>
      </c>
      <c r="N31" s="670"/>
      <c r="O31" s="700"/>
      <c r="P31" s="670"/>
      <c r="Q31" s="670"/>
      <c r="R31" s="664">
        <v>0</v>
      </c>
      <c r="S31" s="670"/>
      <c r="T31" s="690"/>
      <c r="U31" s="671"/>
      <c r="V31" s="671"/>
      <c r="W31" s="664">
        <v>0</v>
      </c>
      <c r="X31" s="671"/>
    </row>
    <row r="32" spans="1:24" s="659" customFormat="1" ht="9.75">
      <c r="A32" s="232" t="s">
        <v>54</v>
      </c>
      <c r="B32" s="264" t="s">
        <v>70</v>
      </c>
      <c r="C32" s="264"/>
      <c r="D32" s="245" t="s">
        <v>25</v>
      </c>
      <c r="E32" s="681">
        <f>SUM(J32,O32)</f>
        <v>800</v>
      </c>
      <c r="F32" s="663">
        <f>SUM(K32,P32)</f>
        <v>800</v>
      </c>
      <c r="G32" s="663">
        <f>SUM(L32,Q32)</f>
        <v>601</v>
      </c>
      <c r="H32" s="669">
        <f t="shared" si="0"/>
        <v>75.125</v>
      </c>
      <c r="I32" s="682">
        <f>SUM(N32,S32)</f>
        <v>666</v>
      </c>
      <c r="J32" s="707">
        <v>800</v>
      </c>
      <c r="K32" s="671">
        <v>800</v>
      </c>
      <c r="L32" s="671">
        <v>601</v>
      </c>
      <c r="M32" s="664">
        <f t="shared" si="2"/>
        <v>75.125</v>
      </c>
      <c r="N32" s="671">
        <v>666</v>
      </c>
      <c r="O32" s="701"/>
      <c r="P32" s="671"/>
      <c r="Q32" s="671"/>
      <c r="R32" s="664">
        <v>0</v>
      </c>
      <c r="S32" s="671"/>
      <c r="T32" s="690"/>
      <c r="U32" s="671"/>
      <c r="V32" s="671"/>
      <c r="W32" s="664">
        <v>0</v>
      </c>
      <c r="X32" s="671"/>
    </row>
    <row r="33" spans="1:24" s="659" customFormat="1" ht="9.75">
      <c r="A33" s="708" t="s">
        <v>55</v>
      </c>
      <c r="B33" s="746" t="s">
        <v>56</v>
      </c>
      <c r="C33" s="746"/>
      <c r="D33" s="245" t="s">
        <v>25</v>
      </c>
      <c r="E33" s="677">
        <f>E6-E11</f>
        <v>0</v>
      </c>
      <c r="F33" s="661">
        <f t="shared" ref="F33:G33" si="17">F6-F11</f>
        <v>0</v>
      </c>
      <c r="G33" s="661">
        <f t="shared" si="17"/>
        <v>2713.8799999952316</v>
      </c>
      <c r="H33" s="195">
        <v>0</v>
      </c>
      <c r="I33" s="678">
        <f t="shared" ref="I33:L33" si="18">I6-I11</f>
        <v>-856</v>
      </c>
      <c r="J33" s="677">
        <f t="shared" si="18"/>
        <v>0</v>
      </c>
      <c r="K33" s="661">
        <f t="shared" si="18"/>
        <v>0</v>
      </c>
      <c r="L33" s="661">
        <f t="shared" si="18"/>
        <v>2714</v>
      </c>
      <c r="M33" s="658">
        <v>0</v>
      </c>
      <c r="N33" s="661">
        <f t="shared" ref="N33:Q33" si="19">N6-N11</f>
        <v>-856</v>
      </c>
      <c r="O33" s="677">
        <f t="shared" si="19"/>
        <v>0</v>
      </c>
      <c r="P33" s="661">
        <f t="shared" si="19"/>
        <v>0</v>
      </c>
      <c r="Q33" s="661">
        <f t="shared" si="19"/>
        <v>-0.11999999731779099</v>
      </c>
      <c r="R33" s="658">
        <v>0</v>
      </c>
      <c r="S33" s="661">
        <f t="shared" ref="S33:V33" si="20">S6-S11</f>
        <v>0</v>
      </c>
      <c r="T33" s="677">
        <f t="shared" si="20"/>
        <v>108000</v>
      </c>
      <c r="U33" s="661">
        <f t="shared" si="20"/>
        <v>108000</v>
      </c>
      <c r="V33" s="661">
        <f t="shared" si="20"/>
        <v>177515</v>
      </c>
      <c r="W33" s="658">
        <f t="shared" si="6"/>
        <v>164.36574074074076</v>
      </c>
      <c r="X33" s="661">
        <f t="shared" ref="X33" si="21">X6-X11</f>
        <v>144661</v>
      </c>
    </row>
    <row r="34" spans="1:24" s="660" customFormat="1" ht="9.75">
      <c r="A34" s="713" t="s">
        <v>57</v>
      </c>
      <c r="B34" s="1157" t="s">
        <v>237</v>
      </c>
      <c r="C34" s="1157"/>
      <c r="D34" s="715" t="s">
        <v>25</v>
      </c>
      <c r="E34" s="233"/>
      <c r="F34" s="234"/>
      <c r="G34" s="234"/>
      <c r="H34" s="669">
        <v>0</v>
      </c>
      <c r="I34" s="237"/>
      <c r="J34" s="716"/>
      <c r="K34" s="717"/>
      <c r="L34" s="717"/>
      <c r="M34" s="664">
        <v>0</v>
      </c>
      <c r="N34" s="717">
        <v>0</v>
      </c>
      <c r="O34" s="239"/>
      <c r="P34" s="871"/>
      <c r="Q34" s="240"/>
      <c r="R34" s="664">
        <v>0</v>
      </c>
      <c r="S34" s="243"/>
      <c r="T34" s="716">
        <v>0</v>
      </c>
      <c r="U34" s="717">
        <v>0</v>
      </c>
      <c r="V34" s="717">
        <v>0</v>
      </c>
      <c r="W34" s="664">
        <v>0</v>
      </c>
      <c r="X34" s="717">
        <v>0</v>
      </c>
    </row>
    <row r="35" spans="1:24" s="660" customFormat="1" ht="9.75">
      <c r="A35" s="714" t="s">
        <v>58</v>
      </c>
      <c r="B35" s="1156" t="s">
        <v>238</v>
      </c>
      <c r="C35" s="1156"/>
      <c r="D35" s="719" t="s">
        <v>26</v>
      </c>
      <c r="E35" s="233"/>
      <c r="F35" s="234"/>
      <c r="G35" s="234"/>
      <c r="H35" s="669">
        <v>0</v>
      </c>
      <c r="I35" s="237"/>
      <c r="J35" s="716"/>
      <c r="K35" s="717"/>
      <c r="L35" s="717"/>
      <c r="M35" s="664">
        <v>0</v>
      </c>
      <c r="N35" s="717">
        <v>0</v>
      </c>
      <c r="O35" s="239"/>
      <c r="P35" s="240"/>
      <c r="Q35" s="240"/>
      <c r="R35" s="664">
        <v>0</v>
      </c>
      <c r="S35" s="243"/>
      <c r="T35" s="716">
        <v>0</v>
      </c>
      <c r="U35" s="717">
        <v>0</v>
      </c>
      <c r="V35" s="717">
        <v>0</v>
      </c>
      <c r="W35" s="664">
        <v>0</v>
      </c>
      <c r="X35" s="717">
        <v>0</v>
      </c>
    </row>
    <row r="36" spans="1:24" s="660" customFormat="1" ht="9.75">
      <c r="A36" s="714" t="s">
        <v>59</v>
      </c>
      <c r="B36" s="1156" t="s">
        <v>239</v>
      </c>
      <c r="C36" s="1156"/>
      <c r="D36" s="719" t="s">
        <v>26</v>
      </c>
      <c r="E36" s="233"/>
      <c r="F36" s="234"/>
      <c r="G36" s="234"/>
      <c r="H36" s="669">
        <v>0</v>
      </c>
      <c r="I36" s="237"/>
      <c r="J36" s="716"/>
      <c r="K36" s="717"/>
      <c r="L36" s="717"/>
      <c r="M36" s="664">
        <v>0</v>
      </c>
      <c r="N36" s="717">
        <v>0</v>
      </c>
      <c r="O36" s="239"/>
      <c r="P36" s="240"/>
      <c r="Q36" s="240"/>
      <c r="R36" s="664">
        <v>0</v>
      </c>
      <c r="S36" s="243"/>
      <c r="T36" s="716">
        <v>0</v>
      </c>
      <c r="U36" s="717">
        <v>0</v>
      </c>
      <c r="V36" s="717">
        <v>0</v>
      </c>
      <c r="W36" s="664">
        <v>0</v>
      </c>
      <c r="X36" s="717">
        <v>0</v>
      </c>
    </row>
    <row r="37" spans="1:24" s="660" customFormat="1" ht="10.5" thickBot="1">
      <c r="A37" s="720" t="s">
        <v>240</v>
      </c>
      <c r="B37" s="1174" t="s">
        <v>241</v>
      </c>
      <c r="C37" s="1174"/>
      <c r="D37" s="721" t="s">
        <v>242</v>
      </c>
      <c r="E37" s="235"/>
      <c r="F37" s="236"/>
      <c r="G37" s="236"/>
      <c r="H37" s="693">
        <v>0</v>
      </c>
      <c r="I37" s="238"/>
      <c r="J37" s="722">
        <v>28</v>
      </c>
      <c r="K37" s="723">
        <v>28</v>
      </c>
      <c r="L37" s="723">
        <v>22</v>
      </c>
      <c r="M37" s="724">
        <f t="shared" si="2"/>
        <v>78.571428571428569</v>
      </c>
      <c r="N37" s="723">
        <v>40</v>
      </c>
      <c r="O37" s="241"/>
      <c r="P37" s="242"/>
      <c r="Q37" s="242"/>
      <c r="R37" s="724">
        <v>0</v>
      </c>
      <c r="S37" s="244"/>
      <c r="T37" s="722">
        <v>4</v>
      </c>
      <c r="U37" s="723">
        <v>4</v>
      </c>
      <c r="V37" s="723">
        <v>4</v>
      </c>
      <c r="W37" s="724">
        <f t="shared" si="6"/>
        <v>100</v>
      </c>
      <c r="X37" s="723">
        <v>4</v>
      </c>
    </row>
    <row r="39" spans="1:24">
      <c r="H39" s="773"/>
      <c r="I39" s="773"/>
    </row>
  </sheetData>
  <mergeCells count="40">
    <mergeCell ref="B12:C12"/>
    <mergeCell ref="B29:C29"/>
    <mergeCell ref="B36:C36"/>
    <mergeCell ref="E3:I3"/>
    <mergeCell ref="O4:O5"/>
    <mergeCell ref="K4:M4"/>
    <mergeCell ref="E4:E5"/>
    <mergeCell ref="B6:C6"/>
    <mergeCell ref="B7:C7"/>
    <mergeCell ref="B8:C8"/>
    <mergeCell ref="B10:C10"/>
    <mergeCell ref="B11:C11"/>
    <mergeCell ref="B37:C37"/>
    <mergeCell ref="B13:C13"/>
    <mergeCell ref="B15:C15"/>
    <mergeCell ref="B16:C16"/>
    <mergeCell ref="B18:C18"/>
    <mergeCell ref="B19:C19"/>
    <mergeCell ref="B34:C34"/>
    <mergeCell ref="B35:C35"/>
    <mergeCell ref="B20:C20"/>
    <mergeCell ref="B21:C21"/>
    <mergeCell ref="B22:C22"/>
    <mergeCell ref="B26:C26"/>
    <mergeCell ref="A1:X1"/>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s>
  <pageMargins left="0.23622047244094491" right="0.23622047244094491" top="0.74803149606299213" bottom="0.74803149606299213" header="0.31496062992125984" footer="0.31496062992125984"/>
  <pageSetup paperSize="9" scale="95" firstPageNumber="182"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topLeftCell="A10" zoomScaleNormal="100" workbookViewId="0">
      <selection activeCell="C7" sqref="C7"/>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277" t="s">
        <v>1023</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180229.04</v>
      </c>
      <c r="D6" s="1207"/>
      <c r="E6" s="1208"/>
      <c r="F6" s="1208"/>
      <c r="G6" s="1208"/>
      <c r="H6" s="1208"/>
      <c r="I6" s="1209"/>
    </row>
    <row r="7" spans="1:9" s="2" customFormat="1" ht="110.25" customHeight="1">
      <c r="A7" s="1199" t="s">
        <v>75</v>
      </c>
      <c r="B7" s="1200"/>
      <c r="C7" s="17">
        <v>2714.38</v>
      </c>
      <c r="D7" s="1205" t="s">
        <v>1024</v>
      </c>
      <c r="E7" s="1205"/>
      <c r="F7" s="1205"/>
      <c r="G7" s="1205"/>
      <c r="H7" s="1205"/>
      <c r="I7" s="1206"/>
    </row>
    <row r="8" spans="1:9" s="281" customFormat="1" ht="196.5" customHeight="1">
      <c r="A8" s="1201" t="s">
        <v>76</v>
      </c>
      <c r="B8" s="1202"/>
      <c r="C8" s="18">
        <v>177514.66</v>
      </c>
      <c r="D8" s="1205" t="s">
        <v>1025</v>
      </c>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0</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180229.04</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180229.04</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90.75" customHeight="1">
      <c r="A23" s="68" t="s">
        <v>83</v>
      </c>
      <c r="B23" s="872">
        <v>1281027.3400000001</v>
      </c>
      <c r="C23" s="872">
        <v>980345.74</v>
      </c>
      <c r="D23" s="872">
        <v>1190785.72</v>
      </c>
      <c r="E23" s="872">
        <f>B23+C23-D23</f>
        <v>1070587.3600000001</v>
      </c>
      <c r="F23" s="1194" t="s">
        <v>1026</v>
      </c>
      <c r="G23" s="1195"/>
      <c r="H23" s="1195"/>
      <c r="I23" s="1196"/>
    </row>
    <row r="24" spans="1:9" s="2" customFormat="1" ht="75.75" customHeight="1">
      <c r="A24" s="69" t="s">
        <v>84</v>
      </c>
      <c r="B24" s="873">
        <v>369790.51</v>
      </c>
      <c r="C24" s="873">
        <v>1214462.3</v>
      </c>
      <c r="D24" s="873">
        <v>1001069.55</v>
      </c>
      <c r="E24" s="874">
        <f t="shared" ref="E24" si="0">B24+C24-D24</f>
        <v>583183.26</v>
      </c>
      <c r="F24" s="1183" t="s">
        <v>1027</v>
      </c>
      <c r="G24" s="1229"/>
      <c r="H24" s="1229"/>
      <c r="I24" s="1230"/>
    </row>
    <row r="25" spans="1:9" s="2" customFormat="1" ht="21.75" customHeight="1">
      <c r="A25" s="69" t="s">
        <v>82</v>
      </c>
      <c r="B25" s="874">
        <v>27384</v>
      </c>
      <c r="C25" s="874">
        <v>20000</v>
      </c>
      <c r="D25" s="874">
        <v>14500</v>
      </c>
      <c r="E25" s="874">
        <f>B25+C25-D25</f>
        <v>32884</v>
      </c>
      <c r="F25" s="1183" t="s">
        <v>1028</v>
      </c>
      <c r="G25" s="1184"/>
      <c r="H25" s="1184"/>
      <c r="I25" s="1185"/>
    </row>
    <row r="26" spans="1:9" s="2" customFormat="1" ht="54.75" customHeight="1">
      <c r="A26" s="70" t="s">
        <v>85</v>
      </c>
      <c r="B26" s="874">
        <v>553489.11</v>
      </c>
      <c r="C26" s="874">
        <v>952711.92</v>
      </c>
      <c r="D26" s="874">
        <v>962329</v>
      </c>
      <c r="E26" s="874">
        <f t="shared" ref="E26" si="1">B26+C26-D26</f>
        <v>543872.03</v>
      </c>
      <c r="F26" s="1186" t="s">
        <v>1029</v>
      </c>
      <c r="G26" s="1187"/>
      <c r="H26" s="1187"/>
      <c r="I26" s="1188"/>
    </row>
    <row r="27" spans="1:9" s="281" customFormat="1" ht="10.5">
      <c r="A27" s="3" t="s">
        <v>34</v>
      </c>
      <c r="B27" s="16">
        <f>SUM(B23:B26)</f>
        <v>2231690.96</v>
      </c>
      <c r="C27" s="16">
        <f t="shared" ref="C27:E27" si="2">SUM(C23:C26)</f>
        <v>3167519.96</v>
      </c>
      <c r="D27" s="16">
        <f t="shared" si="2"/>
        <v>3168684.27</v>
      </c>
      <c r="E27" s="16">
        <f t="shared" si="2"/>
        <v>2230526.6500000004</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A30" s="2" t="s">
        <v>1030</v>
      </c>
      <c r="C30" s="19"/>
    </row>
    <row r="31" spans="1:9" s="2" customFormat="1" ht="11.25">
      <c r="C31" s="19"/>
    </row>
    <row r="32" spans="1:9" s="2" customFormat="1" ht="11.25">
      <c r="A32" s="1189" t="s">
        <v>431</v>
      </c>
      <c r="B32" s="1189"/>
      <c r="C32" s="1189"/>
      <c r="D32" s="1189"/>
      <c r="E32" s="1189"/>
      <c r="F32" s="1189"/>
      <c r="G32" s="1189"/>
      <c r="H32" s="1189"/>
      <c r="I32" s="1189"/>
    </row>
    <row r="33" spans="1:9" s="2" customFormat="1" ht="11.25">
      <c r="A33" s="2" t="s">
        <v>1031</v>
      </c>
      <c r="C33" s="19"/>
    </row>
    <row r="34" spans="1:9" s="2" customFormat="1" ht="11.25">
      <c r="C34" s="19"/>
    </row>
    <row r="35" spans="1:9" s="2" customFormat="1" ht="11.25">
      <c r="A35" s="1189" t="s">
        <v>432</v>
      </c>
      <c r="B35" s="1189"/>
      <c r="C35" s="1189"/>
      <c r="D35" s="1189"/>
      <c r="E35" s="1189"/>
      <c r="F35" s="1189"/>
      <c r="G35" s="1189"/>
      <c r="H35" s="1189"/>
      <c r="I35" s="1189"/>
    </row>
    <row r="36" spans="1:9" s="2" customFormat="1" ht="11.25">
      <c r="C36" s="19"/>
    </row>
    <row r="37" spans="1:9" s="2" customFormat="1" ht="11.25">
      <c r="A37" s="271" t="s">
        <v>25</v>
      </c>
      <c r="B37" s="270" t="s">
        <v>433</v>
      </c>
      <c r="C37" s="1238" t="s">
        <v>89</v>
      </c>
      <c r="D37" s="1238"/>
      <c r="E37" s="1238"/>
      <c r="F37" s="1238"/>
      <c r="G37" s="1238"/>
      <c r="H37" s="1238"/>
      <c r="I37" s="1238"/>
    </row>
    <row r="38" spans="1:9" s="2" customFormat="1" ht="21.75" customHeight="1">
      <c r="A38" s="875">
        <v>24514</v>
      </c>
      <c r="B38" s="876">
        <v>24514</v>
      </c>
      <c r="C38" s="1565" t="s">
        <v>1032</v>
      </c>
      <c r="D38" s="1566"/>
      <c r="E38" s="1566"/>
      <c r="F38" s="1566"/>
      <c r="G38" s="1566"/>
      <c r="H38" s="1566"/>
      <c r="I38" s="1567"/>
    </row>
    <row r="39" spans="1:9" s="2" customFormat="1" ht="24" customHeight="1">
      <c r="A39" s="877">
        <v>16588</v>
      </c>
      <c r="B39" s="32">
        <v>16588</v>
      </c>
      <c r="C39" s="1239" t="s">
        <v>1033</v>
      </c>
      <c r="D39" s="1239"/>
      <c r="E39" s="1239"/>
      <c r="F39" s="1239"/>
      <c r="G39" s="1239"/>
      <c r="H39" s="1239"/>
      <c r="I39" s="1240"/>
    </row>
    <row r="40" spans="1:9" s="281" customFormat="1" ht="10.5">
      <c r="A40" s="16">
        <f>SUM(A38:A39)</f>
        <v>41102</v>
      </c>
      <c r="B40" s="16">
        <f>SUM(B38:B39)</f>
        <v>41102</v>
      </c>
      <c r="C40" s="1233" t="s">
        <v>34</v>
      </c>
      <c r="D40" s="1233"/>
      <c r="E40" s="1233"/>
      <c r="F40" s="1233"/>
      <c r="G40" s="1233"/>
      <c r="H40" s="1233"/>
      <c r="I40" s="1233"/>
    </row>
    <row r="41" spans="1:9" s="2" customFormat="1" ht="11.25">
      <c r="C41" s="19"/>
    </row>
    <row r="42" spans="1:9" s="2" customFormat="1" ht="11.25">
      <c r="A42" s="1189" t="s">
        <v>434</v>
      </c>
      <c r="B42" s="1189"/>
      <c r="C42" s="1189"/>
      <c r="D42" s="1189"/>
      <c r="E42" s="1189"/>
      <c r="F42" s="1189"/>
      <c r="G42" s="1189"/>
      <c r="H42" s="1189"/>
      <c r="I42" s="1189"/>
    </row>
    <row r="43" spans="1:9" s="2" customFormat="1" ht="11.25">
      <c r="C43" s="19"/>
    </row>
    <row r="44" spans="1:9" s="10" customFormat="1" ht="31.5">
      <c r="A44" s="1234" t="s">
        <v>259</v>
      </c>
      <c r="B44" s="1235"/>
      <c r="C44" s="56" t="s">
        <v>179</v>
      </c>
      <c r="D44" s="56" t="s">
        <v>118</v>
      </c>
      <c r="E44" s="56" t="s">
        <v>119</v>
      </c>
      <c r="F44" s="56" t="s">
        <v>244</v>
      </c>
      <c r="G44" s="56" t="s">
        <v>180</v>
      </c>
    </row>
    <row r="45" spans="1:9" s="2" customFormat="1" ht="48.75" customHeight="1">
      <c r="A45" s="1559" t="s">
        <v>1034</v>
      </c>
      <c r="B45" s="1560"/>
      <c r="C45" s="878" t="s">
        <v>363</v>
      </c>
      <c r="D45" s="879">
        <v>395000</v>
      </c>
      <c r="E45" s="880"/>
      <c r="F45" s="881" t="s">
        <v>1035</v>
      </c>
      <c r="G45" s="881">
        <v>44255</v>
      </c>
    </row>
    <row r="46" spans="1:9" s="2" customFormat="1" ht="23.25" customHeight="1" thickBot="1">
      <c r="A46" s="1574" t="s">
        <v>1036</v>
      </c>
      <c r="B46" s="1586"/>
      <c r="C46" s="882" t="s">
        <v>364</v>
      </c>
      <c r="D46" s="883"/>
      <c r="E46" s="884">
        <v>395000</v>
      </c>
      <c r="F46" s="885"/>
      <c r="G46" s="885"/>
    </row>
    <row r="47" spans="1:9" s="2" customFormat="1" ht="33.75" customHeight="1">
      <c r="A47" s="1587" t="s">
        <v>1037</v>
      </c>
      <c r="B47" s="1588"/>
      <c r="C47" s="886" t="s">
        <v>363</v>
      </c>
      <c r="D47" s="887">
        <v>125000</v>
      </c>
      <c r="E47" s="888"/>
      <c r="F47" s="889" t="s">
        <v>1038</v>
      </c>
      <c r="G47" s="889">
        <v>44286</v>
      </c>
    </row>
    <row r="48" spans="1:9" s="2" customFormat="1" ht="21" customHeight="1">
      <c r="A48" s="1563" t="s">
        <v>1039</v>
      </c>
      <c r="B48" s="1564"/>
      <c r="C48" s="890" t="s">
        <v>204</v>
      </c>
      <c r="D48" s="891"/>
      <c r="E48" s="892">
        <v>20000</v>
      </c>
      <c r="F48" s="893"/>
      <c r="G48" s="893"/>
    </row>
    <row r="49" spans="1:7" s="2" customFormat="1" ht="11.25" customHeight="1">
      <c r="A49" s="1563" t="s">
        <v>1040</v>
      </c>
      <c r="B49" s="1564"/>
      <c r="C49" s="890" t="s">
        <v>1041</v>
      </c>
      <c r="D49" s="891"/>
      <c r="E49" s="892">
        <v>44000</v>
      </c>
      <c r="F49" s="893"/>
      <c r="G49" s="893"/>
    </row>
    <row r="50" spans="1:7" s="2" customFormat="1" ht="11.25" customHeight="1" thickBot="1">
      <c r="A50" s="1570" t="s">
        <v>1042</v>
      </c>
      <c r="B50" s="1571"/>
      <c r="C50" s="894" t="s">
        <v>195</v>
      </c>
      <c r="D50" s="895"/>
      <c r="E50" s="896">
        <v>61000</v>
      </c>
      <c r="F50" s="897"/>
      <c r="G50" s="897"/>
    </row>
    <row r="51" spans="1:7" s="2" customFormat="1" ht="25.5" customHeight="1">
      <c r="A51" s="1572" t="s">
        <v>1043</v>
      </c>
      <c r="B51" s="1573"/>
      <c r="C51" s="898" t="s">
        <v>363</v>
      </c>
      <c r="D51" s="899">
        <v>60000</v>
      </c>
      <c r="E51" s="900"/>
      <c r="F51" s="901" t="s">
        <v>1044</v>
      </c>
      <c r="G51" s="901">
        <v>44347</v>
      </c>
    </row>
    <row r="52" spans="1:7" s="2" customFormat="1" ht="24" customHeight="1" thickBot="1">
      <c r="A52" s="1574" t="s">
        <v>1045</v>
      </c>
      <c r="B52" s="1575"/>
      <c r="C52" s="882" t="s">
        <v>367</v>
      </c>
      <c r="D52" s="883"/>
      <c r="E52" s="884">
        <v>60000</v>
      </c>
      <c r="F52" s="885"/>
      <c r="G52" s="885"/>
    </row>
    <row r="53" spans="1:7" s="2" customFormat="1" ht="24.75" customHeight="1">
      <c r="A53" s="1568" t="s">
        <v>1046</v>
      </c>
      <c r="B53" s="1569"/>
      <c r="C53" s="902" t="s">
        <v>365</v>
      </c>
      <c r="D53" s="903"/>
      <c r="E53" s="888">
        <v>-12000</v>
      </c>
      <c r="F53" s="889">
        <v>44347</v>
      </c>
      <c r="G53" s="889">
        <v>44347</v>
      </c>
    </row>
    <row r="54" spans="1:7" s="2" customFormat="1" ht="12.75" customHeight="1" thickBot="1">
      <c r="A54" s="1576" t="s">
        <v>1047</v>
      </c>
      <c r="B54" s="1577"/>
      <c r="C54" s="894" t="s">
        <v>195</v>
      </c>
      <c r="D54" s="895"/>
      <c r="E54" s="896">
        <v>12000</v>
      </c>
      <c r="F54" s="904"/>
      <c r="G54" s="904"/>
    </row>
    <row r="55" spans="1:7" s="2" customFormat="1" ht="24" customHeight="1">
      <c r="A55" s="1578" t="s">
        <v>1048</v>
      </c>
      <c r="B55" s="1579"/>
      <c r="C55" s="905" t="s">
        <v>366</v>
      </c>
      <c r="D55" s="906"/>
      <c r="E55" s="900">
        <v>-86000</v>
      </c>
      <c r="F55" s="901">
        <v>44377</v>
      </c>
      <c r="G55" s="901">
        <v>44377</v>
      </c>
    </row>
    <row r="56" spans="1:7" s="2" customFormat="1" ht="11.25" customHeight="1">
      <c r="A56" s="1580" t="s">
        <v>1049</v>
      </c>
      <c r="B56" s="1581"/>
      <c r="C56" s="905" t="s">
        <v>195</v>
      </c>
      <c r="D56" s="906"/>
      <c r="E56" s="900">
        <v>14000</v>
      </c>
      <c r="F56" s="901"/>
      <c r="G56" s="901"/>
    </row>
    <row r="57" spans="1:7" s="2" customFormat="1" ht="13.5" customHeight="1">
      <c r="A57" s="1582" t="s">
        <v>1050</v>
      </c>
      <c r="B57" s="1583"/>
      <c r="C57" s="905" t="s">
        <v>1051</v>
      </c>
      <c r="D57" s="906"/>
      <c r="E57" s="900">
        <v>46000</v>
      </c>
      <c r="F57" s="901"/>
      <c r="G57" s="901"/>
    </row>
    <row r="58" spans="1:7" s="2" customFormat="1" ht="10.15" customHeight="1">
      <c r="A58" s="1582" t="s">
        <v>1052</v>
      </c>
      <c r="B58" s="1583"/>
      <c r="C58" s="905" t="s">
        <v>1053</v>
      </c>
      <c r="D58" s="906"/>
      <c r="E58" s="900">
        <v>26000</v>
      </c>
      <c r="F58" s="901"/>
      <c r="G58" s="901"/>
    </row>
    <row r="59" spans="1:7" s="2" customFormat="1" ht="10.15" customHeight="1">
      <c r="A59" s="1561" t="s">
        <v>1054</v>
      </c>
      <c r="B59" s="1562"/>
      <c r="C59" s="907" t="s">
        <v>310</v>
      </c>
      <c r="D59" s="891">
        <v>330000</v>
      </c>
      <c r="E59" s="892"/>
      <c r="F59" s="908">
        <v>44377</v>
      </c>
      <c r="G59" s="908">
        <v>44377</v>
      </c>
    </row>
    <row r="60" spans="1:7" s="2" customFormat="1" ht="10.15" customHeight="1">
      <c r="A60" s="1561" t="s">
        <v>1055</v>
      </c>
      <c r="B60" s="1562"/>
      <c r="C60" s="907" t="s">
        <v>368</v>
      </c>
      <c r="D60" s="891"/>
      <c r="E60" s="892">
        <v>330000</v>
      </c>
      <c r="F60" s="908"/>
      <c r="G60" s="908"/>
    </row>
    <row r="61" spans="1:7" s="2" customFormat="1" ht="10.15" customHeight="1">
      <c r="A61" s="1568" t="s">
        <v>1056</v>
      </c>
      <c r="B61" s="1569"/>
      <c r="C61" s="902" t="s">
        <v>1057</v>
      </c>
      <c r="D61" s="903"/>
      <c r="E61" s="888">
        <v>-14500</v>
      </c>
      <c r="F61" s="889" t="s">
        <v>1058</v>
      </c>
      <c r="G61" s="889">
        <v>44466</v>
      </c>
    </row>
    <row r="62" spans="1:7" s="2" customFormat="1" ht="10.15" customHeight="1">
      <c r="A62" s="1561" t="s">
        <v>1059</v>
      </c>
      <c r="B62" s="1562"/>
      <c r="C62" s="890" t="s">
        <v>1057</v>
      </c>
      <c r="D62" s="891"/>
      <c r="E62" s="892">
        <v>10800</v>
      </c>
      <c r="F62" s="908"/>
      <c r="G62" s="908"/>
    </row>
    <row r="63" spans="1:7" s="2" customFormat="1" ht="10.15" customHeight="1">
      <c r="A63" s="1561" t="s">
        <v>1060</v>
      </c>
      <c r="B63" s="1562"/>
      <c r="C63" s="902" t="s">
        <v>1061</v>
      </c>
      <c r="D63" s="903"/>
      <c r="E63" s="888">
        <v>3700</v>
      </c>
      <c r="F63" s="889"/>
      <c r="G63" s="889"/>
    </row>
    <row r="64" spans="1:7" s="2" customFormat="1" ht="10.15" customHeight="1">
      <c r="A64" s="1561" t="s">
        <v>1062</v>
      </c>
      <c r="B64" s="1562"/>
      <c r="C64" s="907" t="s">
        <v>1063</v>
      </c>
      <c r="D64" s="891">
        <v>4800</v>
      </c>
      <c r="E64" s="892"/>
      <c r="F64" s="908">
        <v>44469</v>
      </c>
      <c r="G64" s="908">
        <v>44469</v>
      </c>
    </row>
    <row r="65" spans="1:7" s="2" customFormat="1" ht="10.15" customHeight="1">
      <c r="A65" s="1561" t="s">
        <v>1064</v>
      </c>
      <c r="B65" s="1562"/>
      <c r="C65" s="907" t="s">
        <v>203</v>
      </c>
      <c r="D65" s="891"/>
      <c r="E65" s="892">
        <v>1300</v>
      </c>
      <c r="F65" s="908"/>
      <c r="G65" s="908"/>
    </row>
    <row r="66" spans="1:7" s="2" customFormat="1" ht="10.15" customHeight="1">
      <c r="A66" s="1561" t="s">
        <v>1065</v>
      </c>
      <c r="B66" s="1562"/>
      <c r="C66" s="907" t="s">
        <v>195</v>
      </c>
      <c r="D66" s="891"/>
      <c r="E66" s="892">
        <v>3500</v>
      </c>
      <c r="F66" s="908"/>
      <c r="G66" s="908"/>
    </row>
    <row r="67" spans="1:7" s="2" customFormat="1" ht="10.15" customHeight="1">
      <c r="A67" s="1561" t="s">
        <v>1066</v>
      </c>
      <c r="B67" s="1562"/>
      <c r="C67" s="902" t="s">
        <v>1057</v>
      </c>
      <c r="D67" s="903"/>
      <c r="E67" s="888">
        <v>-3900</v>
      </c>
      <c r="F67" s="889" t="s">
        <v>1067</v>
      </c>
      <c r="G67" s="889">
        <v>44552</v>
      </c>
    </row>
    <row r="68" spans="1:7" s="2" customFormat="1" ht="10.15" customHeight="1">
      <c r="A68" s="1561" t="s">
        <v>1059</v>
      </c>
      <c r="B68" s="1562"/>
      <c r="C68" s="890" t="s">
        <v>1057</v>
      </c>
      <c r="D68" s="891"/>
      <c r="E68" s="892">
        <v>3735</v>
      </c>
      <c r="F68" s="908"/>
      <c r="G68" s="908"/>
    </row>
    <row r="69" spans="1:7" s="2" customFormat="1" ht="10.15" customHeight="1">
      <c r="A69" s="1561" t="s">
        <v>1068</v>
      </c>
      <c r="B69" s="1562"/>
      <c r="C69" s="902" t="s">
        <v>212</v>
      </c>
      <c r="D69" s="903"/>
      <c r="E69" s="888">
        <v>165</v>
      </c>
      <c r="F69" s="889"/>
      <c r="G69" s="889"/>
    </row>
    <row r="70" spans="1:7" s="2" customFormat="1" ht="34.5" customHeight="1">
      <c r="A70" s="1582" t="s">
        <v>1069</v>
      </c>
      <c r="B70" s="1583"/>
      <c r="C70" s="898" t="s">
        <v>363</v>
      </c>
      <c r="D70" s="899">
        <v>42700</v>
      </c>
      <c r="E70" s="900"/>
      <c r="F70" s="901" t="s">
        <v>1067</v>
      </c>
      <c r="G70" s="901">
        <v>44552</v>
      </c>
    </row>
    <row r="71" spans="1:7" s="2" customFormat="1" ht="21.75" customHeight="1">
      <c r="A71" s="1582" t="s">
        <v>369</v>
      </c>
      <c r="B71" s="1583"/>
      <c r="C71" s="905" t="s">
        <v>370</v>
      </c>
      <c r="D71" s="909"/>
      <c r="E71" s="880">
        <v>42700</v>
      </c>
      <c r="F71" s="881"/>
      <c r="G71" s="881"/>
    </row>
    <row r="72" spans="1:7" s="2" customFormat="1" ht="34.5" customHeight="1">
      <c r="A72" s="1561" t="s">
        <v>1070</v>
      </c>
      <c r="B72" s="1562"/>
      <c r="C72" s="907" t="s">
        <v>194</v>
      </c>
      <c r="D72" s="891"/>
      <c r="E72" s="892">
        <v>36395</v>
      </c>
      <c r="F72" s="908" t="s">
        <v>1067</v>
      </c>
      <c r="G72" s="908">
        <v>44552</v>
      </c>
    </row>
    <row r="73" spans="1:7" s="2" customFormat="1" ht="32.25" customHeight="1">
      <c r="A73" s="1561" t="s">
        <v>1071</v>
      </c>
      <c r="B73" s="1562"/>
      <c r="C73" s="907" t="s">
        <v>206</v>
      </c>
      <c r="D73" s="891">
        <v>36395</v>
      </c>
      <c r="E73" s="892"/>
      <c r="F73" s="908"/>
      <c r="G73" s="908"/>
    </row>
    <row r="74" spans="1:7" s="2" customFormat="1" ht="22.5" customHeight="1">
      <c r="A74" s="1589" t="s">
        <v>1072</v>
      </c>
      <c r="B74" s="1590"/>
      <c r="C74" s="890" t="s">
        <v>1073</v>
      </c>
      <c r="D74" s="891"/>
      <c r="E74" s="892">
        <v>-250000</v>
      </c>
      <c r="F74" s="908">
        <v>44533</v>
      </c>
      <c r="G74" s="908">
        <v>44533</v>
      </c>
    </row>
    <row r="75" spans="1:7" s="2" customFormat="1" ht="22.5" customHeight="1">
      <c r="A75" s="1591" t="s">
        <v>1074</v>
      </c>
      <c r="B75" s="1592"/>
      <c r="C75" s="907" t="s">
        <v>1075</v>
      </c>
      <c r="D75" s="891"/>
      <c r="E75" s="892">
        <v>40000</v>
      </c>
      <c r="F75" s="908"/>
      <c r="G75" s="908"/>
    </row>
    <row r="76" spans="1:7" s="2" customFormat="1" ht="13.5" customHeight="1">
      <c r="A76" s="1591" t="s">
        <v>1076</v>
      </c>
      <c r="B76" s="1592"/>
      <c r="C76" s="907" t="s">
        <v>203</v>
      </c>
      <c r="D76" s="891"/>
      <c r="E76" s="892">
        <v>40000</v>
      </c>
      <c r="F76" s="908"/>
      <c r="G76" s="908"/>
    </row>
    <row r="77" spans="1:7" s="2" customFormat="1" ht="13.5" customHeight="1">
      <c r="A77" s="1561" t="s">
        <v>1077</v>
      </c>
      <c r="B77" s="1562"/>
      <c r="C77" s="910" t="s">
        <v>204</v>
      </c>
      <c r="D77" s="903"/>
      <c r="E77" s="888">
        <v>145000</v>
      </c>
      <c r="F77" s="889"/>
      <c r="G77" s="889"/>
    </row>
    <row r="78" spans="1:7" s="2" customFormat="1" ht="13.5" customHeight="1">
      <c r="A78" s="1561" t="s">
        <v>1078</v>
      </c>
      <c r="B78" s="1562"/>
      <c r="C78" s="907" t="s">
        <v>1079</v>
      </c>
      <c r="D78" s="891"/>
      <c r="E78" s="892">
        <v>25000</v>
      </c>
      <c r="F78" s="908"/>
      <c r="G78" s="908"/>
    </row>
    <row r="79" spans="1:7" s="2" customFormat="1" ht="34.5" customHeight="1">
      <c r="A79" s="1582" t="s">
        <v>1080</v>
      </c>
      <c r="B79" s="1583"/>
      <c r="C79" s="911" t="s">
        <v>1081</v>
      </c>
      <c r="D79" s="909">
        <v>-2100000</v>
      </c>
      <c r="E79" s="880"/>
      <c r="F79" s="881">
        <v>44530</v>
      </c>
      <c r="G79" s="881">
        <v>44530</v>
      </c>
    </row>
    <row r="80" spans="1:7" s="2" customFormat="1" ht="27" customHeight="1">
      <c r="A80" s="1582" t="s">
        <v>1082</v>
      </c>
      <c r="B80" s="1583"/>
      <c r="C80" s="911" t="s">
        <v>366</v>
      </c>
      <c r="D80" s="909"/>
      <c r="E80" s="880">
        <v>-2100000</v>
      </c>
      <c r="F80" s="881"/>
      <c r="G80" s="881"/>
    </row>
    <row r="81" spans="1:7" s="2" customFormat="1" ht="12.75" customHeight="1">
      <c r="A81" s="1561" t="s">
        <v>1083</v>
      </c>
      <c r="B81" s="1562"/>
      <c r="C81" s="907" t="s">
        <v>1084</v>
      </c>
      <c r="D81" s="891"/>
      <c r="E81" s="892">
        <v>-23400</v>
      </c>
      <c r="F81" s="908">
        <v>44550</v>
      </c>
      <c r="G81" s="908">
        <v>44550</v>
      </c>
    </row>
    <row r="82" spans="1:7" s="2" customFormat="1" ht="12.75" customHeight="1">
      <c r="A82" s="1561" t="s">
        <v>1085</v>
      </c>
      <c r="B82" s="1562"/>
      <c r="C82" s="910" t="s">
        <v>203</v>
      </c>
      <c r="D82" s="903"/>
      <c r="E82" s="888">
        <v>15100</v>
      </c>
      <c r="F82" s="889"/>
      <c r="G82" s="889"/>
    </row>
    <row r="83" spans="1:7" s="2" customFormat="1" ht="12.75" customHeight="1">
      <c r="A83" s="1561" t="s">
        <v>1086</v>
      </c>
      <c r="B83" s="1562"/>
      <c r="C83" s="907" t="s">
        <v>195</v>
      </c>
      <c r="D83" s="891"/>
      <c r="E83" s="892">
        <v>8300</v>
      </c>
      <c r="F83" s="908"/>
      <c r="G83" s="908"/>
    </row>
    <row r="84" spans="1:7" s="149" customFormat="1" ht="22.5" customHeight="1">
      <c r="A84" s="1584" t="s">
        <v>1087</v>
      </c>
      <c r="B84" s="1585"/>
      <c r="C84" s="912" t="s">
        <v>1088</v>
      </c>
      <c r="D84" s="906"/>
      <c r="E84" s="900">
        <v>-80000</v>
      </c>
      <c r="F84" s="901">
        <v>44500</v>
      </c>
      <c r="G84" s="901">
        <v>44500</v>
      </c>
    </row>
    <row r="85" spans="1:7" s="149" customFormat="1" ht="22.5" customHeight="1">
      <c r="A85" s="1584" t="s">
        <v>1087</v>
      </c>
      <c r="B85" s="1585"/>
      <c r="C85" s="911" t="s">
        <v>1089</v>
      </c>
      <c r="D85" s="909"/>
      <c r="E85" s="880">
        <v>80000</v>
      </c>
      <c r="F85" s="881"/>
      <c r="G85" s="881"/>
    </row>
    <row r="86" spans="1:7" s="149" customFormat="1" ht="22.5" customHeight="1">
      <c r="A86" s="1584" t="s">
        <v>1087</v>
      </c>
      <c r="B86" s="1585"/>
      <c r="C86" s="912" t="s">
        <v>1090</v>
      </c>
      <c r="D86" s="906"/>
      <c r="E86" s="900">
        <v>-58000</v>
      </c>
      <c r="F86" s="901">
        <v>44530</v>
      </c>
      <c r="G86" s="901">
        <v>44530</v>
      </c>
    </row>
    <row r="87" spans="1:7" s="149" customFormat="1" ht="22.5" customHeight="1">
      <c r="A87" s="1584" t="s">
        <v>1091</v>
      </c>
      <c r="B87" s="1585"/>
      <c r="C87" s="911" t="s">
        <v>195</v>
      </c>
      <c r="D87" s="909"/>
      <c r="E87" s="880">
        <v>58000</v>
      </c>
      <c r="F87" s="881"/>
      <c r="G87" s="881"/>
    </row>
    <row r="88" spans="1:7" s="149" customFormat="1" ht="22.5" customHeight="1">
      <c r="A88" s="1568" t="s">
        <v>1092</v>
      </c>
      <c r="B88" s="1569"/>
      <c r="C88" s="902" t="s">
        <v>1093</v>
      </c>
      <c r="D88" s="903">
        <v>50000</v>
      </c>
      <c r="E88" s="888"/>
      <c r="F88" s="889">
        <v>44530</v>
      </c>
      <c r="G88" s="889">
        <v>44530</v>
      </c>
    </row>
    <row r="89" spans="1:7" s="149" customFormat="1" ht="22.5" customHeight="1" thickBot="1">
      <c r="A89" s="1576" t="s">
        <v>1094</v>
      </c>
      <c r="B89" s="1577"/>
      <c r="C89" s="894" t="s">
        <v>195</v>
      </c>
      <c r="D89" s="895"/>
      <c r="E89" s="896">
        <v>50000</v>
      </c>
      <c r="F89" s="904"/>
      <c r="G89" s="904"/>
    </row>
    <row r="90" spans="1:7" s="149" customFormat="1" ht="22.5" customHeight="1">
      <c r="A90" s="1561" t="s">
        <v>1095</v>
      </c>
      <c r="B90" s="1562"/>
      <c r="C90" s="907" t="s">
        <v>310</v>
      </c>
      <c r="D90" s="891">
        <v>74800</v>
      </c>
      <c r="E90" s="892"/>
      <c r="F90" s="908" t="s">
        <v>1096</v>
      </c>
      <c r="G90" s="908">
        <v>44552</v>
      </c>
    </row>
    <row r="91" spans="1:7" s="149" customFormat="1" ht="22.5" customHeight="1">
      <c r="A91" s="1561" t="s">
        <v>1097</v>
      </c>
      <c r="B91" s="1562"/>
      <c r="C91" s="907" t="s">
        <v>1098</v>
      </c>
      <c r="D91" s="891"/>
      <c r="E91" s="892">
        <v>42800</v>
      </c>
      <c r="F91" s="908"/>
      <c r="G91" s="908"/>
    </row>
    <row r="92" spans="1:7" s="149" customFormat="1" ht="15.75" customHeight="1">
      <c r="A92" s="1561" t="s">
        <v>1099</v>
      </c>
      <c r="B92" s="1562"/>
      <c r="C92" s="910" t="s">
        <v>1100</v>
      </c>
      <c r="D92" s="903"/>
      <c r="E92" s="888">
        <v>32000</v>
      </c>
      <c r="F92" s="889"/>
      <c r="G92" s="889"/>
    </row>
    <row r="93" spans="1:7" s="149" customFormat="1" ht="15.75" customHeight="1">
      <c r="A93" s="1561" t="s">
        <v>1054</v>
      </c>
      <c r="B93" s="1562"/>
      <c r="C93" s="907" t="s">
        <v>1101</v>
      </c>
      <c r="D93" s="891">
        <v>160000</v>
      </c>
      <c r="E93" s="892"/>
      <c r="F93" s="908">
        <v>44561</v>
      </c>
      <c r="G93" s="908">
        <v>44561</v>
      </c>
    </row>
    <row r="94" spans="1:7" s="149" customFormat="1" ht="15.75" customHeight="1">
      <c r="A94" s="1561" t="s">
        <v>1102</v>
      </c>
      <c r="B94" s="1562"/>
      <c r="C94" s="907" t="s">
        <v>368</v>
      </c>
      <c r="D94" s="891"/>
      <c r="E94" s="892">
        <v>-275000</v>
      </c>
      <c r="F94" s="908"/>
      <c r="G94" s="908"/>
    </row>
    <row r="95" spans="1:7" s="149" customFormat="1" ht="15.75" customHeight="1" thickBot="1">
      <c r="A95" s="1561" t="s">
        <v>1103</v>
      </c>
      <c r="B95" s="1562"/>
      <c r="C95" s="913" t="s">
        <v>1104</v>
      </c>
      <c r="D95" s="895"/>
      <c r="E95" s="896">
        <v>435000</v>
      </c>
      <c r="F95" s="904"/>
      <c r="G95" s="904"/>
    </row>
    <row r="96" spans="1:7" s="2" customFormat="1" ht="10.15" customHeight="1">
      <c r="A96" s="1254" t="s">
        <v>458</v>
      </c>
      <c r="B96" s="1255"/>
      <c r="C96" s="92"/>
      <c r="D96" s="93">
        <f>SUM(D45:D95)</f>
        <v>-821305</v>
      </c>
      <c r="E96" s="93">
        <f>SUM(E45:E95)</f>
        <v>-821305</v>
      </c>
      <c r="F96" s="1256"/>
      <c r="G96" s="1257"/>
    </row>
    <row r="97" spans="1:9" s="2" customFormat="1" ht="11.25">
      <c r="A97" s="76"/>
      <c r="B97" s="76"/>
      <c r="C97" s="37"/>
      <c r="D97" s="37"/>
      <c r="E97" s="38"/>
    </row>
    <row r="98" spans="1:9" s="2" customFormat="1" ht="11.25">
      <c r="A98" s="1261" t="s">
        <v>459</v>
      </c>
      <c r="B98" s="1261"/>
      <c r="C98" s="1261"/>
      <c r="D98" s="1261"/>
      <c r="E98" s="1261"/>
      <c r="F98" s="1261"/>
      <c r="G98" s="1261"/>
      <c r="H98" s="1261"/>
      <c r="I98" s="1261"/>
    </row>
    <row r="99" spans="1:9" s="2" customFormat="1" ht="11.25">
      <c r="A99" s="2" t="s">
        <v>90</v>
      </c>
    </row>
    <row r="100" spans="1:9" s="2" customFormat="1" ht="38.25" customHeight="1">
      <c r="A100" s="1258" t="s">
        <v>1105</v>
      </c>
      <c r="B100" s="1259"/>
      <c r="C100" s="1259"/>
      <c r="D100" s="1259"/>
      <c r="E100" s="1259"/>
      <c r="F100" s="1259"/>
      <c r="G100" s="1259"/>
      <c r="H100" s="1259"/>
      <c r="I100" s="1260"/>
    </row>
    <row r="101" spans="1:9" s="2" customFormat="1" ht="11.25">
      <c r="A101" s="1258"/>
      <c r="B101" s="1259"/>
      <c r="C101" s="1259"/>
      <c r="D101" s="1259"/>
      <c r="E101" s="1259"/>
      <c r="F101" s="1259"/>
      <c r="G101" s="1259"/>
      <c r="H101" s="1259"/>
      <c r="I101" s="1260"/>
    </row>
    <row r="102" spans="1:9" s="2" customFormat="1" ht="0.75" customHeight="1">
      <c r="A102" s="1258"/>
      <c r="B102" s="1259"/>
      <c r="C102" s="1259"/>
      <c r="D102" s="1259"/>
      <c r="E102" s="1259"/>
      <c r="F102" s="1259"/>
      <c r="G102" s="1259"/>
      <c r="H102" s="1259"/>
      <c r="I102" s="1260"/>
    </row>
    <row r="103" spans="1:9" s="2" customFormat="1" ht="11.25" hidden="1"/>
    <row r="104" spans="1:9" s="281" customFormat="1" ht="10.5">
      <c r="A104" s="1189" t="s">
        <v>461</v>
      </c>
      <c r="B104" s="1189"/>
      <c r="C104" s="1189"/>
      <c r="D104" s="1189"/>
      <c r="E104" s="1189"/>
      <c r="F104" s="1189"/>
      <c r="G104" s="1189"/>
      <c r="H104" s="1189"/>
      <c r="I104" s="1189"/>
    </row>
    <row r="105" spans="1:9" s="2" customFormat="1" ht="11.25">
      <c r="A105" s="2" t="s">
        <v>90</v>
      </c>
    </row>
    <row r="106" spans="1:9" s="914" customFormat="1" ht="48" customHeight="1">
      <c r="A106" s="1479" t="s">
        <v>1106</v>
      </c>
      <c r="B106" s="1480"/>
      <c r="C106" s="1480"/>
      <c r="D106" s="1480"/>
      <c r="E106" s="1480"/>
      <c r="F106" s="1480"/>
      <c r="G106" s="1480"/>
      <c r="H106" s="1480"/>
      <c r="I106" s="1481"/>
    </row>
    <row r="107" spans="1:9" s="914" customFormat="1" ht="69" customHeight="1">
      <c r="A107" s="1479" t="s">
        <v>1107</v>
      </c>
      <c r="B107" s="1480"/>
      <c r="C107" s="1480"/>
      <c r="D107" s="1480"/>
      <c r="E107" s="1480"/>
      <c r="F107" s="1480"/>
      <c r="G107" s="1480"/>
      <c r="H107" s="1480"/>
      <c r="I107" s="1481"/>
    </row>
    <row r="108" spans="1:9" s="914" customFormat="1" ht="26.45" customHeight="1">
      <c r="A108" s="1479" t="s">
        <v>1108</v>
      </c>
      <c r="B108" s="1480"/>
      <c r="C108" s="1480"/>
      <c r="D108" s="1480"/>
      <c r="E108" s="1480"/>
      <c r="F108" s="1480"/>
      <c r="G108" s="1480"/>
      <c r="H108" s="1480"/>
      <c r="I108" s="1481"/>
    </row>
    <row r="109" spans="1:9" s="914" customFormat="1" ht="48" customHeight="1">
      <c r="A109" s="1479" t="s">
        <v>1109</v>
      </c>
      <c r="B109" s="1480"/>
      <c r="C109" s="1480"/>
      <c r="D109" s="1480"/>
      <c r="E109" s="1480"/>
      <c r="F109" s="1480"/>
      <c r="G109" s="1480"/>
      <c r="H109" s="1480"/>
      <c r="I109" s="1481"/>
    </row>
    <row r="110" spans="1:9" s="54" customFormat="1" ht="93.75" customHeight="1">
      <c r="A110" s="1310" t="s">
        <v>1110</v>
      </c>
      <c r="B110" s="1593"/>
      <c r="C110" s="1593"/>
      <c r="D110" s="1593"/>
      <c r="E110" s="1593"/>
      <c r="F110" s="1593"/>
      <c r="G110" s="1593"/>
      <c r="H110" s="1593"/>
      <c r="I110" s="1282"/>
    </row>
    <row r="111" spans="1:9" s="2" customFormat="1" ht="12.6" customHeight="1">
      <c r="A111" s="1258"/>
      <c r="B111" s="1259"/>
      <c r="C111" s="1259"/>
      <c r="D111" s="1259"/>
      <c r="E111" s="1259"/>
      <c r="F111" s="1259"/>
      <c r="G111" s="1259"/>
      <c r="H111" s="1259"/>
      <c r="I111" s="1260"/>
    </row>
    <row r="112" spans="1:9" s="2" customFormat="1" ht="16.149999999999999" customHeight="1">
      <c r="A112" s="1258"/>
      <c r="B112" s="1259"/>
      <c r="C112" s="1259"/>
      <c r="D112" s="1259"/>
      <c r="E112" s="1259"/>
      <c r="F112" s="1259"/>
      <c r="G112" s="1259"/>
      <c r="H112" s="1259"/>
      <c r="I112" s="1260"/>
    </row>
    <row r="113" spans="1:9" s="2" customFormat="1" ht="16.149999999999999" customHeight="1">
      <c r="A113" s="76"/>
      <c r="B113" s="76"/>
      <c r="C113" s="76"/>
      <c r="D113" s="76"/>
      <c r="E113" s="76"/>
      <c r="F113" s="76"/>
      <c r="G113" s="76"/>
      <c r="H113" s="76"/>
      <c r="I113" s="76"/>
    </row>
    <row r="114" spans="1:9">
      <c r="A114" s="2" t="s">
        <v>253</v>
      </c>
      <c r="B114" s="2" t="s">
        <v>371</v>
      </c>
    </row>
    <row r="115" spans="1:9">
      <c r="A115" s="2" t="s">
        <v>254</v>
      </c>
      <c r="B115" s="2" t="s">
        <v>372</v>
      </c>
    </row>
    <row r="116" spans="1:9">
      <c r="A116" s="2"/>
    </row>
    <row r="117" spans="1:9">
      <c r="A117" s="2" t="s">
        <v>340</v>
      </c>
      <c r="B117" s="915">
        <v>44638</v>
      </c>
    </row>
  </sheetData>
  <mergeCells count="94">
    <mergeCell ref="A106:I106"/>
    <mergeCell ref="A112:I112"/>
    <mergeCell ref="A107:I107"/>
    <mergeCell ref="A108:I108"/>
    <mergeCell ref="A109:I109"/>
    <mergeCell ref="A110:I110"/>
    <mergeCell ref="A111:I111"/>
    <mergeCell ref="F96:G96"/>
    <mergeCell ref="A100:I100"/>
    <mergeCell ref="A101:I101"/>
    <mergeCell ref="A102:I102"/>
    <mergeCell ref="A104:I104"/>
    <mergeCell ref="A98:I98"/>
    <mergeCell ref="A92:B92"/>
    <mergeCell ref="A93:B93"/>
    <mergeCell ref="A94:B94"/>
    <mergeCell ref="A95:B95"/>
    <mergeCell ref="A96:B96"/>
    <mergeCell ref="A46:B46"/>
    <mergeCell ref="A47:B47"/>
    <mergeCell ref="A84:B84"/>
    <mergeCell ref="A49:B49"/>
    <mergeCell ref="A74:B74"/>
    <mergeCell ref="A75:B75"/>
    <mergeCell ref="A76:B76"/>
    <mergeCell ref="A77:B77"/>
    <mergeCell ref="A78:B78"/>
    <mergeCell ref="A79:B79"/>
    <mergeCell ref="A68:B68"/>
    <mergeCell ref="A69:B69"/>
    <mergeCell ref="A70:B70"/>
    <mergeCell ref="A71:B71"/>
    <mergeCell ref="A65:B65"/>
    <mergeCell ref="A66:B66"/>
    <mergeCell ref="A88:B88"/>
    <mergeCell ref="A89:B89"/>
    <mergeCell ref="A90:B90"/>
    <mergeCell ref="A91:B91"/>
    <mergeCell ref="A67:B67"/>
    <mergeCell ref="A85:B85"/>
    <mergeCell ref="A86:B86"/>
    <mergeCell ref="A87:B87"/>
    <mergeCell ref="A73:B73"/>
    <mergeCell ref="A72:B72"/>
    <mergeCell ref="A80:B80"/>
    <mergeCell ref="A81:B81"/>
    <mergeCell ref="A82:B82"/>
    <mergeCell ref="A83:B83"/>
    <mergeCell ref="A61:B61"/>
    <mergeCell ref="A50:B50"/>
    <mergeCell ref="A51:B51"/>
    <mergeCell ref="A52:B52"/>
    <mergeCell ref="A53:B53"/>
    <mergeCell ref="A54:B54"/>
    <mergeCell ref="A55:B55"/>
    <mergeCell ref="A56:B56"/>
    <mergeCell ref="A57:B57"/>
    <mergeCell ref="A58:B58"/>
    <mergeCell ref="A59:B59"/>
    <mergeCell ref="A60:B60"/>
    <mergeCell ref="A62:B62"/>
    <mergeCell ref="A63:B63"/>
    <mergeCell ref="A64:B64"/>
    <mergeCell ref="A48:B48"/>
    <mergeCell ref="F23:I23"/>
    <mergeCell ref="F24:I24"/>
    <mergeCell ref="F25:I25"/>
    <mergeCell ref="F26:I26"/>
    <mergeCell ref="F27:I27"/>
    <mergeCell ref="A29:I29"/>
    <mergeCell ref="C39:I39"/>
    <mergeCell ref="C40:I40"/>
    <mergeCell ref="A32:I32"/>
    <mergeCell ref="A35:I35"/>
    <mergeCell ref="C37:I37"/>
    <mergeCell ref="C38:I38"/>
    <mergeCell ref="A42:I42"/>
    <mergeCell ref="A44:B44"/>
    <mergeCell ref="A45:B45"/>
    <mergeCell ref="A20:I20"/>
    <mergeCell ref="F22:I22"/>
    <mergeCell ref="A15:A17"/>
    <mergeCell ref="A3:I3"/>
    <mergeCell ref="A5:B5"/>
    <mergeCell ref="D5:I5"/>
    <mergeCell ref="A6:B6"/>
    <mergeCell ref="D6:I6"/>
    <mergeCell ref="A7:B7"/>
    <mergeCell ref="D7:I7"/>
    <mergeCell ref="A8:B8"/>
    <mergeCell ref="D8:I8"/>
    <mergeCell ref="A9:B9"/>
    <mergeCell ref="D9:I9"/>
    <mergeCell ref="A11:I11"/>
  </mergeCells>
  <pageMargins left="0.23622047244094491" right="0.23622047244094491" top="0.74803149606299213" bottom="0.74803149606299213" header="0.31496062992125984" footer="0.31496062992125984"/>
  <pageSetup paperSize="9" scale="76" firstPageNumber="183" fitToHeight="4" orientation="landscape" useFirstPageNumber="1"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sqref="A1:XFD1048576"/>
    </sheetView>
  </sheetViews>
  <sheetFormatPr defaultColWidth="6.5" defaultRowHeight="8.25"/>
  <cols>
    <col min="1" max="1" width="5.5" style="649" customWidth="1"/>
    <col min="2" max="2" width="6.5" style="648" customWidth="1"/>
    <col min="3" max="3" width="45.5" style="648" customWidth="1"/>
    <col min="4" max="4" width="9.5" style="648" customWidth="1"/>
    <col min="5" max="5" width="11" style="648" customWidth="1"/>
    <col min="6" max="6" width="11.75" style="648" customWidth="1"/>
    <col min="7" max="7" width="11" style="648" customWidth="1"/>
    <col min="8" max="8" width="8.75" style="648" customWidth="1"/>
    <col min="9" max="10" width="11" style="648" customWidth="1"/>
    <col min="11" max="11" width="11.5" style="648" customWidth="1"/>
    <col min="12" max="12" width="11" style="648" customWidth="1"/>
    <col min="13" max="13" width="8.75" style="648" customWidth="1"/>
    <col min="14" max="15" width="11" style="648" customWidth="1"/>
    <col min="16" max="16" width="11.5" style="648" customWidth="1"/>
    <col min="17" max="17" width="11" style="648" customWidth="1"/>
    <col min="18" max="18" width="8.75" style="648" customWidth="1"/>
    <col min="19" max="20" width="11" style="648" customWidth="1"/>
    <col min="21" max="21" width="11.5" style="648" customWidth="1"/>
    <col min="22" max="22" width="11" style="648" customWidth="1"/>
    <col min="23" max="23" width="8.75" style="648" customWidth="1"/>
    <col min="24" max="24" width="11" style="648" customWidth="1"/>
    <col min="25" max="16384" width="6.5" style="648"/>
  </cols>
  <sheetData>
    <row r="1" spans="1:24" s="650" customFormat="1" ht="15.75">
      <c r="A1" s="1262" t="s">
        <v>1111</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9.75" customHeight="1">
      <c r="A4" s="1162"/>
      <c r="B4" s="1166"/>
      <c r="C4" s="1166"/>
      <c r="D4" s="1181"/>
      <c r="E4" s="1175" t="s">
        <v>235</v>
      </c>
      <c r="F4" s="1177" t="s">
        <v>465</v>
      </c>
      <c r="G4" s="1177"/>
      <c r="H4" s="1177"/>
      <c r="I4" s="1178" t="s">
        <v>466</v>
      </c>
      <c r="J4" s="1175" t="s">
        <v>96</v>
      </c>
      <c r="K4" s="1177" t="s">
        <v>465</v>
      </c>
      <c r="L4" s="1177"/>
      <c r="M4" s="1177"/>
      <c r="N4" s="1178" t="s">
        <v>466</v>
      </c>
      <c r="O4" s="1542" t="s">
        <v>96</v>
      </c>
      <c r="P4" s="1177" t="s">
        <v>465</v>
      </c>
      <c r="Q4" s="1177"/>
      <c r="R4" s="1177"/>
      <c r="S4" s="1178" t="s">
        <v>466</v>
      </c>
      <c r="T4" s="1175" t="s">
        <v>235</v>
      </c>
      <c r="U4" s="1177" t="s">
        <v>465</v>
      </c>
      <c r="V4" s="1177"/>
      <c r="W4" s="1177"/>
      <c r="X4" s="1178" t="s">
        <v>466</v>
      </c>
    </row>
    <row r="5" spans="1:24" s="653" customFormat="1" ht="10.5" thickBot="1">
      <c r="A5" s="1163"/>
      <c r="B5" s="1167"/>
      <c r="C5" s="1167"/>
      <c r="D5" s="1182"/>
      <c r="E5" s="1176"/>
      <c r="F5" s="246" t="s">
        <v>97</v>
      </c>
      <c r="G5" s="246" t="s">
        <v>35</v>
      </c>
      <c r="H5" s="246" t="s">
        <v>236</v>
      </c>
      <c r="I5" s="1179"/>
      <c r="J5" s="1175"/>
      <c r="K5" s="246" t="s">
        <v>97</v>
      </c>
      <c r="L5" s="246" t="s">
        <v>35</v>
      </c>
      <c r="M5" s="246" t="s">
        <v>236</v>
      </c>
      <c r="N5" s="1179"/>
      <c r="O5" s="1542"/>
      <c r="P5" s="246" t="s">
        <v>97</v>
      </c>
      <c r="Q5" s="246" t="s">
        <v>35</v>
      </c>
      <c r="R5" s="246" t="s">
        <v>236</v>
      </c>
      <c r="S5" s="1179"/>
      <c r="T5" s="1176"/>
      <c r="U5" s="246" t="s">
        <v>97</v>
      </c>
      <c r="V5" s="246" t="s">
        <v>35</v>
      </c>
      <c r="W5" s="246" t="s">
        <v>236</v>
      </c>
      <c r="X5" s="1179"/>
    </row>
    <row r="6" spans="1:24" s="651" customFormat="1" ht="9.75" customHeight="1">
      <c r="A6" s="247" t="s">
        <v>0</v>
      </c>
      <c r="B6" s="1172" t="s">
        <v>1</v>
      </c>
      <c r="C6" s="1172"/>
      <c r="D6" s="248" t="s">
        <v>25</v>
      </c>
      <c r="E6" s="249">
        <f>SUM(E7:E9)</f>
        <v>44195333</v>
      </c>
      <c r="F6" s="250">
        <f>SUM(F7:F9)</f>
        <v>44536223</v>
      </c>
      <c r="G6" s="250">
        <f>SUM(G7:G9)</f>
        <v>44538604</v>
      </c>
      <c r="H6" s="251">
        <f t="shared" ref="H6:H29" si="0">G6/F6*100</f>
        <v>100.00534620998283</v>
      </c>
      <c r="I6" s="252">
        <f>SUM(I7:I9)</f>
        <v>41272550</v>
      </c>
      <c r="J6" s="677">
        <f>SUM(J7:J9)</f>
        <v>4921000</v>
      </c>
      <c r="K6" s="661">
        <f t="shared" ref="K6:V6" si="1">SUM(K7:K9)</f>
        <v>5053600</v>
      </c>
      <c r="L6" s="250">
        <f t="shared" si="1"/>
        <v>5055981</v>
      </c>
      <c r="M6" s="251">
        <f t="shared" ref="M6:M29" si="2">L6/K6*100</f>
        <v>100.04711492797213</v>
      </c>
      <c r="N6" s="250">
        <f t="shared" ref="N6" si="3">SUM(N7:N9)</f>
        <v>4623856</v>
      </c>
      <c r="O6" s="694">
        <f t="shared" si="1"/>
        <v>39274333</v>
      </c>
      <c r="P6" s="250">
        <f t="shared" si="1"/>
        <v>39482623</v>
      </c>
      <c r="Q6" s="250">
        <f t="shared" si="1"/>
        <v>39482623</v>
      </c>
      <c r="R6" s="251">
        <f t="shared" ref="R6:R28" si="4">Q6/P6*100</f>
        <v>100</v>
      </c>
      <c r="S6" s="661">
        <f t="shared" ref="S6" si="5">SUM(S7:S9)</f>
        <v>36648694</v>
      </c>
      <c r="T6" s="249">
        <f t="shared" si="1"/>
        <v>104717</v>
      </c>
      <c r="U6" s="250">
        <f t="shared" si="1"/>
        <v>104717</v>
      </c>
      <c r="V6" s="250">
        <f t="shared" si="1"/>
        <v>92662</v>
      </c>
      <c r="W6" s="661">
        <v>88</v>
      </c>
      <c r="X6" s="250">
        <f t="shared" ref="X6" si="6">SUM(X7:X9)</f>
        <v>91566</v>
      </c>
    </row>
    <row r="7" spans="1:24" s="651" customFormat="1" ht="9.75">
      <c r="A7" s="710" t="s">
        <v>2</v>
      </c>
      <c r="B7" s="1160" t="s">
        <v>44</v>
      </c>
      <c r="C7" s="1160"/>
      <c r="D7" s="245" t="s">
        <v>25</v>
      </c>
      <c r="E7" s="681">
        <f t="shared" ref="E7:G9" si="7">SUM(J7,O7)</f>
        <v>3570000</v>
      </c>
      <c r="F7" s="663">
        <f t="shared" si="7"/>
        <v>3522600</v>
      </c>
      <c r="G7" s="663">
        <f t="shared" si="7"/>
        <v>3524260</v>
      </c>
      <c r="H7" s="664">
        <f t="shared" si="0"/>
        <v>100.04712428319991</v>
      </c>
      <c r="I7" s="682">
        <f>SUM(N7,S7)</f>
        <v>3088916</v>
      </c>
      <c r="J7" s="702">
        <v>3570000</v>
      </c>
      <c r="K7" s="665">
        <v>3522600</v>
      </c>
      <c r="L7" s="665">
        <v>3524260</v>
      </c>
      <c r="M7" s="664">
        <f t="shared" si="2"/>
        <v>100.04712428319991</v>
      </c>
      <c r="N7" s="665">
        <v>3088916</v>
      </c>
      <c r="O7" s="695"/>
      <c r="P7" s="665"/>
      <c r="Q7" s="665"/>
      <c r="R7" s="664"/>
      <c r="S7" s="665"/>
      <c r="T7" s="679">
        <v>104717</v>
      </c>
      <c r="U7" s="665">
        <v>104717</v>
      </c>
      <c r="V7" s="665">
        <v>92662</v>
      </c>
      <c r="W7" s="665">
        <v>88.49</v>
      </c>
      <c r="X7" s="665">
        <v>91566</v>
      </c>
    </row>
    <row r="8" spans="1:24" s="651" customFormat="1" ht="9.75">
      <c r="A8" s="712" t="s">
        <v>3</v>
      </c>
      <c r="B8" s="1173" t="s">
        <v>45</v>
      </c>
      <c r="C8" s="1173"/>
      <c r="D8" s="245" t="s">
        <v>25</v>
      </c>
      <c r="E8" s="681">
        <f t="shared" si="7"/>
        <v>1000</v>
      </c>
      <c r="F8" s="663">
        <f t="shared" si="7"/>
        <v>1000</v>
      </c>
      <c r="G8" s="663">
        <f t="shared" si="7"/>
        <v>1721</v>
      </c>
      <c r="H8" s="664">
        <f t="shared" si="0"/>
        <v>172.10000000000002</v>
      </c>
      <c r="I8" s="682">
        <f>SUM(N8,S8)</f>
        <v>1816</v>
      </c>
      <c r="J8" s="703">
        <v>1000</v>
      </c>
      <c r="K8" s="663">
        <v>1000</v>
      </c>
      <c r="L8" s="663">
        <v>1721</v>
      </c>
      <c r="M8" s="664">
        <f t="shared" si="2"/>
        <v>172.10000000000002</v>
      </c>
      <c r="N8" s="663">
        <v>1816</v>
      </c>
      <c r="O8" s="696"/>
      <c r="P8" s="663"/>
      <c r="Q8" s="663"/>
      <c r="R8" s="664"/>
      <c r="S8" s="663"/>
      <c r="T8" s="681"/>
      <c r="U8" s="663"/>
      <c r="V8" s="663"/>
      <c r="W8" s="663"/>
      <c r="X8" s="663"/>
    </row>
    <row r="9" spans="1:24" s="651" customFormat="1" ht="9.75">
      <c r="A9" s="712" t="s">
        <v>4</v>
      </c>
      <c r="B9" s="187" t="s">
        <v>60</v>
      </c>
      <c r="C9" s="673"/>
      <c r="D9" s="245" t="s">
        <v>25</v>
      </c>
      <c r="E9" s="681">
        <f t="shared" si="7"/>
        <v>40624333</v>
      </c>
      <c r="F9" s="663">
        <f t="shared" si="7"/>
        <v>41012623</v>
      </c>
      <c r="G9" s="663">
        <f t="shared" si="7"/>
        <v>41012623</v>
      </c>
      <c r="H9" s="664">
        <f t="shared" si="0"/>
        <v>100</v>
      </c>
      <c r="I9" s="682">
        <f>SUM(N9,S9)</f>
        <v>38181818</v>
      </c>
      <c r="J9" s="703">
        <v>1350000</v>
      </c>
      <c r="K9" s="663">
        <v>1530000</v>
      </c>
      <c r="L9" s="663">
        <v>1530000</v>
      </c>
      <c r="M9" s="664">
        <f t="shared" si="2"/>
        <v>100</v>
      </c>
      <c r="N9" s="663">
        <v>1533124</v>
      </c>
      <c r="O9" s="696">
        <v>39274333</v>
      </c>
      <c r="P9" s="663">
        <v>39482623</v>
      </c>
      <c r="Q9" s="663">
        <v>39482623</v>
      </c>
      <c r="R9" s="664">
        <f t="shared" si="4"/>
        <v>100</v>
      </c>
      <c r="S9" s="663">
        <v>36648694</v>
      </c>
      <c r="T9" s="681"/>
      <c r="U9" s="663"/>
      <c r="V9" s="663"/>
      <c r="W9" s="663"/>
      <c r="X9" s="663"/>
    </row>
    <row r="10" spans="1:24" s="651" customFormat="1" ht="9.75">
      <c r="A10" s="708" t="s">
        <v>5</v>
      </c>
      <c r="B10" s="1158" t="s">
        <v>7</v>
      </c>
      <c r="C10" s="1158"/>
      <c r="D10" s="245" t="s">
        <v>25</v>
      </c>
      <c r="E10" s="683"/>
      <c r="F10" s="662"/>
      <c r="G10" s="662"/>
      <c r="H10" s="658"/>
      <c r="I10" s="684"/>
      <c r="J10" s="704"/>
      <c r="K10" s="662"/>
      <c r="L10" s="662"/>
      <c r="M10" s="658"/>
      <c r="N10" s="662"/>
      <c r="O10" s="697"/>
      <c r="P10" s="662"/>
      <c r="Q10" s="662"/>
      <c r="R10" s="658"/>
      <c r="S10" s="662"/>
      <c r="T10" s="683"/>
      <c r="U10" s="662"/>
      <c r="V10" s="662"/>
      <c r="W10" s="662"/>
      <c r="X10" s="662"/>
    </row>
    <row r="11" spans="1:24" s="651" customFormat="1" ht="9.75">
      <c r="A11" s="708" t="s">
        <v>6</v>
      </c>
      <c r="B11" s="1158" t="s">
        <v>9</v>
      </c>
      <c r="C11" s="1158"/>
      <c r="D11" s="245" t="s">
        <v>25</v>
      </c>
      <c r="E11" s="677">
        <f>SUM(E12:E31)</f>
        <v>44195333</v>
      </c>
      <c r="F11" s="661">
        <f>SUM(F12:F31)</f>
        <v>44536223</v>
      </c>
      <c r="G11" s="661">
        <f>SUM(G12:G31)</f>
        <v>44379070.189999998</v>
      </c>
      <c r="H11" s="658">
        <f t="shared" si="0"/>
        <v>99.647134850209454</v>
      </c>
      <c r="I11" s="678">
        <f>SUM(I12:I31)</f>
        <v>41104446.980000004</v>
      </c>
      <c r="J11" s="677">
        <f>SUM(J12:J31)</f>
        <v>4921000</v>
      </c>
      <c r="K11" s="661">
        <f>SUM(K12:K31)</f>
        <v>5053600</v>
      </c>
      <c r="L11" s="661">
        <f>SUM(L12:L31)</f>
        <v>4896447.1899999995</v>
      </c>
      <c r="M11" s="658">
        <f t="shared" si="2"/>
        <v>96.890279998416958</v>
      </c>
      <c r="N11" s="661">
        <f>SUM(N12:N31)</f>
        <v>4455752.9800000004</v>
      </c>
      <c r="O11" s="694">
        <f>SUM(O12:O31)</f>
        <v>39274333</v>
      </c>
      <c r="P11" s="661">
        <f>SUM(P12:P31)</f>
        <v>39482623</v>
      </c>
      <c r="Q11" s="661">
        <f>SUM(Q12:Q31)</f>
        <v>39482623</v>
      </c>
      <c r="R11" s="658">
        <f t="shared" si="4"/>
        <v>100</v>
      </c>
      <c r="S11" s="661">
        <f t="shared" ref="S11:V11" si="8">SUM(S12:S31)</f>
        <v>36648694</v>
      </c>
      <c r="T11" s="677">
        <f t="shared" si="8"/>
        <v>66700</v>
      </c>
      <c r="U11" s="661">
        <f t="shared" si="8"/>
        <v>66700</v>
      </c>
      <c r="V11" s="661">
        <f t="shared" si="8"/>
        <v>46309.93</v>
      </c>
      <c r="W11" s="661">
        <v>68.400000000000006</v>
      </c>
      <c r="X11" s="661">
        <f>SUM(X12:X31)</f>
        <v>56192</v>
      </c>
    </row>
    <row r="12" spans="1:24" s="651" customFormat="1" ht="9.75">
      <c r="A12" s="232" t="s">
        <v>8</v>
      </c>
      <c r="B12" s="1159" t="s">
        <v>28</v>
      </c>
      <c r="C12" s="1159"/>
      <c r="D12" s="245" t="s">
        <v>25</v>
      </c>
      <c r="E12" s="681">
        <f>SUM(J12,O12)</f>
        <v>800000</v>
      </c>
      <c r="F12" s="663">
        <f t="shared" ref="E12:G26" si="9">SUM(K12,P12)</f>
        <v>602066</v>
      </c>
      <c r="G12" s="663">
        <f t="shared" si="9"/>
        <v>592828</v>
      </c>
      <c r="H12" s="664">
        <f t="shared" si="0"/>
        <v>98.465616726405415</v>
      </c>
      <c r="I12" s="682">
        <f t="shared" ref="I12:I26" si="10">SUM(N12,S12)</f>
        <v>628674.17000000004</v>
      </c>
      <c r="J12" s="705">
        <v>800000</v>
      </c>
      <c r="K12" s="666">
        <v>546000</v>
      </c>
      <c r="L12" s="666">
        <v>536762</v>
      </c>
      <c r="M12" s="664">
        <f t="shared" si="2"/>
        <v>98.308058608058616</v>
      </c>
      <c r="N12" s="666">
        <v>597108.17000000004</v>
      </c>
      <c r="O12" s="698"/>
      <c r="P12" s="666">
        <v>56066</v>
      </c>
      <c r="Q12" s="666">
        <v>56066</v>
      </c>
      <c r="R12" s="664">
        <f t="shared" si="4"/>
        <v>100</v>
      </c>
      <c r="S12" s="666">
        <v>31566</v>
      </c>
      <c r="T12" s="685">
        <v>0</v>
      </c>
      <c r="U12" s="666">
        <v>1000</v>
      </c>
      <c r="V12" s="666">
        <v>921</v>
      </c>
      <c r="W12" s="666">
        <v>92.1</v>
      </c>
      <c r="X12" s="666">
        <v>0</v>
      </c>
    </row>
    <row r="13" spans="1:24" s="651" customFormat="1" ht="9.75">
      <c r="A13" s="710" t="s">
        <v>10</v>
      </c>
      <c r="B13" s="1160" t="s">
        <v>29</v>
      </c>
      <c r="C13" s="1160"/>
      <c r="D13" s="245" t="s">
        <v>25</v>
      </c>
      <c r="E13" s="681">
        <f t="shared" si="9"/>
        <v>990000</v>
      </c>
      <c r="F13" s="663">
        <f t="shared" si="9"/>
        <v>990000</v>
      </c>
      <c r="G13" s="663">
        <f t="shared" si="9"/>
        <v>895023.19</v>
      </c>
      <c r="H13" s="664">
        <f t="shared" si="0"/>
        <v>90.40638282828283</v>
      </c>
      <c r="I13" s="682">
        <f t="shared" si="10"/>
        <v>825453</v>
      </c>
      <c r="J13" s="705">
        <v>990000</v>
      </c>
      <c r="K13" s="663">
        <v>990000</v>
      </c>
      <c r="L13" s="663">
        <v>895023.19</v>
      </c>
      <c r="M13" s="664">
        <f t="shared" si="2"/>
        <v>90.40638282828283</v>
      </c>
      <c r="N13" s="663">
        <v>825453</v>
      </c>
      <c r="O13" s="696"/>
      <c r="P13" s="663"/>
      <c r="Q13" s="663"/>
      <c r="R13" s="664"/>
      <c r="S13" s="663"/>
      <c r="T13" s="681">
        <v>58000</v>
      </c>
      <c r="U13" s="663">
        <v>58000</v>
      </c>
      <c r="V13" s="663">
        <v>38166.43</v>
      </c>
      <c r="W13" s="663">
        <v>65.8</v>
      </c>
      <c r="X13" s="663">
        <v>48177</v>
      </c>
    </row>
    <row r="14" spans="1:24" s="651" customFormat="1" ht="9.75">
      <c r="A14" s="710" t="s">
        <v>11</v>
      </c>
      <c r="B14" s="672" t="s">
        <v>61</v>
      </c>
      <c r="C14" s="672"/>
      <c r="D14" s="245" t="s">
        <v>25</v>
      </c>
      <c r="E14" s="681">
        <f t="shared" si="9"/>
        <v>0</v>
      </c>
      <c r="F14" s="663">
        <f t="shared" si="9"/>
        <v>0</v>
      </c>
      <c r="G14" s="663">
        <f t="shared" si="9"/>
        <v>0</v>
      </c>
      <c r="H14" s="664">
        <v>0</v>
      </c>
      <c r="I14" s="682"/>
      <c r="J14" s="705"/>
      <c r="K14" s="663"/>
      <c r="L14" s="663"/>
      <c r="M14" s="664"/>
      <c r="N14" s="663"/>
      <c r="O14" s="696"/>
      <c r="P14" s="663"/>
      <c r="Q14" s="663"/>
      <c r="R14" s="664"/>
      <c r="S14" s="663"/>
      <c r="T14" s="681"/>
      <c r="U14" s="663"/>
      <c r="V14" s="663"/>
      <c r="W14" s="663"/>
      <c r="X14" s="663"/>
    </row>
    <row r="15" spans="1:24" s="651" customFormat="1" ht="9.75">
      <c r="A15" s="710" t="s">
        <v>12</v>
      </c>
      <c r="B15" s="1160" t="s">
        <v>62</v>
      </c>
      <c r="C15" s="1160"/>
      <c r="D15" s="245" t="s">
        <v>25</v>
      </c>
      <c r="E15" s="681">
        <f t="shared" si="9"/>
        <v>450000</v>
      </c>
      <c r="F15" s="663">
        <f t="shared" si="9"/>
        <v>643000</v>
      </c>
      <c r="G15" s="663">
        <f t="shared" si="9"/>
        <v>624303</v>
      </c>
      <c r="H15" s="664">
        <f t="shared" si="0"/>
        <v>97.092223950233276</v>
      </c>
      <c r="I15" s="682">
        <f t="shared" si="10"/>
        <v>763733</v>
      </c>
      <c r="J15" s="705">
        <v>450000</v>
      </c>
      <c r="K15" s="663">
        <v>643000</v>
      </c>
      <c r="L15" s="663">
        <v>624303</v>
      </c>
      <c r="M15" s="664">
        <f t="shared" si="2"/>
        <v>97.092223950233276</v>
      </c>
      <c r="N15" s="663">
        <v>763733</v>
      </c>
      <c r="O15" s="696"/>
      <c r="P15" s="663"/>
      <c r="Q15" s="663"/>
      <c r="R15" s="664"/>
      <c r="S15" s="663"/>
      <c r="T15" s="681">
        <v>3000</v>
      </c>
      <c r="U15" s="663">
        <v>0</v>
      </c>
      <c r="V15" s="663">
        <v>0</v>
      </c>
      <c r="W15" s="663">
        <v>0</v>
      </c>
      <c r="X15" s="663">
        <v>2517</v>
      </c>
    </row>
    <row r="16" spans="1:24" s="651" customFormat="1" ht="9.75">
      <c r="A16" s="710" t="s">
        <v>13</v>
      </c>
      <c r="B16" s="1160" t="s">
        <v>30</v>
      </c>
      <c r="C16" s="1160"/>
      <c r="D16" s="245" t="s">
        <v>25</v>
      </c>
      <c r="E16" s="681">
        <f t="shared" si="9"/>
        <v>20000</v>
      </c>
      <c r="F16" s="663">
        <f t="shared" si="9"/>
        <v>8853</v>
      </c>
      <c r="G16" s="663">
        <f t="shared" si="9"/>
        <v>8555</v>
      </c>
      <c r="H16" s="664">
        <f t="shared" si="0"/>
        <v>96.633909409239806</v>
      </c>
      <c r="I16" s="682">
        <f t="shared" si="10"/>
        <v>5026</v>
      </c>
      <c r="J16" s="705">
        <v>20000</v>
      </c>
      <c r="K16" s="663">
        <v>7000</v>
      </c>
      <c r="L16" s="663">
        <v>6702</v>
      </c>
      <c r="M16" s="664">
        <f t="shared" si="2"/>
        <v>95.742857142857147</v>
      </c>
      <c r="N16" s="663">
        <v>5026</v>
      </c>
      <c r="O16" s="696"/>
      <c r="P16" s="663">
        <v>1853</v>
      </c>
      <c r="Q16" s="663">
        <v>1853</v>
      </c>
      <c r="R16" s="664">
        <f t="shared" si="4"/>
        <v>100</v>
      </c>
      <c r="S16" s="663">
        <v>0</v>
      </c>
      <c r="T16" s="681"/>
      <c r="U16" s="663"/>
      <c r="V16" s="663"/>
      <c r="W16" s="663"/>
      <c r="X16" s="663"/>
    </row>
    <row r="17" spans="1:24" s="651" customFormat="1" ht="9.75">
      <c r="A17" s="710" t="s">
        <v>14</v>
      </c>
      <c r="B17" s="672" t="s">
        <v>46</v>
      </c>
      <c r="C17" s="672"/>
      <c r="D17" s="245" t="s">
        <v>25</v>
      </c>
      <c r="E17" s="681">
        <f t="shared" si="9"/>
        <v>20000</v>
      </c>
      <c r="F17" s="663">
        <f t="shared" si="9"/>
        <v>12000</v>
      </c>
      <c r="G17" s="663">
        <f t="shared" si="9"/>
        <v>11753</v>
      </c>
      <c r="H17" s="664">
        <f t="shared" si="0"/>
        <v>97.941666666666677</v>
      </c>
      <c r="I17" s="682">
        <f t="shared" si="10"/>
        <v>11005</v>
      </c>
      <c r="J17" s="705">
        <v>20000</v>
      </c>
      <c r="K17" s="663">
        <v>12000</v>
      </c>
      <c r="L17" s="663">
        <v>11753</v>
      </c>
      <c r="M17" s="664">
        <f t="shared" si="2"/>
        <v>97.941666666666677</v>
      </c>
      <c r="N17" s="663">
        <v>11005</v>
      </c>
      <c r="O17" s="696"/>
      <c r="P17" s="663"/>
      <c r="Q17" s="663"/>
      <c r="R17" s="664"/>
      <c r="S17" s="663"/>
      <c r="T17" s="681"/>
      <c r="U17" s="663"/>
      <c r="V17" s="663"/>
      <c r="W17" s="663"/>
      <c r="X17" s="663"/>
    </row>
    <row r="18" spans="1:24" s="651" customFormat="1" ht="9.75">
      <c r="A18" s="710" t="s">
        <v>15</v>
      </c>
      <c r="B18" s="1160" t="s">
        <v>31</v>
      </c>
      <c r="C18" s="1160"/>
      <c r="D18" s="245" t="s">
        <v>25</v>
      </c>
      <c r="E18" s="681">
        <f t="shared" si="9"/>
        <v>990000</v>
      </c>
      <c r="F18" s="663">
        <f t="shared" si="9"/>
        <v>834336</v>
      </c>
      <c r="G18" s="663">
        <f t="shared" si="9"/>
        <v>817848</v>
      </c>
      <c r="H18" s="664">
        <f t="shared" si="0"/>
        <v>98.023817742492241</v>
      </c>
      <c r="I18" s="682">
        <f t="shared" si="10"/>
        <v>484954</v>
      </c>
      <c r="J18" s="705">
        <v>990000</v>
      </c>
      <c r="K18" s="663">
        <v>710600</v>
      </c>
      <c r="L18" s="663">
        <v>694112</v>
      </c>
      <c r="M18" s="664">
        <f t="shared" si="2"/>
        <v>97.679707289614413</v>
      </c>
      <c r="N18" s="663">
        <v>454105</v>
      </c>
      <c r="O18" s="696"/>
      <c r="P18" s="663">
        <v>123736</v>
      </c>
      <c r="Q18" s="663">
        <v>123736</v>
      </c>
      <c r="R18" s="664">
        <f t="shared" si="4"/>
        <v>100</v>
      </c>
      <c r="S18" s="663">
        <v>30849</v>
      </c>
      <c r="T18" s="681">
        <v>3000</v>
      </c>
      <c r="U18" s="663">
        <v>3000</v>
      </c>
      <c r="V18" s="663">
        <v>2722.5</v>
      </c>
      <c r="W18" s="663">
        <v>90.77</v>
      </c>
      <c r="X18" s="663">
        <v>2723</v>
      </c>
    </row>
    <row r="19" spans="1:24" s="654" customFormat="1" ht="9.75">
      <c r="A19" s="710" t="s">
        <v>16</v>
      </c>
      <c r="B19" s="1160" t="s">
        <v>32</v>
      </c>
      <c r="C19" s="1160"/>
      <c r="D19" s="245" t="s">
        <v>25</v>
      </c>
      <c r="E19" s="681">
        <f t="shared" si="9"/>
        <v>28956832</v>
      </c>
      <c r="F19" s="663">
        <f t="shared" si="9"/>
        <v>28985542</v>
      </c>
      <c r="G19" s="663">
        <f t="shared" si="9"/>
        <v>28985542</v>
      </c>
      <c r="H19" s="664">
        <f t="shared" si="0"/>
        <v>100</v>
      </c>
      <c r="I19" s="682">
        <f t="shared" si="10"/>
        <v>26991047</v>
      </c>
      <c r="J19" s="706"/>
      <c r="K19" s="663">
        <v>3600</v>
      </c>
      <c r="L19" s="663">
        <v>3600</v>
      </c>
      <c r="M19" s="664">
        <v>100</v>
      </c>
      <c r="N19" s="663">
        <v>3700</v>
      </c>
      <c r="O19" s="696">
        <v>28956832</v>
      </c>
      <c r="P19" s="663">
        <v>28981942</v>
      </c>
      <c r="Q19" s="663">
        <v>28981942</v>
      </c>
      <c r="R19" s="664">
        <f t="shared" si="4"/>
        <v>100</v>
      </c>
      <c r="S19" s="663">
        <v>26987347</v>
      </c>
      <c r="T19" s="687"/>
      <c r="U19" s="668">
        <v>1000</v>
      </c>
      <c r="V19" s="668">
        <v>900</v>
      </c>
      <c r="W19" s="668">
        <v>90</v>
      </c>
      <c r="X19" s="668"/>
    </row>
    <row r="20" spans="1:24" s="651" customFormat="1" ht="9.75">
      <c r="A20" s="710" t="s">
        <v>17</v>
      </c>
      <c r="B20" s="1160" t="s">
        <v>47</v>
      </c>
      <c r="C20" s="1160"/>
      <c r="D20" s="245" t="s">
        <v>25</v>
      </c>
      <c r="E20" s="681">
        <f t="shared" si="9"/>
        <v>9860969</v>
      </c>
      <c r="F20" s="663">
        <f t="shared" si="9"/>
        <v>9854339</v>
      </c>
      <c r="G20" s="663">
        <f t="shared" si="9"/>
        <v>9853464</v>
      </c>
      <c r="H20" s="664">
        <f t="shared" si="0"/>
        <v>99.991120662684736</v>
      </c>
      <c r="I20" s="682">
        <f t="shared" si="10"/>
        <v>9175339</v>
      </c>
      <c r="J20" s="705">
        <v>120000</v>
      </c>
      <c r="K20" s="663">
        <v>123000</v>
      </c>
      <c r="L20" s="663">
        <v>122125</v>
      </c>
      <c r="M20" s="664">
        <f t="shared" si="2"/>
        <v>99.288617886178869</v>
      </c>
      <c r="N20" s="663">
        <v>113834</v>
      </c>
      <c r="O20" s="696">
        <v>9740969</v>
      </c>
      <c r="P20" s="663">
        <v>9731339</v>
      </c>
      <c r="Q20" s="663">
        <v>9731339</v>
      </c>
      <c r="R20" s="664">
        <f t="shared" si="4"/>
        <v>100</v>
      </c>
      <c r="S20" s="663">
        <v>9061505</v>
      </c>
      <c r="T20" s="681"/>
      <c r="U20" s="663"/>
      <c r="V20" s="663"/>
      <c r="W20" s="663"/>
      <c r="X20" s="663"/>
    </row>
    <row r="21" spans="1:24" s="651" customFormat="1" ht="9.75">
      <c r="A21" s="710" t="s">
        <v>18</v>
      </c>
      <c r="B21" s="1160" t="s">
        <v>48</v>
      </c>
      <c r="C21" s="1160"/>
      <c r="D21" s="245" t="s">
        <v>25</v>
      </c>
      <c r="E21" s="681">
        <f t="shared" si="9"/>
        <v>606532</v>
      </c>
      <c r="F21" s="663">
        <f t="shared" si="9"/>
        <v>796387</v>
      </c>
      <c r="G21" s="663">
        <f t="shared" si="9"/>
        <v>785899</v>
      </c>
      <c r="H21" s="664">
        <f t="shared" si="0"/>
        <v>98.683052335108428</v>
      </c>
      <c r="I21" s="682">
        <f t="shared" si="10"/>
        <v>567372.81000000006</v>
      </c>
      <c r="J21" s="705">
        <v>30000</v>
      </c>
      <c r="K21" s="663">
        <v>220000</v>
      </c>
      <c r="L21" s="663">
        <v>209512</v>
      </c>
      <c r="M21" s="664">
        <f t="shared" si="2"/>
        <v>95.232727272727274</v>
      </c>
      <c r="N21" s="663">
        <v>29945.81</v>
      </c>
      <c r="O21" s="696">
        <v>576532</v>
      </c>
      <c r="P21" s="663">
        <v>576387</v>
      </c>
      <c r="Q21" s="663">
        <v>576387</v>
      </c>
      <c r="R21" s="664">
        <f t="shared" si="4"/>
        <v>100</v>
      </c>
      <c r="S21" s="663">
        <v>537427</v>
      </c>
      <c r="T21" s="681"/>
      <c r="U21" s="663"/>
      <c r="V21" s="663"/>
      <c r="W21" s="663"/>
      <c r="X21" s="663"/>
    </row>
    <row r="22" spans="1:24" s="651" customFormat="1" ht="9.75">
      <c r="A22" s="710" t="s">
        <v>19</v>
      </c>
      <c r="B22" s="1160" t="s">
        <v>63</v>
      </c>
      <c r="C22" s="1160"/>
      <c r="D22" s="245" t="s">
        <v>25</v>
      </c>
      <c r="E22" s="681">
        <f t="shared" si="9"/>
        <v>1500</v>
      </c>
      <c r="F22" s="663">
        <f t="shared" si="9"/>
        <v>2500</v>
      </c>
      <c r="G22" s="663">
        <v>2500</v>
      </c>
      <c r="H22" s="664">
        <f t="shared" si="0"/>
        <v>100</v>
      </c>
      <c r="I22" s="682">
        <f t="shared" si="10"/>
        <v>1500</v>
      </c>
      <c r="J22" s="705">
        <v>1500</v>
      </c>
      <c r="K22" s="663">
        <v>2500</v>
      </c>
      <c r="L22" s="663">
        <v>2500</v>
      </c>
      <c r="M22" s="664">
        <f t="shared" si="2"/>
        <v>100</v>
      </c>
      <c r="N22" s="663">
        <v>1500</v>
      </c>
      <c r="O22" s="696"/>
      <c r="P22" s="663"/>
      <c r="Q22" s="663"/>
      <c r="R22" s="664"/>
      <c r="S22" s="663"/>
      <c r="T22" s="681">
        <v>2700</v>
      </c>
      <c r="U22" s="663">
        <v>3700</v>
      </c>
      <c r="V22" s="663">
        <v>3600</v>
      </c>
      <c r="W22" s="663">
        <v>97.3</v>
      </c>
      <c r="X22" s="663">
        <v>2775</v>
      </c>
    </row>
    <row r="23" spans="1:24" s="651" customFormat="1" ht="9.75">
      <c r="A23" s="710" t="s">
        <v>20</v>
      </c>
      <c r="B23" s="672" t="s">
        <v>64</v>
      </c>
      <c r="C23" s="672"/>
      <c r="D23" s="245" t="s">
        <v>25</v>
      </c>
      <c r="E23" s="681"/>
      <c r="F23" s="663"/>
      <c r="G23" s="663"/>
      <c r="H23" s="664"/>
      <c r="I23" s="682"/>
      <c r="J23" s="705"/>
      <c r="K23" s="663"/>
      <c r="L23" s="663"/>
      <c r="M23" s="664"/>
      <c r="N23" s="663"/>
      <c r="O23" s="696"/>
      <c r="P23" s="663"/>
      <c r="Q23" s="663"/>
      <c r="R23" s="664"/>
      <c r="S23" s="663"/>
      <c r="T23" s="681"/>
      <c r="U23" s="663"/>
      <c r="V23" s="663"/>
      <c r="W23" s="663"/>
      <c r="X23" s="663"/>
    </row>
    <row r="24" spans="1:24" s="651" customFormat="1" ht="9.75">
      <c r="A24" s="710" t="s">
        <v>21</v>
      </c>
      <c r="B24" s="672" t="s">
        <v>71</v>
      </c>
      <c r="C24" s="672"/>
      <c r="D24" s="245" t="s">
        <v>25</v>
      </c>
      <c r="E24" s="681"/>
      <c r="F24" s="663"/>
      <c r="G24" s="663"/>
      <c r="H24" s="664"/>
      <c r="I24" s="682"/>
      <c r="J24" s="705"/>
      <c r="K24" s="663"/>
      <c r="L24" s="663"/>
      <c r="M24" s="664"/>
      <c r="N24" s="663"/>
      <c r="O24" s="696"/>
      <c r="P24" s="663"/>
      <c r="Q24" s="663"/>
      <c r="R24" s="664"/>
      <c r="S24" s="663"/>
      <c r="T24" s="681"/>
      <c r="U24" s="663"/>
      <c r="V24" s="663"/>
      <c r="W24" s="663"/>
      <c r="X24" s="663"/>
    </row>
    <row r="25" spans="1:24" s="651" customFormat="1" ht="9.75">
      <c r="A25" s="232" t="s">
        <v>22</v>
      </c>
      <c r="B25" s="264" t="s">
        <v>66</v>
      </c>
      <c r="C25" s="264"/>
      <c r="D25" s="245" t="s">
        <v>25</v>
      </c>
      <c r="E25" s="681"/>
      <c r="F25" s="663"/>
      <c r="G25" s="663"/>
      <c r="H25" s="664"/>
      <c r="I25" s="682"/>
      <c r="J25" s="705"/>
      <c r="K25" s="666"/>
      <c r="L25" s="666"/>
      <c r="M25" s="664"/>
      <c r="N25" s="666"/>
      <c r="O25" s="698"/>
      <c r="P25" s="666"/>
      <c r="Q25" s="666"/>
      <c r="R25" s="664"/>
      <c r="S25" s="666"/>
      <c r="T25" s="685"/>
      <c r="U25" s="666"/>
      <c r="V25" s="666"/>
      <c r="W25" s="666"/>
      <c r="X25" s="666"/>
    </row>
    <row r="26" spans="1:24" s="655" customFormat="1" ht="9.75">
      <c r="A26" s="710" t="s">
        <v>23</v>
      </c>
      <c r="B26" s="1160" t="s">
        <v>67</v>
      </c>
      <c r="C26" s="1160"/>
      <c r="D26" s="245" t="s">
        <v>25</v>
      </c>
      <c r="E26" s="681">
        <f t="shared" si="9"/>
        <v>735365</v>
      </c>
      <c r="F26" s="663">
        <f t="shared" si="9"/>
        <v>746765</v>
      </c>
      <c r="G26" s="663">
        <f t="shared" si="9"/>
        <v>743765</v>
      </c>
      <c r="H26" s="669">
        <f t="shared" si="0"/>
        <v>99.598267192490269</v>
      </c>
      <c r="I26" s="682">
        <f t="shared" si="10"/>
        <v>737472</v>
      </c>
      <c r="J26" s="705">
        <v>735365</v>
      </c>
      <c r="K26" s="667">
        <v>746765</v>
      </c>
      <c r="L26" s="667">
        <v>743765</v>
      </c>
      <c r="M26" s="664">
        <f t="shared" si="2"/>
        <v>99.598267192490269</v>
      </c>
      <c r="N26" s="667">
        <v>737472</v>
      </c>
      <c r="O26" s="699"/>
      <c r="P26" s="667"/>
      <c r="Q26" s="667"/>
      <c r="R26" s="664"/>
      <c r="S26" s="667"/>
      <c r="T26" s="227"/>
      <c r="U26" s="192"/>
      <c r="V26" s="192"/>
      <c r="W26" s="192"/>
      <c r="X26" s="192"/>
    </row>
    <row r="27" spans="1:24" s="656" customFormat="1" ht="9.75">
      <c r="A27" s="710" t="s">
        <v>43</v>
      </c>
      <c r="B27" s="672" t="s">
        <v>68</v>
      </c>
      <c r="C27" s="672"/>
      <c r="D27" s="245" t="s">
        <v>25</v>
      </c>
      <c r="E27" s="681"/>
      <c r="F27" s="663"/>
      <c r="G27" s="663"/>
      <c r="H27" s="669"/>
      <c r="I27" s="682"/>
      <c r="J27" s="705"/>
      <c r="K27" s="667"/>
      <c r="L27" s="667"/>
      <c r="M27" s="664"/>
      <c r="N27" s="667"/>
      <c r="O27" s="699"/>
      <c r="P27" s="667"/>
      <c r="Q27" s="667"/>
      <c r="R27" s="664"/>
      <c r="S27" s="667"/>
      <c r="T27" s="227"/>
      <c r="U27" s="192"/>
      <c r="V27" s="192"/>
      <c r="W27" s="192"/>
      <c r="X27" s="192"/>
    </row>
    <row r="28" spans="1:24" s="656" customFormat="1" ht="9.75">
      <c r="A28" s="710" t="s">
        <v>49</v>
      </c>
      <c r="B28" s="672" t="s">
        <v>72</v>
      </c>
      <c r="C28" s="672"/>
      <c r="D28" s="245" t="s">
        <v>25</v>
      </c>
      <c r="E28" s="681">
        <v>619135</v>
      </c>
      <c r="F28" s="663">
        <v>848435</v>
      </c>
      <c r="G28" s="663">
        <v>846950</v>
      </c>
      <c r="H28" s="669">
        <f t="shared" si="0"/>
        <v>99.824971859953919</v>
      </c>
      <c r="I28" s="682">
        <v>777229</v>
      </c>
      <c r="J28" s="705">
        <v>619135</v>
      </c>
      <c r="K28" s="667">
        <v>837135</v>
      </c>
      <c r="L28" s="667">
        <v>835650</v>
      </c>
      <c r="M28" s="664">
        <f t="shared" si="2"/>
        <v>99.822609256571525</v>
      </c>
      <c r="N28" s="667">
        <v>777229</v>
      </c>
      <c r="O28" s="699"/>
      <c r="P28" s="667">
        <v>11300</v>
      </c>
      <c r="Q28" s="667">
        <v>11300</v>
      </c>
      <c r="R28" s="664">
        <f t="shared" si="4"/>
        <v>100</v>
      </c>
      <c r="S28" s="667">
        <v>0</v>
      </c>
      <c r="T28" s="227"/>
      <c r="U28" s="192"/>
      <c r="V28" s="192"/>
      <c r="W28" s="192"/>
      <c r="X28" s="192"/>
    </row>
    <row r="29" spans="1:24" s="655" customFormat="1" ht="9.75">
      <c r="A29" s="710" t="s">
        <v>50</v>
      </c>
      <c r="B29" s="1160" t="s">
        <v>65</v>
      </c>
      <c r="C29" s="1160"/>
      <c r="D29" s="245" t="s">
        <v>25</v>
      </c>
      <c r="E29" s="681">
        <f t="shared" ref="E29:G29" si="11">SUM(J29,O29)</f>
        <v>145000</v>
      </c>
      <c r="F29" s="663">
        <f t="shared" si="11"/>
        <v>212000</v>
      </c>
      <c r="G29" s="663">
        <f t="shared" si="11"/>
        <v>210640</v>
      </c>
      <c r="H29" s="669">
        <f t="shared" si="0"/>
        <v>99.358490566037744</v>
      </c>
      <c r="I29" s="682">
        <f>SUM(N29,S29)</f>
        <v>135642</v>
      </c>
      <c r="J29" s="705">
        <v>145000</v>
      </c>
      <c r="K29" s="667">
        <v>212000</v>
      </c>
      <c r="L29" s="667">
        <v>210640</v>
      </c>
      <c r="M29" s="664">
        <f t="shared" si="2"/>
        <v>99.358490566037744</v>
      </c>
      <c r="N29" s="667">
        <v>135642</v>
      </c>
      <c r="O29" s="699"/>
      <c r="P29" s="667"/>
      <c r="Q29" s="667"/>
      <c r="R29" s="664"/>
      <c r="S29" s="667"/>
      <c r="T29" s="227"/>
      <c r="U29" s="192"/>
      <c r="V29" s="192"/>
      <c r="W29" s="192"/>
      <c r="X29" s="192"/>
    </row>
    <row r="30" spans="1:24" s="651" customFormat="1" ht="9.75">
      <c r="A30" s="710" t="s">
        <v>52</v>
      </c>
      <c r="B30" s="672" t="s">
        <v>51</v>
      </c>
      <c r="C30" s="672"/>
      <c r="D30" s="245" t="s">
        <v>25</v>
      </c>
      <c r="E30" s="681"/>
      <c r="F30" s="663"/>
      <c r="G30" s="663"/>
      <c r="H30" s="669"/>
      <c r="I30" s="682"/>
      <c r="J30" s="705"/>
      <c r="K30" s="667"/>
      <c r="L30" s="667"/>
      <c r="M30" s="664"/>
      <c r="N30" s="667"/>
      <c r="O30" s="699"/>
      <c r="P30" s="667"/>
      <c r="Q30" s="667"/>
      <c r="R30" s="664"/>
      <c r="S30" s="667"/>
      <c r="T30" s="227"/>
      <c r="U30" s="192"/>
      <c r="V30" s="192"/>
      <c r="W30" s="192"/>
      <c r="X30" s="192"/>
    </row>
    <row r="31" spans="1:24" s="659" customFormat="1" ht="9.75">
      <c r="A31" s="710" t="s">
        <v>53</v>
      </c>
      <c r="B31" s="672" t="s">
        <v>69</v>
      </c>
      <c r="C31" s="672"/>
      <c r="D31" s="245" t="s">
        <v>25</v>
      </c>
      <c r="E31" s="681"/>
      <c r="F31" s="663"/>
      <c r="G31" s="663"/>
      <c r="H31" s="669"/>
      <c r="I31" s="682"/>
      <c r="J31" s="705"/>
      <c r="K31" s="670"/>
      <c r="L31" s="670"/>
      <c r="M31" s="664"/>
      <c r="N31" s="670"/>
      <c r="O31" s="700"/>
      <c r="P31" s="670"/>
      <c r="Q31" s="670"/>
      <c r="R31" s="664"/>
      <c r="S31" s="670"/>
      <c r="T31" s="690"/>
      <c r="U31" s="671"/>
      <c r="V31" s="671"/>
      <c r="W31" s="671"/>
      <c r="X31" s="671"/>
    </row>
    <row r="32" spans="1:24" s="659" customFormat="1" ht="9.75">
      <c r="A32" s="232" t="s">
        <v>54</v>
      </c>
      <c r="B32" s="264" t="s">
        <v>70</v>
      </c>
      <c r="C32" s="264"/>
      <c r="D32" s="245" t="s">
        <v>25</v>
      </c>
      <c r="E32" s="681"/>
      <c r="F32" s="663"/>
      <c r="G32" s="663"/>
      <c r="H32" s="669"/>
      <c r="I32" s="682"/>
      <c r="J32" s="707"/>
      <c r="K32" s="671"/>
      <c r="L32" s="671"/>
      <c r="M32" s="664"/>
      <c r="N32" s="671"/>
      <c r="O32" s="701"/>
      <c r="P32" s="671"/>
      <c r="Q32" s="671"/>
      <c r="R32" s="664"/>
      <c r="S32" s="671"/>
      <c r="T32" s="690"/>
      <c r="U32" s="671"/>
      <c r="V32" s="671"/>
      <c r="W32" s="671"/>
      <c r="X32" s="671"/>
    </row>
    <row r="33" spans="1:24" s="659" customFormat="1" ht="9.75">
      <c r="A33" s="708" t="s">
        <v>55</v>
      </c>
      <c r="B33" s="746" t="s">
        <v>56</v>
      </c>
      <c r="C33" s="746"/>
      <c r="D33" s="245" t="s">
        <v>25</v>
      </c>
      <c r="E33" s="677">
        <f>E6-E11</f>
        <v>0</v>
      </c>
      <c r="F33" s="661">
        <f t="shared" ref="F33:G33" si="12">F6-F11</f>
        <v>0</v>
      </c>
      <c r="G33" s="661">
        <f t="shared" si="12"/>
        <v>159533.81000000238</v>
      </c>
      <c r="H33" s="195"/>
      <c r="I33" s="678">
        <f t="shared" ref="I33" si="13">I6-I11</f>
        <v>168103.01999999583</v>
      </c>
      <c r="J33" s="677">
        <f>J6-J11</f>
        <v>0</v>
      </c>
      <c r="K33" s="661">
        <f t="shared" ref="K33:L33" si="14">K6-K11</f>
        <v>0</v>
      </c>
      <c r="L33" s="661">
        <f t="shared" si="14"/>
        <v>159533.81000000052</v>
      </c>
      <c r="M33" s="658">
        <v>0</v>
      </c>
      <c r="N33" s="661">
        <f t="shared" ref="N33" si="15">N6-N11</f>
        <v>168103.01999999955</v>
      </c>
      <c r="O33" s="694">
        <f>O6-O11</f>
        <v>0</v>
      </c>
      <c r="P33" s="661">
        <f t="shared" ref="P33:Q33" si="16">P6-P11</f>
        <v>0</v>
      </c>
      <c r="Q33" s="661">
        <f t="shared" si="16"/>
        <v>0</v>
      </c>
      <c r="R33" s="658">
        <v>0</v>
      </c>
      <c r="S33" s="661">
        <f t="shared" ref="S33:X33" si="17">S6-S11</f>
        <v>0</v>
      </c>
      <c r="T33" s="677">
        <f t="shared" si="17"/>
        <v>38017</v>
      </c>
      <c r="U33" s="661">
        <f t="shared" si="17"/>
        <v>38017</v>
      </c>
      <c r="V33" s="661">
        <f t="shared" si="17"/>
        <v>46352.07</v>
      </c>
      <c r="W33" s="661">
        <v>0</v>
      </c>
      <c r="X33" s="661">
        <f t="shared" si="17"/>
        <v>35374</v>
      </c>
    </row>
    <row r="34" spans="1:24" s="660" customFormat="1" ht="9.75">
      <c r="A34" s="713" t="s">
        <v>57</v>
      </c>
      <c r="B34" s="1157" t="s">
        <v>237</v>
      </c>
      <c r="C34" s="1157"/>
      <c r="D34" s="715" t="s">
        <v>25</v>
      </c>
      <c r="E34" s="233"/>
      <c r="F34" s="234"/>
      <c r="G34" s="234"/>
      <c r="H34" s="669"/>
      <c r="I34" s="161">
        <v>42365</v>
      </c>
      <c r="J34" s="716"/>
      <c r="K34" s="717"/>
      <c r="L34" s="717"/>
      <c r="M34" s="664"/>
      <c r="N34" s="162"/>
      <c r="O34" s="732"/>
      <c r="P34" s="240"/>
      <c r="Q34" s="240"/>
      <c r="R34" s="664">
        <v>0</v>
      </c>
      <c r="S34" s="162">
        <v>42365</v>
      </c>
      <c r="T34" s="716"/>
      <c r="U34" s="717"/>
      <c r="V34" s="717"/>
      <c r="W34" s="162"/>
      <c r="X34" s="162"/>
    </row>
    <row r="35" spans="1:24" s="660" customFormat="1" ht="9.75">
      <c r="A35" s="714" t="s">
        <v>58</v>
      </c>
      <c r="B35" s="1156" t="s">
        <v>238</v>
      </c>
      <c r="C35" s="1156"/>
      <c r="D35" s="719" t="s">
        <v>26</v>
      </c>
      <c r="E35" s="233"/>
      <c r="F35" s="234"/>
      <c r="G35" s="234"/>
      <c r="H35" s="669"/>
      <c r="I35" s="164">
        <v>47.3</v>
      </c>
      <c r="J35" s="716"/>
      <c r="K35" s="717"/>
      <c r="L35" s="717"/>
      <c r="M35" s="664"/>
      <c r="N35" s="165"/>
      <c r="O35" s="732"/>
      <c r="P35" s="240"/>
      <c r="Q35" s="240"/>
      <c r="R35" s="664">
        <v>0</v>
      </c>
      <c r="S35" s="165">
        <v>47.3</v>
      </c>
      <c r="T35" s="716"/>
      <c r="U35" s="717"/>
      <c r="V35" s="717"/>
      <c r="W35" s="165"/>
      <c r="X35" s="165"/>
    </row>
    <row r="36" spans="1:24" s="660" customFormat="1" ht="10.5" thickBot="1">
      <c r="A36" s="714" t="s">
        <v>59</v>
      </c>
      <c r="B36" s="1156" t="s">
        <v>239</v>
      </c>
      <c r="C36" s="1156"/>
      <c r="D36" s="719" t="s">
        <v>26</v>
      </c>
      <c r="E36" s="233"/>
      <c r="F36" s="234"/>
      <c r="G36" s="234"/>
      <c r="H36" s="669"/>
      <c r="I36" s="167">
        <v>59</v>
      </c>
      <c r="J36" s="716"/>
      <c r="K36" s="717"/>
      <c r="L36" s="717"/>
      <c r="M36" s="664"/>
      <c r="N36" s="168"/>
      <c r="O36" s="732"/>
      <c r="P36" s="240"/>
      <c r="Q36" s="240"/>
      <c r="R36" s="664">
        <v>0</v>
      </c>
      <c r="S36" s="168">
        <v>59</v>
      </c>
      <c r="T36" s="716"/>
      <c r="U36" s="717"/>
      <c r="V36" s="717"/>
      <c r="W36" s="170"/>
      <c r="X36" s="168"/>
    </row>
    <row r="37" spans="1:24" s="660" customFormat="1" ht="10.5" thickBot="1">
      <c r="A37" s="720" t="s">
        <v>240</v>
      </c>
      <c r="B37" s="1174" t="s">
        <v>241</v>
      </c>
      <c r="C37" s="1174"/>
      <c r="D37" s="721" t="s">
        <v>242</v>
      </c>
      <c r="E37" s="235"/>
      <c r="F37" s="236"/>
      <c r="G37" s="236"/>
      <c r="H37" s="693"/>
      <c r="I37" s="238">
        <v>6</v>
      </c>
      <c r="J37" s="722"/>
      <c r="K37" s="723"/>
      <c r="L37" s="723"/>
      <c r="M37" s="724"/>
      <c r="N37" s="723"/>
      <c r="O37" s="734"/>
      <c r="P37" s="242"/>
      <c r="Q37" s="242"/>
      <c r="R37" s="724">
        <v>0</v>
      </c>
      <c r="S37" s="244">
        <v>6</v>
      </c>
      <c r="T37" s="722"/>
      <c r="U37" s="723"/>
      <c r="V37" s="723"/>
      <c r="W37" s="725"/>
      <c r="X37" s="723"/>
    </row>
  </sheetData>
  <mergeCells count="40">
    <mergeCell ref="B12:C12"/>
    <mergeCell ref="B29:C29"/>
    <mergeCell ref="B36:C36"/>
    <mergeCell ref="E3:I3"/>
    <mergeCell ref="O4:O5"/>
    <mergeCell ref="K4:M4"/>
    <mergeCell ref="E4:E5"/>
    <mergeCell ref="B6:C6"/>
    <mergeCell ref="B7:C7"/>
    <mergeCell ref="B8:C8"/>
    <mergeCell ref="B10:C10"/>
    <mergeCell ref="B11:C11"/>
    <mergeCell ref="B37:C37"/>
    <mergeCell ref="B13:C13"/>
    <mergeCell ref="B15:C15"/>
    <mergeCell ref="B16:C16"/>
    <mergeCell ref="B18:C18"/>
    <mergeCell ref="B19:C19"/>
    <mergeCell ref="B34:C34"/>
    <mergeCell ref="B35:C35"/>
    <mergeCell ref="B20:C20"/>
    <mergeCell ref="B21:C21"/>
    <mergeCell ref="B22:C22"/>
    <mergeCell ref="B26:C26"/>
    <mergeCell ref="A1:X1"/>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s>
  <pageMargins left="0.23622047244094491" right="0.23622047244094491" top="0.74803149606299213" bottom="0.74803149606299213" header="0.31496062992125984" footer="0.31496062992125984"/>
  <pageSetup paperSize="9" scale="95" firstPageNumber="187" orientation="landscape" useFirstPageNumber="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1"/>
  <sheetViews>
    <sheetView zoomScaleNormal="100" workbookViewId="0">
      <selection activeCell="D32" sqref="D32:I34"/>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73</v>
      </c>
      <c r="B1" s="1299" t="s">
        <v>373</v>
      </c>
      <c r="C1" s="1299"/>
      <c r="D1" s="1299"/>
      <c r="E1" s="1299"/>
      <c r="F1" s="1299"/>
      <c r="G1" s="1299"/>
      <c r="H1" s="1299"/>
      <c r="I1" s="1299"/>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205885.68</v>
      </c>
      <c r="D6" s="1207"/>
      <c r="E6" s="1208"/>
      <c r="F6" s="1208"/>
      <c r="G6" s="1208"/>
      <c r="H6" s="1208"/>
      <c r="I6" s="1209"/>
    </row>
    <row r="7" spans="1:9" s="2" customFormat="1" ht="33.75" customHeight="1">
      <c r="A7" s="1199" t="s">
        <v>75</v>
      </c>
      <c r="B7" s="1200"/>
      <c r="C7" s="17">
        <v>159533.60999999999</v>
      </c>
      <c r="D7" s="1205" t="s">
        <v>1112</v>
      </c>
      <c r="E7" s="1205"/>
      <c r="F7" s="1205"/>
      <c r="G7" s="1205"/>
      <c r="H7" s="1205"/>
      <c r="I7" s="1206"/>
    </row>
    <row r="8" spans="1:9" s="281" customFormat="1" ht="27" customHeight="1">
      <c r="A8" s="1201" t="s">
        <v>76</v>
      </c>
      <c r="B8" s="1202"/>
      <c r="C8" s="18">
        <v>46352.07</v>
      </c>
      <c r="D8" s="1205" t="s">
        <v>1113</v>
      </c>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0</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205885.68</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205885.68</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31.5" customHeight="1">
      <c r="A23" s="68" t="s">
        <v>83</v>
      </c>
      <c r="B23" s="32">
        <v>262635.03999999998</v>
      </c>
      <c r="C23" s="32">
        <v>203477.27</v>
      </c>
      <c r="D23" s="32">
        <v>140000</v>
      </c>
      <c r="E23" s="32">
        <f>B23+C23-D23</f>
        <v>326112.30999999994</v>
      </c>
      <c r="F23" s="1194" t="s">
        <v>1114</v>
      </c>
      <c r="G23" s="1195"/>
      <c r="H23" s="1195"/>
      <c r="I23" s="1196"/>
    </row>
    <row r="24" spans="1:9" s="2" customFormat="1" ht="31.5" customHeight="1">
      <c r="A24" s="69" t="s">
        <v>84</v>
      </c>
      <c r="B24" s="33">
        <v>201243.76</v>
      </c>
      <c r="C24" s="33">
        <v>883765</v>
      </c>
      <c r="D24" s="33">
        <v>871656</v>
      </c>
      <c r="E24" s="33">
        <f t="shared" ref="E24:E26" si="0">B24+C24-D24</f>
        <v>213352.76</v>
      </c>
      <c r="F24" s="1183" t="s">
        <v>1115</v>
      </c>
      <c r="G24" s="1184"/>
      <c r="H24" s="1184"/>
      <c r="I24" s="1185"/>
    </row>
    <row r="25" spans="1:9" s="2" customFormat="1" ht="31.5" customHeight="1">
      <c r="A25" s="69" t="s">
        <v>82</v>
      </c>
      <c r="B25" s="33">
        <v>27400.77</v>
      </c>
      <c r="C25" s="33">
        <v>0</v>
      </c>
      <c r="D25" s="33">
        <v>3600</v>
      </c>
      <c r="E25" s="33">
        <f t="shared" si="0"/>
        <v>23800.77</v>
      </c>
      <c r="F25" s="1183" t="s">
        <v>1116</v>
      </c>
      <c r="G25" s="1184"/>
      <c r="H25" s="1184"/>
      <c r="I25" s="1185"/>
    </row>
    <row r="26" spans="1:9" s="2" customFormat="1" ht="31.5" customHeight="1">
      <c r="A26" s="70" t="s">
        <v>85</v>
      </c>
      <c r="B26" s="34">
        <v>496005.46</v>
      </c>
      <c r="C26" s="34">
        <v>576459</v>
      </c>
      <c r="D26" s="34">
        <v>615206</v>
      </c>
      <c r="E26" s="33">
        <f t="shared" si="0"/>
        <v>457258.45999999996</v>
      </c>
      <c r="F26" s="1186" t="s">
        <v>1117</v>
      </c>
      <c r="G26" s="1187"/>
      <c r="H26" s="1187"/>
      <c r="I26" s="1188"/>
    </row>
    <row r="27" spans="1:9" s="281" customFormat="1" ht="10.5">
      <c r="A27" s="3" t="s">
        <v>34</v>
      </c>
      <c r="B27" s="16">
        <f>SUM(B23:B26)</f>
        <v>987285.03</v>
      </c>
      <c r="C27" s="16">
        <f t="shared" ref="C27:E27" si="1">SUM(C23:C26)</f>
        <v>1663701.27</v>
      </c>
      <c r="D27" s="16">
        <f t="shared" si="1"/>
        <v>1630462</v>
      </c>
      <c r="E27" s="16">
        <f t="shared" si="1"/>
        <v>1020524.2999999999</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c r="B32" s="32"/>
      <c r="C32" s="8"/>
      <c r="D32" s="1215"/>
      <c r="E32" s="1216"/>
      <c r="F32" s="1216"/>
      <c r="G32" s="1216"/>
      <c r="H32" s="1216"/>
      <c r="I32" s="1217"/>
    </row>
    <row r="33" spans="1:9" s="2" customFormat="1" ht="15" customHeight="1">
      <c r="A33" s="70" t="s">
        <v>1118</v>
      </c>
      <c r="B33" s="34"/>
      <c r="C33" s="13"/>
      <c r="D33" s="1218"/>
      <c r="E33" s="1219"/>
      <c r="F33" s="1219"/>
      <c r="G33" s="1219"/>
      <c r="H33" s="1219"/>
      <c r="I33" s="1220"/>
    </row>
    <row r="34" spans="1:9" s="2" customFormat="1" ht="15" customHeight="1">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c r="B40" s="32"/>
      <c r="C40" s="8"/>
      <c r="D40" s="1226"/>
      <c r="E40" s="1227"/>
      <c r="F40" s="1227"/>
      <c r="G40" s="1227"/>
      <c r="H40" s="1227"/>
      <c r="I40" s="1228"/>
    </row>
    <row r="41" spans="1:9" s="2" customFormat="1" ht="15" customHeight="1">
      <c r="A41" s="916" t="s">
        <v>1119</v>
      </c>
      <c r="B41" s="33"/>
      <c r="C41" s="9"/>
      <c r="D41" s="1183"/>
      <c r="E41" s="1229"/>
      <c r="F41" s="1229"/>
      <c r="G41" s="1229"/>
      <c r="H41" s="1229"/>
      <c r="I41" s="1230"/>
    </row>
    <row r="42" spans="1:9" s="2" customFormat="1" ht="15" customHeight="1">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c r="B48" s="36"/>
      <c r="C48" s="1239"/>
      <c r="D48" s="1239"/>
      <c r="E48" s="1239"/>
      <c r="F48" s="1239"/>
      <c r="G48" s="1239"/>
      <c r="H48" s="1239"/>
      <c r="I48" s="1240"/>
    </row>
    <row r="49" spans="1:9" s="2" customFormat="1" ht="10.15" customHeight="1">
      <c r="A49" s="917" t="s">
        <v>1120</v>
      </c>
      <c r="B49" s="33"/>
      <c r="C49" s="1241"/>
      <c r="D49" s="1242"/>
      <c r="E49" s="1242"/>
      <c r="F49" s="1242"/>
      <c r="G49" s="1242"/>
      <c r="H49" s="1242"/>
      <c r="I49" s="1243"/>
    </row>
    <row r="50" spans="1:9" s="2" customFormat="1" ht="11.25">
      <c r="A50" s="88"/>
      <c r="B50" s="55"/>
      <c r="C50" s="1231"/>
      <c r="D50" s="1231"/>
      <c r="E50" s="1231"/>
      <c r="F50" s="1231"/>
      <c r="G50" s="1231"/>
      <c r="H50" s="1231"/>
      <c r="I50" s="1232"/>
    </row>
    <row r="51" spans="1:9" s="281" customFormat="1" ht="10.5">
      <c r="B51" s="16">
        <f>B48+B49+B50</f>
        <v>0</v>
      </c>
      <c r="C51" s="1233" t="s">
        <v>34</v>
      </c>
      <c r="D51" s="1233"/>
      <c r="E51" s="1233"/>
      <c r="F51" s="1233"/>
      <c r="G51" s="1233"/>
      <c r="H51" s="1233"/>
      <c r="I51" s="1233"/>
    </row>
    <row r="52" spans="1:9" s="281" customFormat="1" ht="10.5">
      <c r="A52" s="918"/>
      <c r="B52" s="507"/>
      <c r="C52" s="919"/>
      <c r="D52" s="919"/>
      <c r="E52" s="919"/>
      <c r="F52" s="919"/>
      <c r="G52" s="919"/>
      <c r="H52" s="919"/>
      <c r="I52" s="919"/>
    </row>
    <row r="53" spans="1:9" s="2" customFormat="1" ht="12.6" customHeight="1">
      <c r="A53" s="1189" t="s">
        <v>434</v>
      </c>
      <c r="B53" s="1189"/>
      <c r="C53" s="1189"/>
      <c r="D53" s="1189"/>
      <c r="E53" s="1189"/>
      <c r="F53" s="1189"/>
      <c r="G53" s="1189"/>
      <c r="H53" s="1189"/>
      <c r="I53" s="1189"/>
    </row>
    <row r="54" spans="1:9">
      <c r="A54" s="1605" t="s">
        <v>232</v>
      </c>
      <c r="B54" s="1605"/>
      <c r="C54" s="1605"/>
      <c r="D54" s="1605"/>
      <c r="E54" s="1605"/>
      <c r="F54" s="1605"/>
      <c r="G54" s="1605"/>
    </row>
    <row r="55" spans="1:9" ht="31.5">
      <c r="A55" s="1594" t="s">
        <v>191</v>
      </c>
      <c r="B55" s="1595"/>
      <c r="C55" s="57" t="s">
        <v>179</v>
      </c>
      <c r="D55" s="57" t="s">
        <v>118</v>
      </c>
      <c r="E55" s="57" t="s">
        <v>119</v>
      </c>
      <c r="F55" s="57" t="s">
        <v>187</v>
      </c>
      <c r="G55" s="57" t="s">
        <v>180</v>
      </c>
    </row>
    <row r="56" spans="1:9">
      <c r="A56" s="1596" t="s">
        <v>1121</v>
      </c>
      <c r="B56" s="1597"/>
      <c r="C56" s="920">
        <v>538</v>
      </c>
      <c r="D56" s="921"/>
      <c r="E56" s="922">
        <v>1000</v>
      </c>
      <c r="F56" s="923">
        <v>44217</v>
      </c>
      <c r="G56" s="923">
        <v>44217</v>
      </c>
    </row>
    <row r="57" spans="1:9">
      <c r="A57" s="924"/>
      <c r="B57" s="925"/>
      <c r="C57" s="926">
        <v>518</v>
      </c>
      <c r="D57" s="927"/>
      <c r="E57" s="928">
        <v>-1000</v>
      </c>
      <c r="F57" s="929">
        <v>44217</v>
      </c>
      <c r="G57" s="930">
        <v>44217</v>
      </c>
    </row>
    <row r="58" spans="1:9">
      <c r="A58" s="1606"/>
      <c r="B58" s="1607"/>
      <c r="C58" s="931"/>
      <c r="D58" s="926"/>
      <c r="E58" s="926"/>
      <c r="F58" s="932"/>
      <c r="G58" s="931"/>
    </row>
    <row r="59" spans="1:9" ht="13.15" customHeight="1">
      <c r="A59" s="1598" t="s">
        <v>1122</v>
      </c>
      <c r="B59" s="1599"/>
      <c r="C59" s="933">
        <v>672</v>
      </c>
      <c r="D59" s="934">
        <v>280000</v>
      </c>
      <c r="E59" s="935"/>
      <c r="F59" s="59">
        <v>44250</v>
      </c>
      <c r="G59" s="58">
        <v>44250</v>
      </c>
    </row>
    <row r="60" spans="1:9" ht="13.15" customHeight="1">
      <c r="A60" s="1598" t="s">
        <v>1123</v>
      </c>
      <c r="B60" s="1599"/>
      <c r="C60" s="936">
        <v>511</v>
      </c>
      <c r="D60" s="937"/>
      <c r="E60" s="934">
        <v>280000</v>
      </c>
      <c r="F60" s="58">
        <v>44250</v>
      </c>
      <c r="G60" s="58">
        <v>44250</v>
      </c>
    </row>
    <row r="61" spans="1:9">
      <c r="A61" s="1598" t="s">
        <v>1124</v>
      </c>
      <c r="B61" s="1599"/>
      <c r="C61" s="938"/>
      <c r="D61" s="934"/>
      <c r="E61" s="937"/>
      <c r="F61" s="58"/>
      <c r="G61" s="58"/>
    </row>
    <row r="62" spans="1:9">
      <c r="A62" s="1598" t="s">
        <v>1125</v>
      </c>
      <c r="B62" s="1599"/>
      <c r="C62" s="938"/>
      <c r="D62" s="934"/>
      <c r="E62" s="934"/>
      <c r="F62" s="58"/>
      <c r="G62" s="58"/>
    </row>
    <row r="63" spans="1:9">
      <c r="A63" s="939"/>
      <c r="B63" s="940"/>
      <c r="C63" s="938"/>
      <c r="D63" s="934"/>
      <c r="E63" s="934"/>
      <c r="F63" s="58"/>
      <c r="G63" s="58"/>
    </row>
    <row r="64" spans="1:9" ht="13.15" customHeight="1">
      <c r="A64" s="1598" t="s">
        <v>1126</v>
      </c>
      <c r="B64" s="1599"/>
      <c r="C64" s="938">
        <v>549</v>
      </c>
      <c r="D64" s="937"/>
      <c r="E64" s="934">
        <v>20000</v>
      </c>
      <c r="F64" s="58">
        <v>44265</v>
      </c>
      <c r="G64" s="58">
        <v>44265</v>
      </c>
    </row>
    <row r="65" spans="1:7">
      <c r="A65" s="939"/>
      <c r="B65" s="940"/>
      <c r="C65" s="938">
        <v>501</v>
      </c>
      <c r="D65" s="934"/>
      <c r="E65" s="934">
        <v>-20000</v>
      </c>
      <c r="F65" s="58">
        <v>44265</v>
      </c>
      <c r="G65" s="58">
        <v>44265</v>
      </c>
    </row>
    <row r="66" spans="1:7">
      <c r="A66" s="939"/>
      <c r="B66" s="940"/>
      <c r="C66" s="938"/>
      <c r="D66" s="934"/>
      <c r="E66" s="934"/>
      <c r="F66" s="58"/>
      <c r="G66" s="58"/>
    </row>
    <row r="67" spans="1:7">
      <c r="A67" s="1598" t="s">
        <v>1127</v>
      </c>
      <c r="B67" s="1599"/>
      <c r="C67" s="938">
        <v>549</v>
      </c>
      <c r="D67" s="937"/>
      <c r="E67" s="934">
        <v>20000</v>
      </c>
      <c r="F67" s="58">
        <v>44307</v>
      </c>
      <c r="G67" s="58">
        <v>44307</v>
      </c>
    </row>
    <row r="68" spans="1:7">
      <c r="A68" s="1598" t="s">
        <v>1127</v>
      </c>
      <c r="B68" s="1599"/>
      <c r="C68" s="938">
        <v>649</v>
      </c>
      <c r="D68" s="934">
        <v>20000</v>
      </c>
      <c r="E68" s="934"/>
      <c r="F68" s="58">
        <v>44307</v>
      </c>
      <c r="G68" s="58">
        <v>44307</v>
      </c>
    </row>
    <row r="69" spans="1:7">
      <c r="A69" s="939"/>
      <c r="B69" s="940"/>
      <c r="C69" s="938"/>
      <c r="D69" s="937"/>
      <c r="E69" s="934"/>
      <c r="F69" s="58"/>
      <c r="G69" s="58"/>
    </row>
    <row r="70" spans="1:7">
      <c r="A70" s="1598" t="s">
        <v>107</v>
      </c>
      <c r="B70" s="1599"/>
      <c r="C70" s="938">
        <v>518</v>
      </c>
      <c r="D70" s="934">
        <v>0</v>
      </c>
      <c r="E70" s="934">
        <v>-60000</v>
      </c>
      <c r="F70" s="58">
        <v>44334</v>
      </c>
      <c r="G70" s="58">
        <v>44334</v>
      </c>
    </row>
    <row r="71" spans="1:7">
      <c r="A71" s="1598" t="s">
        <v>1128</v>
      </c>
      <c r="B71" s="1599"/>
      <c r="C71" s="938">
        <v>527</v>
      </c>
      <c r="D71" s="934">
        <v>0</v>
      </c>
      <c r="E71" s="934">
        <v>60000</v>
      </c>
      <c r="F71" s="58">
        <v>44334</v>
      </c>
      <c r="G71" s="58">
        <v>44334</v>
      </c>
    </row>
    <row r="72" spans="1:7">
      <c r="A72" s="1598" t="s">
        <v>1129</v>
      </c>
      <c r="B72" s="1599"/>
      <c r="C72" s="938"/>
      <c r="D72" s="934"/>
      <c r="E72" s="934"/>
      <c r="F72" s="58"/>
      <c r="G72" s="58"/>
    </row>
    <row r="73" spans="1:7">
      <c r="A73" s="1598" t="s">
        <v>1130</v>
      </c>
      <c r="B73" s="1599"/>
      <c r="C73" s="938"/>
      <c r="D73" s="934"/>
      <c r="E73" s="934"/>
      <c r="F73" s="58"/>
      <c r="G73" s="58"/>
    </row>
    <row r="74" spans="1:7">
      <c r="A74" s="941"/>
      <c r="B74" s="942"/>
      <c r="C74" s="938"/>
      <c r="D74" s="934"/>
      <c r="E74" s="934"/>
      <c r="F74" s="58"/>
      <c r="G74" s="58"/>
    </row>
    <row r="75" spans="1:7">
      <c r="A75" s="1598" t="s">
        <v>1131</v>
      </c>
      <c r="B75" s="1599"/>
      <c r="C75" s="938">
        <v>558</v>
      </c>
      <c r="D75" s="934"/>
      <c r="E75" s="934">
        <v>100000</v>
      </c>
      <c r="F75" s="58">
        <v>44334</v>
      </c>
      <c r="G75" s="58">
        <v>44334</v>
      </c>
    </row>
    <row r="76" spans="1:7">
      <c r="A76" s="941"/>
      <c r="B76" s="942"/>
      <c r="C76" s="938">
        <v>501</v>
      </c>
      <c r="D76" s="934"/>
      <c r="E76" s="934">
        <v>-100000</v>
      </c>
      <c r="F76" s="58">
        <v>44334</v>
      </c>
      <c r="G76" s="58">
        <v>44334</v>
      </c>
    </row>
    <row r="77" spans="1:7">
      <c r="A77" s="1600"/>
      <c r="B77" s="1601"/>
      <c r="C77" s="938"/>
      <c r="D77" s="934"/>
      <c r="E77" s="934"/>
      <c r="F77" s="58"/>
      <c r="G77" s="58"/>
    </row>
    <row r="78" spans="1:7">
      <c r="A78" s="1600" t="s">
        <v>1132</v>
      </c>
      <c r="B78" s="1601"/>
      <c r="C78" s="938">
        <v>672</v>
      </c>
      <c r="D78" s="934">
        <v>-100000</v>
      </c>
      <c r="E78" s="937">
        <v>0</v>
      </c>
      <c r="F78" s="58">
        <v>44362</v>
      </c>
      <c r="G78" s="58">
        <v>44362</v>
      </c>
    </row>
    <row r="79" spans="1:7">
      <c r="A79" s="1598" t="s">
        <v>1133</v>
      </c>
      <c r="B79" s="1599"/>
      <c r="C79" s="938">
        <v>511</v>
      </c>
      <c r="D79" s="934">
        <v>0</v>
      </c>
      <c r="E79" s="934">
        <v>-100000</v>
      </c>
      <c r="F79" s="58">
        <v>44362</v>
      </c>
      <c r="G79" s="58">
        <v>44362</v>
      </c>
    </row>
    <row r="80" spans="1:7">
      <c r="A80" s="1598" t="s">
        <v>1134</v>
      </c>
      <c r="B80" s="1599"/>
      <c r="C80" s="943"/>
      <c r="D80" s="944"/>
      <c r="E80" s="944"/>
      <c r="F80" s="58"/>
      <c r="G80" s="58"/>
    </row>
    <row r="81" spans="1:7">
      <c r="A81" s="1598" t="s">
        <v>1135</v>
      </c>
      <c r="B81" s="1599"/>
      <c r="C81" s="945"/>
      <c r="D81" s="944"/>
      <c r="E81" s="944"/>
      <c r="F81" s="58"/>
      <c r="G81" s="58"/>
    </row>
    <row r="82" spans="1:7">
      <c r="A82" s="1598" t="s">
        <v>1136</v>
      </c>
      <c r="B82" s="1599"/>
      <c r="C82" s="945"/>
      <c r="D82" s="946"/>
      <c r="E82" s="934"/>
      <c r="F82" s="59"/>
      <c r="G82" s="59"/>
    </row>
    <row r="83" spans="1:7">
      <c r="A83" s="947"/>
      <c r="B83" s="948"/>
      <c r="C83" s="949"/>
      <c r="D83" s="946"/>
      <c r="E83" s="937"/>
      <c r="F83" s="59"/>
      <c r="G83" s="60"/>
    </row>
    <row r="84" spans="1:7">
      <c r="A84" s="941" t="s">
        <v>1137</v>
      </c>
      <c r="B84" s="942"/>
      <c r="C84" s="943">
        <v>648</v>
      </c>
      <c r="D84" s="944">
        <v>3600</v>
      </c>
      <c r="E84" s="944"/>
      <c r="F84" s="60">
        <v>44409</v>
      </c>
      <c r="G84" s="59">
        <v>44409</v>
      </c>
    </row>
    <row r="85" spans="1:7">
      <c r="A85" s="1598"/>
      <c r="B85" s="1599"/>
      <c r="C85" s="950">
        <v>521</v>
      </c>
      <c r="D85" s="934"/>
      <c r="E85" s="934">
        <v>3600</v>
      </c>
      <c r="F85" s="61">
        <v>44409</v>
      </c>
      <c r="G85" s="61">
        <v>44409</v>
      </c>
    </row>
    <row r="86" spans="1:7">
      <c r="A86" s="947"/>
      <c r="B86" s="948"/>
      <c r="C86" s="950"/>
      <c r="D86" s="934"/>
      <c r="E86" s="934"/>
      <c r="F86" s="61"/>
      <c r="G86" s="61"/>
    </row>
    <row r="87" spans="1:7">
      <c r="A87" s="1600" t="s">
        <v>1138</v>
      </c>
      <c r="B87" s="1601"/>
      <c r="C87" s="950">
        <v>551</v>
      </c>
      <c r="D87" s="934"/>
      <c r="E87" s="934">
        <v>3000</v>
      </c>
      <c r="F87" s="59">
        <v>44460</v>
      </c>
      <c r="G87" s="59">
        <v>44460</v>
      </c>
    </row>
    <row r="88" spans="1:7">
      <c r="A88" s="1598" t="s">
        <v>1139</v>
      </c>
      <c r="B88" s="1599"/>
      <c r="C88" s="950">
        <v>501</v>
      </c>
      <c r="D88" s="934"/>
      <c r="E88" s="934">
        <v>-3000</v>
      </c>
      <c r="F88" s="61">
        <v>44460</v>
      </c>
      <c r="G88" s="61">
        <v>44460</v>
      </c>
    </row>
    <row r="89" spans="1:7">
      <c r="A89" s="1598" t="s">
        <v>1140</v>
      </c>
      <c r="B89" s="1599"/>
      <c r="C89" s="950"/>
      <c r="D89" s="934"/>
      <c r="E89" s="934"/>
      <c r="F89" s="59"/>
      <c r="G89" s="59"/>
    </row>
    <row r="90" spans="1:7">
      <c r="A90" s="947"/>
      <c r="B90" s="948"/>
      <c r="C90" s="951"/>
      <c r="D90" s="934"/>
      <c r="E90" s="934"/>
      <c r="F90" s="59"/>
      <c r="G90" s="59"/>
    </row>
    <row r="91" spans="1:7">
      <c r="A91" s="1604" t="s">
        <v>1141</v>
      </c>
      <c r="B91" s="1599"/>
      <c r="C91" s="951">
        <v>649</v>
      </c>
      <c r="D91" s="934">
        <v>-71000</v>
      </c>
      <c r="E91" s="934"/>
      <c r="F91" s="59">
        <v>44460</v>
      </c>
      <c r="G91" s="59">
        <v>44460</v>
      </c>
    </row>
    <row r="92" spans="1:7">
      <c r="A92" s="1602" t="s">
        <v>1142</v>
      </c>
      <c r="B92" s="1603"/>
      <c r="C92" s="951">
        <v>518</v>
      </c>
      <c r="D92" s="934"/>
      <c r="E92" s="934">
        <v>-71000</v>
      </c>
      <c r="F92" s="59">
        <v>44460</v>
      </c>
      <c r="G92" s="61">
        <v>44460</v>
      </c>
    </row>
    <row r="93" spans="1:7">
      <c r="A93" s="1598"/>
      <c r="B93" s="1599"/>
      <c r="C93" s="951"/>
      <c r="D93" s="934"/>
      <c r="E93" s="934"/>
      <c r="F93" s="59"/>
      <c r="G93" s="59"/>
    </row>
    <row r="94" spans="1:7">
      <c r="A94" s="1602" t="s">
        <v>1143</v>
      </c>
      <c r="B94" s="1603"/>
      <c r="C94" s="951">
        <v>527</v>
      </c>
      <c r="D94" s="934"/>
      <c r="E94" s="934">
        <v>180000</v>
      </c>
      <c r="F94" s="59">
        <v>44474</v>
      </c>
      <c r="G94" s="59">
        <v>44474</v>
      </c>
    </row>
    <row r="95" spans="1:7">
      <c r="A95" s="1598" t="s">
        <v>1144</v>
      </c>
      <c r="B95" s="1599"/>
      <c r="C95" s="951">
        <v>518</v>
      </c>
      <c r="D95" s="934"/>
      <c r="E95" s="934">
        <v>-90000</v>
      </c>
      <c r="F95" s="59">
        <v>44474</v>
      </c>
      <c r="G95" s="59">
        <v>44474</v>
      </c>
    </row>
    <row r="96" spans="1:7">
      <c r="A96" s="1598" t="s">
        <v>1145</v>
      </c>
      <c r="B96" s="1599"/>
      <c r="C96" s="951">
        <v>501</v>
      </c>
      <c r="D96" s="934"/>
      <c r="E96" s="934">
        <v>-90000</v>
      </c>
      <c r="F96" s="59">
        <v>44474</v>
      </c>
      <c r="G96" s="59">
        <v>44474</v>
      </c>
    </row>
    <row r="97" spans="1:7">
      <c r="A97" s="939"/>
      <c r="B97" s="940"/>
      <c r="C97" s="951"/>
      <c r="D97" s="934"/>
      <c r="E97" s="934"/>
      <c r="F97" s="59"/>
      <c r="G97" s="59"/>
    </row>
    <row r="98" spans="1:7">
      <c r="A98" s="1598" t="s">
        <v>1146</v>
      </c>
      <c r="B98" s="1599"/>
      <c r="C98" s="951">
        <v>518</v>
      </c>
      <c r="D98" s="934"/>
      <c r="E98" s="937">
        <v>-49000</v>
      </c>
      <c r="F98" s="59">
        <v>44474</v>
      </c>
      <c r="G98" s="59">
        <v>44474</v>
      </c>
    </row>
    <row r="99" spans="1:7">
      <c r="A99" s="1598" t="s">
        <v>1147</v>
      </c>
      <c r="B99" s="1599"/>
      <c r="C99" s="951">
        <v>558</v>
      </c>
      <c r="D99" s="934"/>
      <c r="E99" s="934">
        <v>49000</v>
      </c>
      <c r="F99" s="59">
        <v>44474</v>
      </c>
      <c r="G99" s="59">
        <v>44474</v>
      </c>
    </row>
    <row r="100" spans="1:7">
      <c r="A100" s="1598" t="s">
        <v>1148</v>
      </c>
      <c r="B100" s="1599"/>
      <c r="C100" s="951">
        <v>511</v>
      </c>
      <c r="D100" s="934"/>
      <c r="E100" s="934">
        <v>-37000</v>
      </c>
      <c r="F100" s="59">
        <v>44474</v>
      </c>
      <c r="G100" s="59">
        <v>44474</v>
      </c>
    </row>
    <row r="101" spans="1:7">
      <c r="A101" s="1598" t="s">
        <v>1149</v>
      </c>
      <c r="B101" s="1599"/>
      <c r="C101" s="951">
        <v>549</v>
      </c>
      <c r="D101" s="934"/>
      <c r="E101" s="937">
        <v>27000</v>
      </c>
      <c r="F101" s="59">
        <v>44474</v>
      </c>
      <c r="G101" s="59">
        <v>44474</v>
      </c>
    </row>
    <row r="102" spans="1:7">
      <c r="A102" s="1598" t="s">
        <v>1150</v>
      </c>
      <c r="B102" s="1599"/>
      <c r="C102" s="951">
        <v>558</v>
      </c>
      <c r="D102" s="934"/>
      <c r="E102" s="944">
        <v>10000</v>
      </c>
      <c r="F102" s="59">
        <v>44474</v>
      </c>
      <c r="G102" s="59">
        <v>44474</v>
      </c>
    </row>
    <row r="103" spans="1:7">
      <c r="A103" s="1598" t="s">
        <v>1151</v>
      </c>
      <c r="B103" s="1599"/>
      <c r="C103" s="951">
        <v>513</v>
      </c>
      <c r="D103" s="934"/>
      <c r="E103" s="934">
        <v>-8000</v>
      </c>
      <c r="F103" s="59">
        <v>44474</v>
      </c>
      <c r="G103" s="59">
        <v>44474</v>
      </c>
    </row>
    <row r="104" spans="1:7">
      <c r="A104" s="1598" t="s">
        <v>1152</v>
      </c>
      <c r="B104" s="1599"/>
      <c r="C104" s="951">
        <v>558</v>
      </c>
      <c r="D104" s="934"/>
      <c r="E104" s="934">
        <v>8000</v>
      </c>
      <c r="F104" s="59">
        <v>44474</v>
      </c>
      <c r="G104" s="59">
        <v>44474</v>
      </c>
    </row>
    <row r="105" spans="1:7">
      <c r="A105" s="1598" t="s">
        <v>1153</v>
      </c>
      <c r="B105" s="1599"/>
      <c r="C105" s="951">
        <v>512</v>
      </c>
      <c r="D105" s="934"/>
      <c r="E105" s="934">
        <v>-13000</v>
      </c>
      <c r="F105" s="59">
        <v>44474</v>
      </c>
      <c r="G105" s="59">
        <v>44474</v>
      </c>
    </row>
    <row r="106" spans="1:7">
      <c r="A106" s="1598" t="s">
        <v>1154</v>
      </c>
      <c r="B106" s="1599"/>
      <c r="C106" s="945">
        <v>558</v>
      </c>
      <c r="D106" s="934"/>
      <c r="E106" s="934">
        <v>13000</v>
      </c>
      <c r="F106" s="59">
        <v>44474</v>
      </c>
      <c r="G106" s="59">
        <v>44474</v>
      </c>
    </row>
    <row r="107" spans="1:7">
      <c r="A107" s="1612"/>
      <c r="B107" s="1613"/>
      <c r="C107" s="943">
        <v>501</v>
      </c>
      <c r="D107" s="934"/>
      <c r="E107" s="934">
        <v>-38000</v>
      </c>
      <c r="F107" s="59">
        <v>44474</v>
      </c>
      <c r="G107" s="59">
        <v>44474</v>
      </c>
    </row>
    <row r="108" spans="1:7">
      <c r="A108" s="1612"/>
      <c r="B108" s="1613"/>
      <c r="C108" s="943">
        <v>558</v>
      </c>
      <c r="D108" s="934"/>
      <c r="E108" s="934">
        <v>38000</v>
      </c>
      <c r="F108" s="59">
        <v>44474</v>
      </c>
      <c r="G108" s="59">
        <v>44474</v>
      </c>
    </row>
    <row r="109" spans="1:7">
      <c r="A109" s="939"/>
      <c r="B109" s="940"/>
      <c r="C109" s="951"/>
      <c r="D109" s="934"/>
      <c r="E109" s="934"/>
      <c r="F109" s="59"/>
      <c r="G109" s="59"/>
    </row>
    <row r="110" spans="1:7">
      <c r="A110" s="1598" t="s">
        <v>1155</v>
      </c>
      <c r="B110" s="1599"/>
      <c r="C110" s="951">
        <v>551</v>
      </c>
      <c r="D110" s="934"/>
      <c r="E110" s="934">
        <v>8400</v>
      </c>
      <c r="F110" s="59">
        <v>44544</v>
      </c>
      <c r="G110" s="59">
        <v>44544</v>
      </c>
    </row>
    <row r="111" spans="1:7">
      <c r="A111" s="1598" t="s">
        <v>1156</v>
      </c>
      <c r="B111" s="1599"/>
      <c r="C111" s="951">
        <v>525</v>
      </c>
      <c r="D111" s="934"/>
      <c r="E111" s="934">
        <v>3000</v>
      </c>
      <c r="F111" s="59">
        <v>44544</v>
      </c>
      <c r="G111" s="59">
        <v>44544</v>
      </c>
    </row>
    <row r="112" spans="1:7">
      <c r="A112" s="1598" t="s">
        <v>1157</v>
      </c>
      <c r="B112" s="1599"/>
      <c r="C112" s="951">
        <v>527</v>
      </c>
      <c r="D112" s="934"/>
      <c r="E112" s="934">
        <v>-50000</v>
      </c>
      <c r="F112" s="59">
        <v>44544</v>
      </c>
      <c r="G112" s="59">
        <v>44544</v>
      </c>
    </row>
    <row r="113" spans="1:7">
      <c r="A113" s="1598" t="s">
        <v>1158</v>
      </c>
      <c r="B113" s="1599"/>
      <c r="C113" s="951">
        <v>518</v>
      </c>
      <c r="D113" s="934"/>
      <c r="E113" s="934">
        <v>-8400</v>
      </c>
      <c r="F113" s="59">
        <v>44544</v>
      </c>
      <c r="G113" s="59">
        <v>44544</v>
      </c>
    </row>
    <row r="114" spans="1:7">
      <c r="A114" s="1598" t="s">
        <v>1159</v>
      </c>
      <c r="B114" s="1599"/>
      <c r="C114" s="951">
        <v>501</v>
      </c>
      <c r="D114" s="934"/>
      <c r="E114" s="934">
        <v>-3000</v>
      </c>
      <c r="F114" s="59">
        <v>44544</v>
      </c>
      <c r="G114" s="59">
        <v>44544</v>
      </c>
    </row>
    <row r="115" spans="1:7">
      <c r="A115" s="1598" t="s">
        <v>1160</v>
      </c>
      <c r="B115" s="1599"/>
      <c r="C115" s="951">
        <v>511</v>
      </c>
      <c r="D115" s="934"/>
      <c r="E115" s="934">
        <v>50000</v>
      </c>
      <c r="F115" s="59">
        <v>44544</v>
      </c>
      <c r="G115" s="59">
        <v>44544</v>
      </c>
    </row>
    <row r="116" spans="1:7">
      <c r="A116" s="1594" t="s">
        <v>176</v>
      </c>
      <c r="B116" s="1595"/>
      <c r="C116" s="952"/>
      <c r="D116" s="953">
        <f>SUM(D56:D115)</f>
        <v>132600</v>
      </c>
      <c r="E116" s="953">
        <f>SUM(E56:E115)</f>
        <v>132600</v>
      </c>
      <c r="F116" s="1610"/>
      <c r="G116" s="1611"/>
    </row>
    <row r="117" spans="1:7">
      <c r="A117" s="954"/>
      <c r="B117" s="954"/>
      <c r="C117" s="955"/>
      <c r="D117" s="956"/>
      <c r="E117" s="956"/>
      <c r="F117" s="957"/>
      <c r="G117" s="957"/>
    </row>
    <row r="118" spans="1:7">
      <c r="A118" s="958" t="s">
        <v>37</v>
      </c>
      <c r="B118" s="959"/>
      <c r="C118" s="959"/>
      <c r="D118" s="959"/>
      <c r="E118" s="959"/>
      <c r="F118" s="959"/>
      <c r="G118" s="959"/>
    </row>
    <row r="119" spans="1:7" ht="31.5">
      <c r="A119" s="1594" t="s">
        <v>191</v>
      </c>
      <c r="B119" s="1595"/>
      <c r="C119" s="57" t="s">
        <v>179</v>
      </c>
      <c r="D119" s="57" t="s">
        <v>118</v>
      </c>
      <c r="E119" s="57" t="s">
        <v>119</v>
      </c>
      <c r="F119" s="57" t="s">
        <v>187</v>
      </c>
      <c r="G119" s="57" t="s">
        <v>180</v>
      </c>
    </row>
    <row r="120" spans="1:7">
      <c r="A120" s="1608" t="s">
        <v>374</v>
      </c>
      <c r="B120" s="1609"/>
      <c r="C120" s="960">
        <v>538</v>
      </c>
      <c r="D120" s="935"/>
      <c r="E120" s="935">
        <v>1000</v>
      </c>
      <c r="F120" s="58">
        <v>44470</v>
      </c>
      <c r="G120" s="58">
        <v>44470</v>
      </c>
    </row>
    <row r="121" spans="1:7">
      <c r="A121" s="1600" t="s">
        <v>1161</v>
      </c>
      <c r="B121" s="1601"/>
      <c r="C121" s="961">
        <v>511</v>
      </c>
      <c r="D121" s="935"/>
      <c r="E121" s="937">
        <v>-1000</v>
      </c>
      <c r="F121" s="58">
        <v>44470</v>
      </c>
      <c r="G121" s="58">
        <v>44470</v>
      </c>
    </row>
    <row r="122" spans="1:7">
      <c r="A122" s="941"/>
      <c r="B122" s="942"/>
      <c r="C122" s="950"/>
      <c r="D122" s="935"/>
      <c r="E122" s="934"/>
      <c r="F122" s="58"/>
      <c r="G122" s="58"/>
    </row>
    <row r="123" spans="1:7">
      <c r="A123" s="1598" t="s">
        <v>1162</v>
      </c>
      <c r="B123" s="1599"/>
      <c r="C123" s="962">
        <v>521</v>
      </c>
      <c r="D123" s="935"/>
      <c r="E123" s="937">
        <v>1000</v>
      </c>
      <c r="F123" s="58">
        <v>44470</v>
      </c>
      <c r="G123" s="58">
        <v>44470</v>
      </c>
    </row>
    <row r="124" spans="1:7">
      <c r="A124" s="963"/>
      <c r="B124" s="948"/>
      <c r="C124" s="962">
        <v>511</v>
      </c>
      <c r="D124" s="935"/>
      <c r="E124" s="934">
        <v>-1000</v>
      </c>
      <c r="F124" s="58">
        <v>44470</v>
      </c>
      <c r="G124" s="58">
        <v>44470</v>
      </c>
    </row>
    <row r="125" spans="1:7">
      <c r="A125" s="947"/>
      <c r="B125" s="942"/>
      <c r="C125" s="950"/>
      <c r="D125" s="935"/>
      <c r="E125" s="934"/>
      <c r="F125" s="58"/>
      <c r="G125" s="58"/>
    </row>
    <row r="126" spans="1:7">
      <c r="A126" s="1598" t="s">
        <v>1163</v>
      </c>
      <c r="B126" s="1599"/>
      <c r="C126" s="961">
        <v>501</v>
      </c>
      <c r="D126" s="935"/>
      <c r="E126" s="934">
        <v>1000</v>
      </c>
      <c r="F126" s="58">
        <v>44470</v>
      </c>
      <c r="G126" s="58">
        <v>44470</v>
      </c>
    </row>
    <row r="127" spans="1:7">
      <c r="A127" s="1600" t="s">
        <v>1164</v>
      </c>
      <c r="B127" s="1601"/>
      <c r="C127" s="943">
        <v>511</v>
      </c>
      <c r="D127" s="934"/>
      <c r="E127" s="944">
        <v>-1000</v>
      </c>
      <c r="F127" s="58">
        <v>44470</v>
      </c>
      <c r="G127" s="58">
        <v>44470</v>
      </c>
    </row>
    <row r="128" spans="1:7">
      <c r="A128" s="1594" t="s">
        <v>176</v>
      </c>
      <c r="B128" s="1595"/>
      <c r="C128" s="952"/>
      <c r="D128" s="953">
        <v>0</v>
      </c>
      <c r="E128" s="953">
        <v>0</v>
      </c>
      <c r="F128" s="1610"/>
      <c r="G128" s="1611"/>
    </row>
    <row r="129" spans="1:9">
      <c r="A129" s="2"/>
      <c r="B129" s="2"/>
      <c r="C129" s="2"/>
      <c r="D129" s="2"/>
      <c r="E129" s="2"/>
      <c r="F129" s="2"/>
      <c r="G129" s="2"/>
    </row>
    <row r="130" spans="1:9">
      <c r="A130" s="1261" t="s">
        <v>459</v>
      </c>
      <c r="B130" s="1261"/>
      <c r="C130" s="1261"/>
      <c r="D130" s="1261"/>
      <c r="E130" s="1261"/>
      <c r="F130" s="1261"/>
      <c r="G130" s="1261"/>
      <c r="H130" s="1261"/>
      <c r="I130" s="1261"/>
    </row>
    <row r="131" spans="1:9">
      <c r="A131" s="2" t="s">
        <v>90</v>
      </c>
      <c r="B131" s="2"/>
      <c r="C131" s="2"/>
      <c r="D131" s="2"/>
      <c r="E131" s="2"/>
      <c r="F131" s="2"/>
      <c r="G131" s="2"/>
      <c r="H131" s="2"/>
      <c r="I131" s="2"/>
    </row>
    <row r="132" spans="1:9">
      <c r="A132" s="1258" t="s">
        <v>1165</v>
      </c>
      <c r="B132" s="1259"/>
      <c r="C132" s="1259"/>
      <c r="D132" s="1259"/>
      <c r="E132" s="1259"/>
      <c r="F132" s="1259"/>
      <c r="G132" s="1259"/>
      <c r="H132" s="1259"/>
      <c r="I132" s="1260"/>
    </row>
    <row r="133" spans="1:9">
      <c r="A133" s="1189" t="s">
        <v>461</v>
      </c>
      <c r="B133" s="1189"/>
      <c r="C133" s="1189"/>
      <c r="D133" s="1189"/>
      <c r="E133" s="1189"/>
      <c r="F133" s="1189"/>
      <c r="G133" s="1189"/>
      <c r="H133" s="1189"/>
      <c r="I133" s="1189"/>
    </row>
    <row r="134" spans="1:9">
      <c r="A134" s="2" t="s">
        <v>90</v>
      </c>
      <c r="B134" s="2"/>
      <c r="C134" s="2"/>
      <c r="D134" s="2"/>
      <c r="E134" s="2"/>
      <c r="F134" s="2"/>
      <c r="G134" s="2"/>
      <c r="H134" s="2"/>
      <c r="I134" s="2"/>
    </row>
    <row r="135" spans="1:9">
      <c r="A135" s="1258" t="s">
        <v>1166</v>
      </c>
      <c r="B135" s="1259"/>
      <c r="C135" s="1259"/>
      <c r="D135" s="1259"/>
      <c r="E135" s="1259"/>
      <c r="F135" s="1259"/>
      <c r="G135" s="1259"/>
      <c r="H135" s="1259"/>
      <c r="I135" s="1260"/>
    </row>
    <row r="136" spans="1:9">
      <c r="A136" s="1258"/>
      <c r="B136" s="1259"/>
      <c r="C136" s="1259"/>
      <c r="D136" s="1259"/>
      <c r="E136" s="1259"/>
      <c r="F136" s="1259"/>
      <c r="G136" s="1259"/>
      <c r="H136" s="1259"/>
      <c r="I136" s="1260"/>
    </row>
    <row r="137" spans="1:9">
      <c r="A137" s="76"/>
      <c r="B137" s="76"/>
      <c r="C137" s="76"/>
      <c r="D137" s="76"/>
      <c r="E137" s="76"/>
      <c r="F137" s="76"/>
      <c r="G137" s="76"/>
      <c r="H137" s="76"/>
      <c r="I137" s="76"/>
    </row>
    <row r="138" spans="1:9">
      <c r="A138" s="2" t="s">
        <v>1167</v>
      </c>
    </row>
    <row r="139" spans="1:9">
      <c r="A139" s="2" t="s">
        <v>1168</v>
      </c>
    </row>
    <row r="140" spans="1:9">
      <c r="A140" s="2"/>
    </row>
    <row r="141" spans="1:9">
      <c r="A141" s="2" t="s">
        <v>1169</v>
      </c>
    </row>
  </sheetData>
  <mergeCells count="102">
    <mergeCell ref="A132:I132"/>
    <mergeCell ref="A133:I133"/>
    <mergeCell ref="A135:I135"/>
    <mergeCell ref="A136:I136"/>
    <mergeCell ref="A126:B126"/>
    <mergeCell ref="A127:B127"/>
    <mergeCell ref="A128:B128"/>
    <mergeCell ref="F128:G128"/>
    <mergeCell ref="A130:I130"/>
    <mergeCell ref="B1:I1"/>
    <mergeCell ref="A53:I53"/>
    <mergeCell ref="A54:G54"/>
    <mergeCell ref="A58:B58"/>
    <mergeCell ref="A61:B61"/>
    <mergeCell ref="A119:B119"/>
    <mergeCell ref="A120:B120"/>
    <mergeCell ref="A121:B121"/>
    <mergeCell ref="A123:B123"/>
    <mergeCell ref="A111:B111"/>
    <mergeCell ref="A112:B112"/>
    <mergeCell ref="A113:B113"/>
    <mergeCell ref="A114:B114"/>
    <mergeCell ref="A115:B115"/>
    <mergeCell ref="A116:B116"/>
    <mergeCell ref="F116:G116"/>
    <mergeCell ref="A110:B110"/>
    <mergeCell ref="A105:B105"/>
    <mergeCell ref="A106:B106"/>
    <mergeCell ref="A107:B107"/>
    <mergeCell ref="A108:B108"/>
    <mergeCell ref="A99:B99"/>
    <mergeCell ref="A100:B100"/>
    <mergeCell ref="A101:B101"/>
    <mergeCell ref="A103:B103"/>
    <mergeCell ref="A104:B104"/>
    <mergeCell ref="A102:B102"/>
    <mergeCell ref="A94:B94"/>
    <mergeCell ref="A95:B95"/>
    <mergeCell ref="A96:B96"/>
    <mergeCell ref="A98:B98"/>
    <mergeCell ref="A89:B89"/>
    <mergeCell ref="A91:B91"/>
    <mergeCell ref="A92:B92"/>
    <mergeCell ref="A93:B93"/>
    <mergeCell ref="A85:B85"/>
    <mergeCell ref="A87:B87"/>
    <mergeCell ref="A88:B88"/>
    <mergeCell ref="A79:B79"/>
    <mergeCell ref="A80:B80"/>
    <mergeCell ref="A81:B81"/>
    <mergeCell ref="A82:B82"/>
    <mergeCell ref="A75:B75"/>
    <mergeCell ref="A77:B77"/>
    <mergeCell ref="A78:B78"/>
    <mergeCell ref="A70:B70"/>
    <mergeCell ref="A71:B71"/>
    <mergeCell ref="A72:B72"/>
    <mergeCell ref="A73:B73"/>
    <mergeCell ref="A64:B64"/>
    <mergeCell ref="A67:B67"/>
    <mergeCell ref="A68:B68"/>
    <mergeCell ref="A59:B59"/>
    <mergeCell ref="A60:B60"/>
    <mergeCell ref="A62:B62"/>
    <mergeCell ref="A55:B55"/>
    <mergeCell ref="C43:I43"/>
    <mergeCell ref="A45:I45"/>
    <mergeCell ref="C47:I47"/>
    <mergeCell ref="C48:I48"/>
    <mergeCell ref="C49:I49"/>
    <mergeCell ref="A56:B56"/>
    <mergeCell ref="D42:I42"/>
    <mergeCell ref="F25:I25"/>
    <mergeCell ref="F26:I26"/>
    <mergeCell ref="F27:I27"/>
    <mergeCell ref="A29:I29"/>
    <mergeCell ref="D31:I31"/>
    <mergeCell ref="D32:I34"/>
    <mergeCell ref="C35:I35"/>
    <mergeCell ref="A37:I37"/>
    <mergeCell ref="D39:I39"/>
    <mergeCell ref="D40:I40"/>
    <mergeCell ref="D41:I41"/>
    <mergeCell ref="C50:I50"/>
    <mergeCell ref="C51:I51"/>
    <mergeCell ref="A3:I3"/>
    <mergeCell ref="A5:B5"/>
    <mergeCell ref="D5:I5"/>
    <mergeCell ref="A6:B6"/>
    <mergeCell ref="D6:I6"/>
    <mergeCell ref="F24:I24"/>
    <mergeCell ref="A7:B7"/>
    <mergeCell ref="D7:I7"/>
    <mergeCell ref="A8:B8"/>
    <mergeCell ref="D8:I8"/>
    <mergeCell ref="A9:B9"/>
    <mergeCell ref="D9:I9"/>
    <mergeCell ref="A11:I11"/>
    <mergeCell ref="A15:A17"/>
    <mergeCell ref="A20:I20"/>
    <mergeCell ref="F22:I22"/>
    <mergeCell ref="F23:I23"/>
  </mergeCells>
  <pageMargins left="0.23622047244094491" right="0.23622047244094491" top="0.74803149606299213" bottom="0.74803149606299213" header="0.31496062992125984" footer="0.31496062992125984"/>
  <pageSetup paperSize="9" firstPageNumber="188" fitToHeight="5" orientation="landscape" useFirstPageNumber="1"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zoomScale="110" zoomScaleNormal="110" workbookViewId="0">
      <selection sqref="A1:XFD1048576"/>
    </sheetView>
  </sheetViews>
  <sheetFormatPr defaultColWidth="6.5" defaultRowHeight="8.25"/>
  <cols>
    <col min="1" max="1" width="5.5" style="649" customWidth="1"/>
    <col min="2" max="2" width="37.5" style="648" customWidth="1"/>
    <col min="3" max="3" width="5.25" style="648" customWidth="1"/>
    <col min="4" max="4" width="8.5" style="648" customWidth="1"/>
    <col min="5" max="7" width="11" style="648" customWidth="1"/>
    <col min="8" max="8" width="8.75" style="648" customWidth="1"/>
    <col min="9" max="10" width="11" style="648" customWidth="1"/>
    <col min="11" max="12" width="12.75" style="648" bestFit="1" customWidth="1"/>
    <col min="13" max="13" width="10.25" style="648" customWidth="1"/>
    <col min="14" max="19" width="11" style="648" customWidth="1"/>
    <col min="20" max="20" width="13" style="648" customWidth="1"/>
    <col min="21" max="22" width="11" style="648" customWidth="1"/>
    <col min="23" max="23" width="8.75" style="648" customWidth="1"/>
    <col min="24" max="25" width="11" style="648" customWidth="1"/>
    <col min="26" max="26" width="11" style="985" customWidth="1"/>
    <col min="27" max="27" width="11" style="648" customWidth="1"/>
    <col min="28" max="28" width="8.75" style="648" customWidth="1"/>
    <col min="29" max="29" width="11" style="660" customWidth="1"/>
    <col min="30" max="16384" width="6.5" style="648"/>
  </cols>
  <sheetData>
    <row r="1" spans="1:29" s="650" customFormat="1" ht="15.75">
      <c r="A1" s="1262" t="s">
        <v>234</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c r="Y1" s="1262"/>
      <c r="Z1" s="1262"/>
      <c r="AA1" s="1262"/>
      <c r="AB1" s="1262"/>
      <c r="AC1" s="1262"/>
    </row>
    <row r="2" spans="1:29" ht="9" thickBot="1">
      <c r="Z2" s="964"/>
    </row>
    <row r="3" spans="1:29" s="651" customFormat="1" ht="10.5" customHeight="1">
      <c r="A3" s="1535" t="s">
        <v>39</v>
      </c>
      <c r="B3" s="1537" t="s">
        <v>40</v>
      </c>
      <c r="C3" s="1538"/>
      <c r="D3" s="1277" t="s">
        <v>41</v>
      </c>
      <c r="E3" s="1168" t="s">
        <v>94</v>
      </c>
      <c r="F3" s="1169"/>
      <c r="G3" s="1169"/>
      <c r="H3" s="1169"/>
      <c r="I3" s="1541"/>
      <c r="J3" s="1168" t="s">
        <v>410</v>
      </c>
      <c r="K3" s="1169"/>
      <c r="L3" s="1169"/>
      <c r="M3" s="1169"/>
      <c r="N3" s="1170"/>
      <c r="O3" s="1168" t="s">
        <v>1170</v>
      </c>
      <c r="P3" s="1169"/>
      <c r="Q3" s="1169"/>
      <c r="R3" s="1169"/>
      <c r="S3" s="1170"/>
      <c r="T3" s="1539" t="s">
        <v>411</v>
      </c>
      <c r="U3" s="1169"/>
      <c r="V3" s="1169"/>
      <c r="W3" s="1169"/>
      <c r="X3" s="1170"/>
      <c r="Y3" s="1168" t="s">
        <v>95</v>
      </c>
      <c r="Z3" s="1169"/>
      <c r="AA3" s="1169"/>
      <c r="AB3" s="1169"/>
      <c r="AC3" s="1170"/>
    </row>
    <row r="4" spans="1:29" s="652" customFormat="1" ht="10.5" customHeight="1">
      <c r="A4" s="1536"/>
      <c r="B4" s="1321"/>
      <c r="C4" s="1321"/>
      <c r="D4" s="1278"/>
      <c r="E4" s="1175" t="s">
        <v>96</v>
      </c>
      <c r="F4" s="1177" t="s">
        <v>465</v>
      </c>
      <c r="G4" s="1177"/>
      <c r="H4" s="1177"/>
      <c r="I4" s="1178" t="s">
        <v>466</v>
      </c>
      <c r="J4" s="1175" t="s">
        <v>96</v>
      </c>
      <c r="K4" s="1177" t="s">
        <v>465</v>
      </c>
      <c r="L4" s="1177"/>
      <c r="M4" s="1177"/>
      <c r="N4" s="1178" t="s">
        <v>466</v>
      </c>
      <c r="O4" s="1175" t="s">
        <v>96</v>
      </c>
      <c r="P4" s="1177" t="s">
        <v>465</v>
      </c>
      <c r="Q4" s="1177"/>
      <c r="R4" s="1177"/>
      <c r="S4" s="1178" t="s">
        <v>466</v>
      </c>
      <c r="T4" s="1542" t="s">
        <v>96</v>
      </c>
      <c r="U4" s="1177" t="s">
        <v>465</v>
      </c>
      <c r="V4" s="1177"/>
      <c r="W4" s="1177"/>
      <c r="X4" s="1178" t="s">
        <v>466</v>
      </c>
      <c r="Y4" s="1175" t="s">
        <v>96</v>
      </c>
      <c r="Z4" s="1177" t="s">
        <v>465</v>
      </c>
      <c r="AA4" s="1177"/>
      <c r="AB4" s="1177"/>
      <c r="AC4" s="1178" t="s">
        <v>466</v>
      </c>
    </row>
    <row r="5" spans="1:29" s="653" customFormat="1" ht="11.25" customHeight="1" thickBot="1">
      <c r="A5" s="1536"/>
      <c r="B5" s="1321"/>
      <c r="C5" s="1321"/>
      <c r="D5" s="1278"/>
      <c r="E5" s="1175"/>
      <c r="F5" s="657" t="s">
        <v>97</v>
      </c>
      <c r="G5" s="657" t="s">
        <v>35</v>
      </c>
      <c r="H5" s="657" t="s">
        <v>36</v>
      </c>
      <c r="I5" s="1179"/>
      <c r="J5" s="1175"/>
      <c r="K5" s="657" t="s">
        <v>97</v>
      </c>
      <c r="L5" s="657" t="s">
        <v>35</v>
      </c>
      <c r="M5" s="657" t="s">
        <v>36</v>
      </c>
      <c r="N5" s="1179"/>
      <c r="O5" s="1175"/>
      <c r="P5" s="657" t="s">
        <v>97</v>
      </c>
      <c r="Q5" s="657" t="s">
        <v>35</v>
      </c>
      <c r="R5" s="657" t="s">
        <v>36</v>
      </c>
      <c r="S5" s="1179"/>
      <c r="T5" s="1542"/>
      <c r="U5" s="657" t="s">
        <v>97</v>
      </c>
      <c r="V5" s="657" t="s">
        <v>35</v>
      </c>
      <c r="W5" s="657" t="s">
        <v>36</v>
      </c>
      <c r="X5" s="1179"/>
      <c r="Y5" s="1175"/>
      <c r="Z5" s="657" t="s">
        <v>97</v>
      </c>
      <c r="AA5" s="657" t="s">
        <v>35</v>
      </c>
      <c r="AB5" s="657" t="s">
        <v>36</v>
      </c>
      <c r="AC5" s="1179"/>
    </row>
    <row r="6" spans="1:29" s="651" customFormat="1" ht="9.75" customHeight="1">
      <c r="A6" s="708" t="s">
        <v>0</v>
      </c>
      <c r="B6" s="1158" t="s">
        <v>1</v>
      </c>
      <c r="C6" s="1158"/>
      <c r="D6" s="709" t="s">
        <v>25</v>
      </c>
      <c r="E6" s="677">
        <f>SUM(E7:E9)</f>
        <v>37068394.43</v>
      </c>
      <c r="F6" s="661">
        <f>SUM(F7:F9)</f>
        <v>45549734</v>
      </c>
      <c r="G6" s="661">
        <f>SUM(G7:G9)</f>
        <v>46081025.049999997</v>
      </c>
      <c r="H6" s="658">
        <f t="shared" ref="H6:H37" si="0">G6/F6*100</f>
        <v>101.16639770058811</v>
      </c>
      <c r="I6" s="674">
        <f>SUM(I7:I9)</f>
        <v>28804046.280000001</v>
      </c>
      <c r="J6" s="677">
        <f>SUM(J7:J9)</f>
        <v>16312600</v>
      </c>
      <c r="K6" s="661">
        <f t="shared" ref="K6:AA6" si="1">SUM(K7:K9)</f>
        <v>17462911</v>
      </c>
      <c r="L6" s="661">
        <f t="shared" si="1"/>
        <v>17312090.190000001</v>
      </c>
      <c r="M6" s="658">
        <f t="shared" ref="M6:M37" si="2">L6/K6*100</f>
        <v>99.136336375991391</v>
      </c>
      <c r="N6" s="965">
        <f t="shared" ref="N6" si="3">SUM(N7:N9)</f>
        <v>15938822.439999999</v>
      </c>
      <c r="O6" s="677">
        <f>SUM(O7:O9)</f>
        <v>6075540</v>
      </c>
      <c r="P6" s="677">
        <f>SUM(P7:P9)</f>
        <v>13532983</v>
      </c>
      <c r="Q6" s="677">
        <f>SUM(Q7:Q9)</f>
        <v>14217488</v>
      </c>
      <c r="R6" s="677" t="e">
        <f>SUM(R7:R9)</f>
        <v>#DIV/0!</v>
      </c>
      <c r="S6" s="678">
        <f t="shared" ref="S6" si="4">SUM(S7:S9)</f>
        <v>0</v>
      </c>
      <c r="T6" s="694">
        <f t="shared" si="1"/>
        <v>14680254.43</v>
      </c>
      <c r="U6" s="661">
        <f t="shared" si="1"/>
        <v>14553840</v>
      </c>
      <c r="V6" s="661">
        <f t="shared" si="1"/>
        <v>14551446.859999999</v>
      </c>
      <c r="W6" s="658">
        <f t="shared" ref="W6:W37" si="5">V6/U6*100</f>
        <v>99.983556642095834</v>
      </c>
      <c r="X6" s="965">
        <f>X7+X8+X9</f>
        <v>12865223.84</v>
      </c>
      <c r="Y6" s="677">
        <f t="shared" si="1"/>
        <v>1870000</v>
      </c>
      <c r="Z6" s="661">
        <f t="shared" si="1"/>
        <v>1909050</v>
      </c>
      <c r="AA6" s="661">
        <f t="shared" si="1"/>
        <v>1992300.87</v>
      </c>
      <c r="AB6" s="658">
        <f t="shared" ref="AB6:AB37" si="6">AA6/Z6*100</f>
        <v>104.36085330399938</v>
      </c>
      <c r="AC6" s="965">
        <f t="shared" ref="AC6" si="7">SUM(AC7:AC9)</f>
        <v>1346445.32</v>
      </c>
    </row>
    <row r="7" spans="1:29" s="651" customFormat="1" ht="9.75">
      <c r="A7" s="232" t="s">
        <v>2</v>
      </c>
      <c r="B7" s="1159" t="s">
        <v>44</v>
      </c>
      <c r="C7" s="1159"/>
      <c r="D7" s="711" t="s">
        <v>25</v>
      </c>
      <c r="E7" s="222">
        <f>J7+O7+T7</f>
        <v>4087800</v>
      </c>
      <c r="F7" s="667">
        <f>K7+P7+U7</f>
        <v>5800120</v>
      </c>
      <c r="G7" s="966">
        <f>L7+Q7+V7</f>
        <v>7971852.5700000003</v>
      </c>
      <c r="H7" s="664">
        <f t="shared" si="0"/>
        <v>137.44289031951064</v>
      </c>
      <c r="I7" s="336">
        <f>N7+S7+X7</f>
        <v>4008618.35</v>
      </c>
      <c r="J7" s="707">
        <v>4087800</v>
      </c>
      <c r="K7" s="666">
        <v>4106429</v>
      </c>
      <c r="L7" s="967">
        <f>3156244.75+93100+850+766173.82+2277</f>
        <v>4018645.57</v>
      </c>
      <c r="M7" s="664">
        <f t="shared" si="2"/>
        <v>97.862292760936569</v>
      </c>
      <c r="N7" s="666">
        <f>3240611.35+108585+325234+21588</f>
        <v>3696018.35</v>
      </c>
      <c r="O7" s="707"/>
      <c r="P7" s="666">
        <v>1533191</v>
      </c>
      <c r="Q7" s="967">
        <v>3794007</v>
      </c>
      <c r="R7" s="664">
        <f t="shared" ref="R7:R25" si="8">Q7/P7*100</f>
        <v>247.45820970772724</v>
      </c>
      <c r="S7" s="689">
        <v>0</v>
      </c>
      <c r="T7" s="698"/>
      <c r="U7" s="666">
        <v>160500</v>
      </c>
      <c r="V7" s="967">
        <v>159200</v>
      </c>
      <c r="W7" s="664">
        <f t="shared" si="5"/>
        <v>99.190031152647975</v>
      </c>
      <c r="X7" s="666">
        <v>312600</v>
      </c>
      <c r="Y7" s="685">
        <v>1870000</v>
      </c>
      <c r="Z7" s="666">
        <v>1909050</v>
      </c>
      <c r="AA7" s="967">
        <f>1971224+19376.87+1000+700</f>
        <v>1992300.87</v>
      </c>
      <c r="AB7" s="664">
        <f t="shared" si="6"/>
        <v>104.36085330399938</v>
      </c>
      <c r="AC7" s="666">
        <f>3290+1342955.32</f>
        <v>1346245.32</v>
      </c>
    </row>
    <row r="8" spans="1:29" s="651" customFormat="1" ht="9.75">
      <c r="A8" s="968" t="s">
        <v>3</v>
      </c>
      <c r="B8" s="1614" t="s">
        <v>45</v>
      </c>
      <c r="C8" s="1614"/>
      <c r="D8" s="711" t="s">
        <v>25</v>
      </c>
      <c r="E8" s="222">
        <f t="shared" ref="E8:G9" si="9">J8+O8+T8</f>
        <v>500</v>
      </c>
      <c r="F8" s="667">
        <f t="shared" si="9"/>
        <v>500</v>
      </c>
      <c r="G8" s="966">
        <f t="shared" si="9"/>
        <v>248.62</v>
      </c>
      <c r="H8" s="664">
        <f t="shared" si="0"/>
        <v>49.724000000000004</v>
      </c>
      <c r="I8" s="336">
        <f t="shared" ref="I8:I9" si="10">N8+S8+X8</f>
        <v>248.57</v>
      </c>
      <c r="J8" s="969">
        <v>500</v>
      </c>
      <c r="K8" s="667">
        <v>500</v>
      </c>
      <c r="L8" s="966">
        <f>165.76+82.86</f>
        <v>248.62</v>
      </c>
      <c r="M8" s="664">
        <f t="shared" si="2"/>
        <v>49.724000000000004</v>
      </c>
      <c r="N8" s="667">
        <f>82.87+165.7</f>
        <v>248.57</v>
      </c>
      <c r="O8" s="969"/>
      <c r="P8" s="667"/>
      <c r="Q8" s="966"/>
      <c r="R8" s="664" t="e">
        <f t="shared" si="8"/>
        <v>#DIV/0!</v>
      </c>
      <c r="S8" s="689">
        <v>0</v>
      </c>
      <c r="T8" s="699"/>
      <c r="U8" s="667"/>
      <c r="V8" s="966"/>
      <c r="W8" s="664" t="e">
        <f t="shared" si="5"/>
        <v>#DIV/0!</v>
      </c>
      <c r="X8" s="667"/>
      <c r="Y8" s="222"/>
      <c r="Z8" s="667"/>
      <c r="AA8" s="966"/>
      <c r="AB8" s="664" t="e">
        <f t="shared" si="6"/>
        <v>#DIV/0!</v>
      </c>
      <c r="AC8" s="667">
        <v>200</v>
      </c>
    </row>
    <row r="9" spans="1:29" s="651" customFormat="1" ht="9.75">
      <c r="A9" s="968" t="s">
        <v>4</v>
      </c>
      <c r="B9" s="264" t="s">
        <v>60</v>
      </c>
      <c r="C9" s="970"/>
      <c r="D9" s="711" t="s">
        <v>25</v>
      </c>
      <c r="E9" s="222">
        <f>J9+O9+T9</f>
        <v>32980094.43</v>
      </c>
      <c r="F9" s="667">
        <f>K9+P9+U9</f>
        <v>39749114</v>
      </c>
      <c r="G9" s="966">
        <f t="shared" si="9"/>
        <v>38108923.859999999</v>
      </c>
      <c r="H9" s="664">
        <f t="shared" si="0"/>
        <v>95.873643523224189</v>
      </c>
      <c r="I9" s="336">
        <f t="shared" si="10"/>
        <v>24795179.359999999</v>
      </c>
      <c r="J9" s="969">
        <v>12224300</v>
      </c>
      <c r="K9" s="667">
        <v>13355982</v>
      </c>
      <c r="L9" s="966">
        <v>13293196</v>
      </c>
      <c r="M9" s="664">
        <f t="shared" si="2"/>
        <v>99.529903529369832</v>
      </c>
      <c r="N9" s="667">
        <v>12242555.52</v>
      </c>
      <c r="O9" s="969">
        <v>6075540</v>
      </c>
      <c r="P9" s="667">
        <v>11999792</v>
      </c>
      <c r="Q9" s="966">
        <v>10423481</v>
      </c>
      <c r="R9" s="664">
        <f t="shared" si="8"/>
        <v>86.863847306686651</v>
      </c>
      <c r="S9" s="689">
        <v>0</v>
      </c>
      <c r="T9" s="699">
        <f>13367538+1312716.43</f>
        <v>14680254.43</v>
      </c>
      <c r="U9" s="667">
        <v>14393340</v>
      </c>
      <c r="V9" s="966">
        <v>14392246.859999999</v>
      </c>
      <c r="W9" s="664">
        <f t="shared" si="5"/>
        <v>99.992405237422304</v>
      </c>
      <c r="X9" s="667">
        <v>12552623.84</v>
      </c>
      <c r="Y9" s="222"/>
      <c r="Z9" s="667"/>
      <c r="AA9" s="966"/>
      <c r="AB9" s="664" t="e">
        <f t="shared" si="6"/>
        <v>#DIV/0!</v>
      </c>
      <c r="AC9" s="667">
        <v>0</v>
      </c>
    </row>
    <row r="10" spans="1:29" s="651" customFormat="1" ht="9.75">
      <c r="A10" s="708" t="s">
        <v>5</v>
      </c>
      <c r="B10" s="1158" t="s">
        <v>7</v>
      </c>
      <c r="C10" s="1158"/>
      <c r="D10" s="709" t="s">
        <v>25</v>
      </c>
      <c r="E10" s="662">
        <f>SUM(J10,T10,O10)</f>
        <v>0</v>
      </c>
      <c r="F10" s="662">
        <f>SUM(K10,U10,P10)</f>
        <v>180640</v>
      </c>
      <c r="G10" s="662">
        <f>SUM(L10,V10,Q10)</f>
        <v>180515</v>
      </c>
      <c r="H10" s="658">
        <f t="shared" si="0"/>
        <v>99.930801594331271</v>
      </c>
      <c r="I10" s="658">
        <v>0</v>
      </c>
      <c r="J10" s="704"/>
      <c r="K10" s="662"/>
      <c r="L10" s="662"/>
      <c r="M10" s="658" t="e">
        <f t="shared" si="2"/>
        <v>#DIV/0!</v>
      </c>
      <c r="N10" s="662"/>
      <c r="O10" s="704">
        <v>0</v>
      </c>
      <c r="P10" s="662">
        <v>180640</v>
      </c>
      <c r="Q10" s="662">
        <v>180515</v>
      </c>
      <c r="R10" s="658">
        <f t="shared" si="8"/>
        <v>99.930801594331271</v>
      </c>
      <c r="S10" s="684">
        <v>0</v>
      </c>
      <c r="T10" s="697"/>
      <c r="U10" s="662"/>
      <c r="V10" s="662"/>
      <c r="W10" s="658" t="e">
        <f t="shared" si="5"/>
        <v>#DIV/0!</v>
      </c>
      <c r="X10" s="662" t="s">
        <v>404</v>
      </c>
      <c r="Y10" s="683"/>
      <c r="Z10" s="662"/>
      <c r="AA10" s="662"/>
      <c r="AB10" s="658" t="e">
        <f t="shared" si="6"/>
        <v>#DIV/0!</v>
      </c>
      <c r="AC10" s="662"/>
    </row>
    <row r="11" spans="1:29" s="651" customFormat="1" ht="9.75">
      <c r="A11" s="708" t="s">
        <v>6</v>
      </c>
      <c r="B11" s="1158" t="s">
        <v>9</v>
      </c>
      <c r="C11" s="1158"/>
      <c r="D11" s="709" t="s">
        <v>25</v>
      </c>
      <c r="E11" s="677">
        <f>SUM(E12:E31)</f>
        <v>37068394.43</v>
      </c>
      <c r="F11" s="661">
        <f>SUM(F12:F31)</f>
        <v>45549734</v>
      </c>
      <c r="G11" s="661">
        <f>SUM(G12:G31)</f>
        <v>44390366.849999994</v>
      </c>
      <c r="H11" s="658">
        <f t="shared" si="0"/>
        <v>97.454722457874283</v>
      </c>
      <c r="I11" s="674">
        <f>SUM(I12:I31)</f>
        <v>28714912.260000005</v>
      </c>
      <c r="J11" s="677">
        <f>SUM(J12:J31)</f>
        <v>16312600</v>
      </c>
      <c r="K11" s="661">
        <f>SUM(K12:K31)</f>
        <v>17462911</v>
      </c>
      <c r="L11" s="661">
        <f>SUM(L12:L31)</f>
        <v>17133231.670000002</v>
      </c>
      <c r="M11" s="658">
        <f t="shared" si="2"/>
        <v>98.112116988971664</v>
      </c>
      <c r="N11" s="965">
        <f>SUM(N12:N32)</f>
        <v>15847726.389999999</v>
      </c>
      <c r="O11" s="677">
        <f>SUM(O12:O31)</f>
        <v>6075540</v>
      </c>
      <c r="P11" s="677">
        <f t="shared" ref="P11:Q11" si="11">SUM(P12:P31)</f>
        <v>13532983</v>
      </c>
      <c r="Q11" s="677">
        <f t="shared" si="11"/>
        <v>12705688.320000002</v>
      </c>
      <c r="R11" s="658">
        <f t="shared" si="8"/>
        <v>93.886826873276945</v>
      </c>
      <c r="S11" s="678">
        <f>SUM(S12:S31)</f>
        <v>0</v>
      </c>
      <c r="T11" s="694">
        <f>SUM(T12:T31)</f>
        <v>14680254.43</v>
      </c>
      <c r="U11" s="661">
        <f>SUM(U12:U31)</f>
        <v>14553840</v>
      </c>
      <c r="V11" s="661">
        <f>SUM(V12:V31)</f>
        <v>14551446.859999999</v>
      </c>
      <c r="W11" s="658">
        <f t="shared" si="5"/>
        <v>99.983556642095834</v>
      </c>
      <c r="X11" s="971">
        <f>SUM(X12:X32)</f>
        <v>12867185.870000001</v>
      </c>
      <c r="Y11" s="677">
        <f>SUM(Y12:Y31)</f>
        <v>1708080</v>
      </c>
      <c r="Z11" s="661">
        <f>SUM(Z12:Z31)</f>
        <v>1747130</v>
      </c>
      <c r="AA11" s="661">
        <f>SUM(AA12:AA31)</f>
        <v>1738262.5499999998</v>
      </c>
      <c r="AB11" s="658">
        <f t="shared" si="6"/>
        <v>99.492456199595907</v>
      </c>
      <c r="AC11" s="972">
        <f>SUM(AC12:AC32)</f>
        <v>1435832.8</v>
      </c>
    </row>
    <row r="12" spans="1:29" s="651" customFormat="1" ht="9.75">
      <c r="A12" s="232" t="s">
        <v>8</v>
      </c>
      <c r="B12" s="1159" t="s">
        <v>28</v>
      </c>
      <c r="C12" s="1159"/>
      <c r="D12" s="711" t="s">
        <v>25</v>
      </c>
      <c r="E12" s="222">
        <f>J12+O12+T12</f>
        <v>2144000</v>
      </c>
      <c r="F12" s="667">
        <f>K12+P12+U12</f>
        <v>2201377</v>
      </c>
      <c r="G12" s="966">
        <f>L12+Q12+V12</f>
        <v>2010234.86</v>
      </c>
      <c r="H12" s="664">
        <f t="shared" si="0"/>
        <v>91.317155580348114</v>
      </c>
      <c r="I12" s="336">
        <f>N12+S12+X12</f>
        <v>1736471.0499999998</v>
      </c>
      <c r="J12" s="147">
        <v>1591000</v>
      </c>
      <c r="K12" s="666">
        <v>1362377</v>
      </c>
      <c r="L12" s="967">
        <v>1172129.01</v>
      </c>
      <c r="M12" s="664">
        <f t="shared" si="2"/>
        <v>86.035584129796675</v>
      </c>
      <c r="N12" s="666">
        <v>1302732.44</v>
      </c>
      <c r="O12" s="147">
        <v>40000</v>
      </c>
      <c r="P12" s="666">
        <v>549000</v>
      </c>
      <c r="Q12" s="967">
        <v>548554.29</v>
      </c>
      <c r="R12" s="664">
        <f t="shared" si="8"/>
        <v>99.918814207650271</v>
      </c>
      <c r="S12" s="686">
        <v>0</v>
      </c>
      <c r="T12" s="698">
        <f>500000+13000</f>
        <v>513000</v>
      </c>
      <c r="U12" s="666">
        <v>290000</v>
      </c>
      <c r="V12" s="967">
        <v>289551.56</v>
      </c>
      <c r="W12" s="664">
        <f t="shared" si="5"/>
        <v>99.845365517241376</v>
      </c>
      <c r="X12" s="666">
        <v>433738.61</v>
      </c>
      <c r="Y12" s="685">
        <v>40000</v>
      </c>
      <c r="Z12" s="666">
        <v>397600</v>
      </c>
      <c r="AA12" s="967">
        <v>397258.95</v>
      </c>
      <c r="AB12" s="664">
        <f t="shared" si="6"/>
        <v>99.914222837022137</v>
      </c>
      <c r="AC12" s="666">
        <v>75543.259999999995</v>
      </c>
    </row>
    <row r="13" spans="1:29" s="651" customFormat="1" ht="9.75">
      <c r="A13" s="232" t="s">
        <v>10</v>
      </c>
      <c r="B13" s="1159" t="s">
        <v>29</v>
      </c>
      <c r="C13" s="1159"/>
      <c r="D13" s="711" t="s">
        <v>25</v>
      </c>
      <c r="E13" s="222">
        <f t="shared" ref="E13:G32" si="12">J13+O13+T13</f>
        <v>4869000</v>
      </c>
      <c r="F13" s="667">
        <f t="shared" si="12"/>
        <v>5458188</v>
      </c>
      <c r="G13" s="966">
        <f t="shared" si="12"/>
        <v>4681656.53</v>
      </c>
      <c r="H13" s="664">
        <f t="shared" si="0"/>
        <v>85.773090446866249</v>
      </c>
      <c r="I13" s="336">
        <f t="shared" ref="I13:I32" si="13">N13+S13+X13</f>
        <v>1872026.14</v>
      </c>
      <c r="J13" s="147">
        <v>2253000</v>
      </c>
      <c r="K13" s="667">
        <f>2253000-258000</f>
        <v>1995000</v>
      </c>
      <c r="L13" s="966">
        <v>1994169.09</v>
      </c>
      <c r="M13" s="664">
        <f t="shared" si="2"/>
        <v>99.958350375939858</v>
      </c>
      <c r="N13" s="667">
        <v>1872026.14</v>
      </c>
      <c r="O13" s="147">
        <v>2616000</v>
      </c>
      <c r="P13" s="667">
        <v>3463188</v>
      </c>
      <c r="Q13" s="966">
        <v>2687487.44</v>
      </c>
      <c r="R13" s="664">
        <f t="shared" si="8"/>
        <v>77.601546320904319</v>
      </c>
      <c r="S13" s="686">
        <v>0</v>
      </c>
      <c r="T13" s="699">
        <v>0</v>
      </c>
      <c r="U13" s="667">
        <v>0</v>
      </c>
      <c r="V13" s="966"/>
      <c r="W13" s="664" t="e">
        <f t="shared" si="5"/>
        <v>#DIV/0!</v>
      </c>
      <c r="X13" s="667"/>
      <c r="Y13" s="222">
        <v>613000</v>
      </c>
      <c r="Z13" s="667">
        <v>569200</v>
      </c>
      <c r="AA13" s="966">
        <v>568255.72</v>
      </c>
      <c r="AB13" s="664">
        <f t="shared" si="6"/>
        <v>99.83410400562191</v>
      </c>
      <c r="AC13" s="667">
        <v>465830.92</v>
      </c>
    </row>
    <row r="14" spans="1:29" s="651" customFormat="1" ht="9.75">
      <c r="A14" s="232" t="s">
        <v>11</v>
      </c>
      <c r="B14" s="264" t="s">
        <v>61</v>
      </c>
      <c r="C14" s="264"/>
      <c r="D14" s="711" t="s">
        <v>25</v>
      </c>
      <c r="E14" s="222">
        <f t="shared" si="12"/>
        <v>0</v>
      </c>
      <c r="F14" s="667">
        <v>0</v>
      </c>
      <c r="G14" s="966">
        <f t="shared" si="12"/>
        <v>-870</v>
      </c>
      <c r="H14" s="664" t="e">
        <f t="shared" si="0"/>
        <v>#DIV/0!</v>
      </c>
      <c r="I14" s="336">
        <f t="shared" si="13"/>
        <v>0</v>
      </c>
      <c r="J14" s="147">
        <v>0</v>
      </c>
      <c r="K14" s="667">
        <v>0</v>
      </c>
      <c r="L14" s="966">
        <v>-870</v>
      </c>
      <c r="M14" s="664" t="e">
        <f t="shared" si="2"/>
        <v>#DIV/0!</v>
      </c>
      <c r="N14" s="667"/>
      <c r="O14" s="147"/>
      <c r="P14" s="667"/>
      <c r="Q14" s="966"/>
      <c r="R14" s="664" t="e">
        <f t="shared" si="8"/>
        <v>#DIV/0!</v>
      </c>
      <c r="S14" s="686">
        <v>0</v>
      </c>
      <c r="T14" s="699">
        <v>0</v>
      </c>
      <c r="U14" s="667">
        <v>0</v>
      </c>
      <c r="V14" s="966"/>
      <c r="W14" s="664" t="e">
        <f t="shared" si="5"/>
        <v>#DIV/0!</v>
      </c>
      <c r="X14" s="667"/>
      <c r="Y14" s="222">
        <v>0</v>
      </c>
      <c r="Z14" s="667">
        <v>0</v>
      </c>
      <c r="AA14" s="966"/>
      <c r="AB14" s="664" t="e">
        <f t="shared" si="6"/>
        <v>#DIV/0!</v>
      </c>
      <c r="AC14" s="667"/>
    </row>
    <row r="15" spans="1:29" s="651" customFormat="1" ht="9.75">
      <c r="A15" s="232" t="s">
        <v>12</v>
      </c>
      <c r="B15" s="1159" t="s">
        <v>62</v>
      </c>
      <c r="C15" s="1159"/>
      <c r="D15" s="711" t="s">
        <v>25</v>
      </c>
      <c r="E15" s="222">
        <f t="shared" si="12"/>
        <v>153000</v>
      </c>
      <c r="F15" s="667">
        <f t="shared" si="12"/>
        <v>2092398</v>
      </c>
      <c r="G15" s="966">
        <f t="shared" si="12"/>
        <v>2026937.12</v>
      </c>
      <c r="H15" s="664">
        <f t="shared" si="0"/>
        <v>96.871490032011124</v>
      </c>
      <c r="I15" s="336">
        <f t="shared" si="13"/>
        <v>1089996.6499999999</v>
      </c>
      <c r="J15" s="147">
        <v>153000</v>
      </c>
      <c r="K15" s="667">
        <v>1767398</v>
      </c>
      <c r="L15" s="966">
        <v>1702743.06</v>
      </c>
      <c r="M15" s="664">
        <f t="shared" si="2"/>
        <v>96.341800771529677</v>
      </c>
      <c r="N15" s="667">
        <v>1049996.6499999999</v>
      </c>
      <c r="O15" s="147"/>
      <c r="P15" s="667">
        <v>305000</v>
      </c>
      <c r="Q15" s="966">
        <v>304229.06</v>
      </c>
      <c r="R15" s="664">
        <f t="shared" si="8"/>
        <v>99.747232786885249</v>
      </c>
      <c r="S15" s="686">
        <v>0</v>
      </c>
      <c r="T15" s="699">
        <v>0</v>
      </c>
      <c r="U15" s="667">
        <v>20000</v>
      </c>
      <c r="V15" s="966">
        <v>19965</v>
      </c>
      <c r="W15" s="664">
        <f t="shared" si="5"/>
        <v>99.825000000000003</v>
      </c>
      <c r="X15" s="667">
        <v>40000</v>
      </c>
      <c r="Y15" s="222">
        <v>22000</v>
      </c>
      <c r="Z15" s="667">
        <v>76400</v>
      </c>
      <c r="AA15" s="966">
        <v>76206.59</v>
      </c>
      <c r="AB15" s="664">
        <f t="shared" si="6"/>
        <v>99.746845549738211</v>
      </c>
      <c r="AC15" s="667">
        <v>47067.78</v>
      </c>
    </row>
    <row r="16" spans="1:29" s="651" customFormat="1" ht="9.75">
      <c r="A16" s="232" t="s">
        <v>13</v>
      </c>
      <c r="B16" s="1159" t="s">
        <v>30</v>
      </c>
      <c r="C16" s="1159"/>
      <c r="D16" s="711" t="s">
        <v>25</v>
      </c>
      <c r="E16" s="222">
        <f t="shared" si="12"/>
        <v>20000</v>
      </c>
      <c r="F16" s="667">
        <f t="shared" si="12"/>
        <v>13000</v>
      </c>
      <c r="G16" s="966">
        <f t="shared" si="12"/>
        <v>11336</v>
      </c>
      <c r="H16" s="664">
        <f t="shared" si="0"/>
        <v>87.2</v>
      </c>
      <c r="I16" s="336">
        <f t="shared" si="13"/>
        <v>6653</v>
      </c>
      <c r="J16" s="147">
        <v>20000</v>
      </c>
      <c r="K16" s="667">
        <v>13000</v>
      </c>
      <c r="L16" s="966">
        <v>11336</v>
      </c>
      <c r="M16" s="664">
        <f t="shared" si="2"/>
        <v>87.2</v>
      </c>
      <c r="N16" s="667">
        <v>6545</v>
      </c>
      <c r="O16" s="147"/>
      <c r="P16" s="667"/>
      <c r="Q16" s="966"/>
      <c r="R16" s="664" t="e">
        <f t="shared" si="8"/>
        <v>#DIV/0!</v>
      </c>
      <c r="S16" s="686">
        <v>0</v>
      </c>
      <c r="T16" s="699">
        <v>0</v>
      </c>
      <c r="U16" s="667">
        <v>0</v>
      </c>
      <c r="V16" s="966"/>
      <c r="W16" s="664" t="e">
        <f t="shared" si="5"/>
        <v>#DIV/0!</v>
      </c>
      <c r="X16" s="667">
        <v>108</v>
      </c>
      <c r="Y16" s="222">
        <v>0</v>
      </c>
      <c r="Z16" s="667">
        <v>0</v>
      </c>
      <c r="AA16" s="966"/>
      <c r="AB16" s="664" t="e">
        <f t="shared" si="6"/>
        <v>#DIV/0!</v>
      </c>
      <c r="AC16" s="667"/>
    </row>
    <row r="17" spans="1:29" s="651" customFormat="1" ht="9.75">
      <c r="A17" s="232" t="s">
        <v>14</v>
      </c>
      <c r="B17" s="264" t="s">
        <v>46</v>
      </c>
      <c r="C17" s="264"/>
      <c r="D17" s="711" t="s">
        <v>25</v>
      </c>
      <c r="E17" s="222">
        <f t="shared" si="12"/>
        <v>4000</v>
      </c>
      <c r="F17" s="667">
        <f t="shared" si="12"/>
        <v>13500</v>
      </c>
      <c r="G17" s="966">
        <f t="shared" si="12"/>
        <v>12856</v>
      </c>
      <c r="H17" s="664">
        <f t="shared" si="0"/>
        <v>95.229629629629628</v>
      </c>
      <c r="I17" s="336">
        <f t="shared" si="13"/>
        <v>4229</v>
      </c>
      <c r="J17" s="147">
        <v>4000</v>
      </c>
      <c r="K17" s="667">
        <v>11000</v>
      </c>
      <c r="L17" s="966">
        <v>10523</v>
      </c>
      <c r="M17" s="664">
        <f t="shared" si="2"/>
        <v>95.663636363636357</v>
      </c>
      <c r="N17" s="667">
        <v>4229</v>
      </c>
      <c r="O17" s="147"/>
      <c r="P17" s="667">
        <v>2500</v>
      </c>
      <c r="Q17" s="966">
        <v>2333</v>
      </c>
      <c r="R17" s="664">
        <f t="shared" si="8"/>
        <v>93.320000000000007</v>
      </c>
      <c r="S17" s="686">
        <v>0</v>
      </c>
      <c r="T17" s="699">
        <v>0</v>
      </c>
      <c r="U17" s="667">
        <v>0</v>
      </c>
      <c r="V17" s="966"/>
      <c r="W17" s="664" t="e">
        <f t="shared" si="5"/>
        <v>#DIV/0!</v>
      </c>
      <c r="X17" s="667"/>
      <c r="Y17" s="222">
        <v>0</v>
      </c>
      <c r="Z17" s="667">
        <v>0</v>
      </c>
      <c r="AA17" s="966"/>
      <c r="AB17" s="664" t="e">
        <f t="shared" si="6"/>
        <v>#DIV/0!</v>
      </c>
      <c r="AC17" s="667"/>
    </row>
    <row r="18" spans="1:29" s="651" customFormat="1" ht="9.75">
      <c r="A18" s="232" t="s">
        <v>15</v>
      </c>
      <c r="B18" s="1159" t="s">
        <v>31</v>
      </c>
      <c r="C18" s="1159"/>
      <c r="D18" s="711" t="s">
        <v>25</v>
      </c>
      <c r="E18" s="222">
        <f t="shared" si="12"/>
        <v>3418840</v>
      </c>
      <c r="F18" s="667">
        <f t="shared" si="12"/>
        <v>3630268</v>
      </c>
      <c r="G18" s="966">
        <f t="shared" si="12"/>
        <v>3629073.38</v>
      </c>
      <c r="H18" s="664">
        <f t="shared" si="0"/>
        <v>99.967092787639928</v>
      </c>
      <c r="I18" s="336">
        <f t="shared" si="13"/>
        <v>2378901.5100000002</v>
      </c>
      <c r="J18" s="147">
        <v>2806840</v>
      </c>
      <c r="K18" s="667">
        <v>2137868</v>
      </c>
      <c r="L18" s="966">
        <v>2137180.7999999998</v>
      </c>
      <c r="M18" s="664">
        <f t="shared" si="2"/>
        <v>99.967855826458873</v>
      </c>
      <c r="N18" s="667">
        <v>2100404.9700000002</v>
      </c>
      <c r="O18" s="147">
        <v>48000</v>
      </c>
      <c r="P18" s="667">
        <v>728060</v>
      </c>
      <c r="Q18" s="966">
        <v>727962.03</v>
      </c>
      <c r="R18" s="664">
        <f t="shared" si="8"/>
        <v>99.986543691454003</v>
      </c>
      <c r="S18" s="686">
        <v>0</v>
      </c>
      <c r="T18" s="699">
        <f>500000+64000</f>
        <v>564000</v>
      </c>
      <c r="U18" s="667">
        <f>564000+200000+340</f>
        <v>764340</v>
      </c>
      <c r="V18" s="966">
        <v>763930.55</v>
      </c>
      <c r="W18" s="664">
        <f t="shared" si="5"/>
        <v>99.946430907711232</v>
      </c>
      <c r="X18" s="667">
        <v>278496.53999999998</v>
      </c>
      <c r="Y18" s="222">
        <v>35800</v>
      </c>
      <c r="Z18" s="667">
        <v>46150</v>
      </c>
      <c r="AA18" s="966">
        <v>45812.11</v>
      </c>
      <c r="AB18" s="664">
        <f t="shared" si="6"/>
        <v>99.267843986998912</v>
      </c>
      <c r="AC18" s="667">
        <v>32772.47</v>
      </c>
    </row>
    <row r="19" spans="1:29" s="654" customFormat="1" ht="9.75">
      <c r="A19" s="232" t="s">
        <v>16</v>
      </c>
      <c r="B19" s="1159" t="s">
        <v>32</v>
      </c>
      <c r="C19" s="1159"/>
      <c r="D19" s="711" t="s">
        <v>25</v>
      </c>
      <c r="E19" s="222">
        <f t="shared" si="12"/>
        <v>16042490</v>
      </c>
      <c r="F19" s="667">
        <f t="shared" si="12"/>
        <v>18272141</v>
      </c>
      <c r="G19" s="966">
        <f t="shared" si="12"/>
        <v>18271657</v>
      </c>
      <c r="H19" s="664">
        <f t="shared" si="0"/>
        <v>99.997351158794146</v>
      </c>
      <c r="I19" s="336">
        <f t="shared" si="13"/>
        <v>13603224</v>
      </c>
      <c r="J19" s="973">
        <v>5392000</v>
      </c>
      <c r="K19" s="667">
        <v>5305400</v>
      </c>
      <c r="L19" s="966">
        <v>5305365</v>
      </c>
      <c r="M19" s="664">
        <f t="shared" si="2"/>
        <v>99.999340294793981</v>
      </c>
      <c r="N19" s="667">
        <v>4786991</v>
      </c>
      <c r="O19" s="973">
        <v>636000</v>
      </c>
      <c r="P19" s="667">
        <v>2916741</v>
      </c>
      <c r="Q19" s="966">
        <v>2916714</v>
      </c>
      <c r="R19" s="664">
        <f t="shared" si="8"/>
        <v>99.999074309306181</v>
      </c>
      <c r="S19" s="686">
        <v>0</v>
      </c>
      <c r="T19" s="699">
        <f>8990490+64000+960000</f>
        <v>10014490</v>
      </c>
      <c r="U19" s="667">
        <v>10050000</v>
      </c>
      <c r="V19" s="966">
        <v>10049578</v>
      </c>
      <c r="W19" s="664">
        <f t="shared" si="5"/>
        <v>99.995800995024879</v>
      </c>
      <c r="X19" s="667">
        <f>8816233</f>
        <v>8816233</v>
      </c>
      <c r="Y19" s="738">
        <v>505000</v>
      </c>
      <c r="Z19" s="741">
        <v>193000</v>
      </c>
      <c r="AA19" s="974">
        <v>190497</v>
      </c>
      <c r="AB19" s="664">
        <f t="shared" si="6"/>
        <v>98.703108808290153</v>
      </c>
      <c r="AC19" s="741">
        <v>283725</v>
      </c>
    </row>
    <row r="20" spans="1:29" s="651" customFormat="1" ht="9.75">
      <c r="A20" s="232" t="s">
        <v>17</v>
      </c>
      <c r="B20" s="1159" t="s">
        <v>47</v>
      </c>
      <c r="C20" s="1159"/>
      <c r="D20" s="711" t="s">
        <v>25</v>
      </c>
      <c r="E20" s="222">
        <f t="shared" si="12"/>
        <v>5254735</v>
      </c>
      <c r="F20" s="667">
        <f t="shared" si="12"/>
        <v>5629510</v>
      </c>
      <c r="G20" s="966">
        <f t="shared" si="12"/>
        <v>5628817.7199999997</v>
      </c>
      <c r="H20" s="664">
        <f t="shared" si="0"/>
        <v>99.98770265973414</v>
      </c>
      <c r="I20" s="336">
        <f t="shared" si="13"/>
        <v>4178388.2800000003</v>
      </c>
      <c r="J20" s="147">
        <v>1650400</v>
      </c>
      <c r="K20" s="667">
        <v>1586500</v>
      </c>
      <c r="L20" s="966">
        <f>1567021.93+19472.01</f>
        <v>1586493.94</v>
      </c>
      <c r="M20" s="664">
        <f t="shared" si="2"/>
        <v>99.999618027103693</v>
      </c>
      <c r="N20" s="667">
        <f>1392223.15+17441.3</f>
        <v>1409664.45</v>
      </c>
      <c r="O20" s="147">
        <v>217100</v>
      </c>
      <c r="P20" s="667">
        <v>937010</v>
      </c>
      <c r="Q20" s="966">
        <f>925591.93+11395.1</f>
        <v>936987.03</v>
      </c>
      <c r="R20" s="664">
        <f t="shared" si="8"/>
        <v>99.997548585393972</v>
      </c>
      <c r="S20" s="686">
        <v>0</v>
      </c>
      <c r="T20" s="699">
        <f>3057235+330000</f>
        <v>3387235</v>
      </c>
      <c r="U20" s="667">
        <v>3106000</v>
      </c>
      <c r="V20" s="966">
        <f>3067231.88+38104.87</f>
        <v>3105336.75</v>
      </c>
      <c r="W20" s="664">
        <f t="shared" si="5"/>
        <v>99.978646168705737</v>
      </c>
      <c r="X20" s="667">
        <f>2734894.88+33828.95</f>
        <v>2768723.83</v>
      </c>
      <c r="Y20" s="222">
        <v>171000</v>
      </c>
      <c r="Z20" s="667">
        <v>51000</v>
      </c>
      <c r="AA20" s="966">
        <v>49398.559999999998</v>
      </c>
      <c r="AB20" s="664">
        <f t="shared" si="6"/>
        <v>96.859921568627456</v>
      </c>
      <c r="AC20" s="667">
        <f>83857.97+1041.92</f>
        <v>84899.89</v>
      </c>
    </row>
    <row r="21" spans="1:29" s="651" customFormat="1" ht="9.75">
      <c r="A21" s="232" t="s">
        <v>18</v>
      </c>
      <c r="B21" s="1159" t="s">
        <v>48</v>
      </c>
      <c r="C21" s="1159"/>
      <c r="D21" s="711" t="s">
        <v>25</v>
      </c>
      <c r="E21" s="222">
        <f t="shared" si="12"/>
        <v>395869.43</v>
      </c>
      <c r="F21" s="667">
        <f t="shared" si="12"/>
        <v>707889</v>
      </c>
      <c r="G21" s="966">
        <f t="shared" si="12"/>
        <v>707747.76</v>
      </c>
      <c r="H21" s="664">
        <f t="shared" si="0"/>
        <v>99.980047719345833</v>
      </c>
      <c r="I21" s="336">
        <f t="shared" si="13"/>
        <v>365042.33999999997</v>
      </c>
      <c r="J21" s="147">
        <v>175900</v>
      </c>
      <c r="K21" s="667">
        <v>373649</v>
      </c>
      <c r="L21" s="966">
        <f>373323.1+300</f>
        <v>373623.1</v>
      </c>
      <c r="M21" s="664">
        <f t="shared" si="2"/>
        <v>99.993068360948371</v>
      </c>
      <c r="N21" s="667">
        <f>180577.6+350</f>
        <v>180927.6</v>
      </c>
      <c r="O21" s="147">
        <v>18440</v>
      </c>
      <c r="P21" s="667">
        <v>147240</v>
      </c>
      <c r="Q21" s="966">
        <v>147210.48000000001</v>
      </c>
      <c r="R21" s="664">
        <f t="shared" si="8"/>
        <v>99.979951100244506</v>
      </c>
      <c r="S21" s="686">
        <v>0</v>
      </c>
      <c r="T21" s="699">
        <f>178813+22716.43</f>
        <v>201529.43</v>
      </c>
      <c r="U21" s="667">
        <v>187000</v>
      </c>
      <c r="V21" s="966">
        <v>186914.18</v>
      </c>
      <c r="W21" s="664">
        <f t="shared" si="5"/>
        <v>99.954106951871651</v>
      </c>
      <c r="X21" s="667">
        <f>184114.74</f>
        <v>184114.74</v>
      </c>
      <c r="Y21" s="222">
        <v>12100</v>
      </c>
      <c r="Z21" s="667">
        <v>3300</v>
      </c>
      <c r="AA21" s="966">
        <v>2951.94</v>
      </c>
      <c r="AB21" s="664">
        <f t="shared" si="6"/>
        <v>89.452727272727273</v>
      </c>
      <c r="AC21" s="667">
        <f>4996.9</f>
        <v>4996.8999999999996</v>
      </c>
    </row>
    <row r="22" spans="1:29" s="651" customFormat="1" ht="9.75">
      <c r="A22" s="232" t="s">
        <v>19</v>
      </c>
      <c r="B22" s="1159" t="s">
        <v>63</v>
      </c>
      <c r="C22" s="1159"/>
      <c r="D22" s="711" t="s">
        <v>25</v>
      </c>
      <c r="E22" s="222">
        <f t="shared" si="12"/>
        <v>9300</v>
      </c>
      <c r="F22" s="667">
        <f t="shared" si="12"/>
        <v>3610</v>
      </c>
      <c r="G22" s="966">
        <f t="shared" si="12"/>
        <v>3401</v>
      </c>
      <c r="H22" s="664">
        <f t="shared" si="0"/>
        <v>94.21052631578948</v>
      </c>
      <c r="I22" s="336">
        <f t="shared" si="13"/>
        <v>6441.2</v>
      </c>
      <c r="J22" s="147">
        <v>9300</v>
      </c>
      <c r="K22" s="667">
        <v>2610</v>
      </c>
      <c r="L22" s="966">
        <v>2601</v>
      </c>
      <c r="M22" s="664">
        <f t="shared" si="2"/>
        <v>99.655172413793096</v>
      </c>
      <c r="N22" s="667">
        <v>6441.2</v>
      </c>
      <c r="O22" s="147"/>
      <c r="P22" s="667">
        <v>1000</v>
      </c>
      <c r="Q22" s="966">
        <v>800</v>
      </c>
      <c r="R22" s="664">
        <f t="shared" si="8"/>
        <v>80</v>
      </c>
      <c r="S22" s="686">
        <v>0</v>
      </c>
      <c r="T22" s="699"/>
      <c r="U22" s="667"/>
      <c r="V22" s="966"/>
      <c r="W22" s="664" t="e">
        <f t="shared" si="5"/>
        <v>#DIV/0!</v>
      </c>
      <c r="X22" s="667"/>
      <c r="Y22" s="222">
        <v>6000</v>
      </c>
      <c r="Z22" s="667">
        <v>2600</v>
      </c>
      <c r="AA22" s="966">
        <f>2100+399</f>
        <v>2499</v>
      </c>
      <c r="AB22" s="664">
        <f t="shared" si="6"/>
        <v>96.115384615384613</v>
      </c>
      <c r="AC22" s="667">
        <f>1980+719.8</f>
        <v>2699.8</v>
      </c>
    </row>
    <row r="23" spans="1:29" s="651" customFormat="1" ht="9.75">
      <c r="A23" s="232" t="s">
        <v>20</v>
      </c>
      <c r="B23" s="264" t="s">
        <v>98</v>
      </c>
      <c r="C23" s="264"/>
      <c r="D23" s="711" t="s">
        <v>25</v>
      </c>
      <c r="E23" s="222">
        <f t="shared" si="12"/>
        <v>0</v>
      </c>
      <c r="F23" s="667">
        <f t="shared" si="12"/>
        <v>2300</v>
      </c>
      <c r="G23" s="966">
        <f t="shared" si="12"/>
        <v>2275</v>
      </c>
      <c r="H23" s="664">
        <f t="shared" si="0"/>
        <v>98.91304347826086</v>
      </c>
      <c r="I23" s="336">
        <f t="shared" si="13"/>
        <v>0</v>
      </c>
      <c r="J23" s="147">
        <v>0</v>
      </c>
      <c r="K23" s="667">
        <v>2300</v>
      </c>
      <c r="L23" s="966">
        <v>2275</v>
      </c>
      <c r="M23" s="664">
        <f t="shared" si="2"/>
        <v>98.91304347826086</v>
      </c>
      <c r="N23" s="667"/>
      <c r="O23" s="147"/>
      <c r="P23" s="667"/>
      <c r="Q23" s="966"/>
      <c r="R23" s="664" t="e">
        <f t="shared" si="8"/>
        <v>#DIV/0!</v>
      </c>
      <c r="S23" s="686">
        <v>0</v>
      </c>
      <c r="T23" s="699"/>
      <c r="U23" s="667"/>
      <c r="V23" s="966"/>
      <c r="W23" s="664" t="e">
        <f t="shared" si="5"/>
        <v>#DIV/0!</v>
      </c>
      <c r="X23" s="667"/>
      <c r="Y23" s="222"/>
      <c r="Z23" s="667">
        <v>700</v>
      </c>
      <c r="AA23" s="966">
        <v>700</v>
      </c>
      <c r="AB23" s="664">
        <f t="shared" si="6"/>
        <v>100</v>
      </c>
      <c r="AC23" s="667"/>
    </row>
    <row r="24" spans="1:29" s="651" customFormat="1" ht="9.75">
      <c r="A24" s="232" t="s">
        <v>21</v>
      </c>
      <c r="B24" s="264" t="s">
        <v>71</v>
      </c>
      <c r="C24" s="264"/>
      <c r="D24" s="711" t="s">
        <v>25</v>
      </c>
      <c r="E24" s="222">
        <f t="shared" si="12"/>
        <v>0</v>
      </c>
      <c r="F24" s="667">
        <f t="shared" si="12"/>
        <v>0</v>
      </c>
      <c r="G24" s="966">
        <f t="shared" si="12"/>
        <v>0</v>
      </c>
      <c r="H24" s="664" t="e">
        <f t="shared" si="0"/>
        <v>#DIV/0!</v>
      </c>
      <c r="I24" s="336">
        <f t="shared" si="13"/>
        <v>0</v>
      </c>
      <c r="J24" s="147">
        <v>0</v>
      </c>
      <c r="K24" s="667">
        <v>0</v>
      </c>
      <c r="L24" s="966"/>
      <c r="M24" s="664" t="e">
        <f t="shared" si="2"/>
        <v>#DIV/0!</v>
      </c>
      <c r="N24" s="667"/>
      <c r="O24" s="147"/>
      <c r="P24" s="667"/>
      <c r="Q24" s="966"/>
      <c r="R24" s="664" t="e">
        <f t="shared" si="8"/>
        <v>#DIV/0!</v>
      </c>
      <c r="S24" s="686">
        <v>0</v>
      </c>
      <c r="T24" s="699"/>
      <c r="U24" s="667"/>
      <c r="V24" s="966"/>
      <c r="W24" s="664" t="e">
        <f t="shared" si="5"/>
        <v>#DIV/0!</v>
      </c>
      <c r="X24" s="667"/>
      <c r="Y24" s="222"/>
      <c r="Z24" s="667"/>
      <c r="AA24" s="966"/>
      <c r="AB24" s="664" t="e">
        <f t="shared" si="6"/>
        <v>#DIV/0!</v>
      </c>
      <c r="AC24" s="667"/>
    </row>
    <row r="25" spans="1:29" s="651" customFormat="1" ht="9.75">
      <c r="A25" s="232" t="s">
        <v>22</v>
      </c>
      <c r="B25" s="264" t="s">
        <v>66</v>
      </c>
      <c r="C25" s="264"/>
      <c r="D25" s="711" t="s">
        <v>25</v>
      </c>
      <c r="E25" s="222">
        <f t="shared" si="12"/>
        <v>0</v>
      </c>
      <c r="F25" s="667">
        <f t="shared" si="12"/>
        <v>850</v>
      </c>
      <c r="G25" s="966">
        <f t="shared" si="12"/>
        <v>850</v>
      </c>
      <c r="H25" s="664">
        <f t="shared" si="0"/>
        <v>100</v>
      </c>
      <c r="I25" s="336">
        <f t="shared" si="13"/>
        <v>0</v>
      </c>
      <c r="J25" s="147">
        <v>0</v>
      </c>
      <c r="K25" s="666">
        <v>850</v>
      </c>
      <c r="L25" s="967">
        <v>850</v>
      </c>
      <c r="M25" s="664">
        <f t="shared" si="2"/>
        <v>100</v>
      </c>
      <c r="N25" s="666"/>
      <c r="O25" s="147"/>
      <c r="P25" s="666"/>
      <c r="Q25" s="967"/>
      <c r="R25" s="664" t="e">
        <f t="shared" si="8"/>
        <v>#DIV/0!</v>
      </c>
      <c r="S25" s="686">
        <v>0</v>
      </c>
      <c r="T25" s="698"/>
      <c r="U25" s="666"/>
      <c r="V25" s="967"/>
      <c r="W25" s="664" t="e">
        <f t="shared" si="5"/>
        <v>#DIV/0!</v>
      </c>
      <c r="X25" s="666"/>
      <c r="Y25" s="685"/>
      <c r="Z25" s="666"/>
      <c r="AA25" s="967"/>
      <c r="AB25" s="664" t="e">
        <f t="shared" si="6"/>
        <v>#DIV/0!</v>
      </c>
      <c r="AC25" s="666"/>
    </row>
    <row r="26" spans="1:29" s="655" customFormat="1" ht="9.75">
      <c r="A26" s="232" t="s">
        <v>23</v>
      </c>
      <c r="B26" s="1159" t="s">
        <v>67</v>
      </c>
      <c r="C26" s="1159"/>
      <c r="D26" s="711" t="s">
        <v>25</v>
      </c>
      <c r="E26" s="222">
        <f t="shared" si="12"/>
        <v>1867160</v>
      </c>
      <c r="F26" s="667">
        <f t="shared" si="12"/>
        <v>3519980</v>
      </c>
      <c r="G26" s="966">
        <f t="shared" si="12"/>
        <v>3401779.9</v>
      </c>
      <c r="H26" s="669">
        <f>G26/F26*100</f>
        <v>96.64202353422462</v>
      </c>
      <c r="I26" s="336">
        <f t="shared" si="13"/>
        <v>2596571.4900000002</v>
      </c>
      <c r="J26" s="147">
        <v>1867160</v>
      </c>
      <c r="K26" s="667">
        <v>1906736</v>
      </c>
      <c r="L26" s="966">
        <v>1837375.9</v>
      </c>
      <c r="M26" s="664">
        <f>L26/K26*100</f>
        <v>96.362364795126325</v>
      </c>
      <c r="N26" s="667">
        <v>2596571.4900000002</v>
      </c>
      <c r="O26" s="147"/>
      <c r="P26" s="667">
        <v>1613244</v>
      </c>
      <c r="Q26" s="966">
        <v>1564404</v>
      </c>
      <c r="R26" s="664">
        <f>Q26/P26*100</f>
        <v>96.972559637599758</v>
      </c>
      <c r="S26" s="686">
        <v>0</v>
      </c>
      <c r="T26" s="699"/>
      <c r="U26" s="667"/>
      <c r="V26" s="966"/>
      <c r="W26" s="664" t="e">
        <f>V26/U26*100</f>
        <v>#DIV/0!</v>
      </c>
      <c r="X26" s="667"/>
      <c r="Y26" s="869">
        <v>282180</v>
      </c>
      <c r="Z26" s="192">
        <v>282180</v>
      </c>
      <c r="AA26" s="975">
        <f>281858.1</f>
        <v>281858.09999999998</v>
      </c>
      <c r="AB26" s="664">
        <f>AA26/Z26*100</f>
        <v>99.885923878375493</v>
      </c>
      <c r="AC26" s="192">
        <v>396910.04</v>
      </c>
    </row>
    <row r="27" spans="1:29" s="655" customFormat="1" ht="9.75">
      <c r="A27" s="232" t="s">
        <v>43</v>
      </c>
      <c r="B27" s="264" t="s">
        <v>68</v>
      </c>
      <c r="C27" s="264"/>
      <c r="D27" s="711" t="s">
        <v>25</v>
      </c>
      <c r="E27" s="222">
        <f t="shared" si="12"/>
        <v>0</v>
      </c>
      <c r="F27" s="667">
        <f t="shared" si="12"/>
        <v>0</v>
      </c>
      <c r="G27" s="966">
        <f t="shared" si="12"/>
        <v>0</v>
      </c>
      <c r="H27" s="669" t="e">
        <f t="shared" si="0"/>
        <v>#DIV/0!</v>
      </c>
      <c r="I27" s="336">
        <f t="shared" si="13"/>
        <v>0</v>
      </c>
      <c r="J27" s="147"/>
      <c r="K27" s="667"/>
      <c r="L27" s="966"/>
      <c r="M27" s="664" t="e">
        <f t="shared" si="2"/>
        <v>#DIV/0!</v>
      </c>
      <c r="N27" s="667"/>
      <c r="O27" s="147"/>
      <c r="P27" s="667"/>
      <c r="Q27" s="966"/>
      <c r="R27" s="664" t="e">
        <f t="shared" ref="R27" si="14">Q27/P27*100</f>
        <v>#DIV/0!</v>
      </c>
      <c r="S27" s="686">
        <v>0</v>
      </c>
      <c r="T27" s="699"/>
      <c r="U27" s="667"/>
      <c r="V27" s="966"/>
      <c r="W27" s="664" t="e">
        <f t="shared" si="5"/>
        <v>#DIV/0!</v>
      </c>
      <c r="X27" s="667"/>
      <c r="Y27" s="869"/>
      <c r="Z27" s="192"/>
      <c r="AA27" s="975"/>
      <c r="AB27" s="664" t="e">
        <f t="shared" si="6"/>
        <v>#DIV/0!</v>
      </c>
      <c r="AC27" s="192"/>
    </row>
    <row r="28" spans="1:29" s="655" customFormat="1" ht="9.75">
      <c r="A28" s="232" t="s">
        <v>49</v>
      </c>
      <c r="B28" s="264" t="s">
        <v>72</v>
      </c>
      <c r="C28" s="264"/>
      <c r="D28" s="711" t="s">
        <v>25</v>
      </c>
      <c r="E28" s="222">
        <f t="shared" si="12"/>
        <v>2780000</v>
      </c>
      <c r="F28" s="667">
        <f t="shared" si="12"/>
        <v>3883723</v>
      </c>
      <c r="G28" s="966">
        <f t="shared" si="12"/>
        <v>3882327.76</v>
      </c>
      <c r="H28" s="669">
        <f>G28/F28*100</f>
        <v>99.964074677828464</v>
      </c>
      <c r="I28" s="336">
        <f t="shared" si="13"/>
        <v>773920.91</v>
      </c>
      <c r="J28" s="147">
        <v>280000</v>
      </c>
      <c r="K28" s="667">
        <f>319782+557500-59</f>
        <v>877223</v>
      </c>
      <c r="L28" s="966">
        <v>877149.58</v>
      </c>
      <c r="M28" s="664">
        <f>L28/K28*100</f>
        <v>99.991630406407481</v>
      </c>
      <c r="N28" s="667">
        <v>428149.76000000001</v>
      </c>
      <c r="O28" s="147">
        <v>2500000</v>
      </c>
      <c r="P28" s="667">
        <v>2870000</v>
      </c>
      <c r="Q28" s="966">
        <v>2869007.36</v>
      </c>
      <c r="R28" s="664">
        <f>Q28/P28*100</f>
        <v>99.965413240418115</v>
      </c>
      <c r="S28" s="686">
        <v>0</v>
      </c>
      <c r="T28" s="699"/>
      <c r="U28" s="667">
        <v>136500</v>
      </c>
      <c r="V28" s="966">
        <v>136170.82</v>
      </c>
      <c r="W28" s="664">
        <f>V28/U28*100</f>
        <v>99.758842490842497</v>
      </c>
      <c r="X28" s="667">
        <v>345771.15</v>
      </c>
      <c r="Y28" s="227">
        <v>8000</v>
      </c>
      <c r="Z28" s="192">
        <v>118000</v>
      </c>
      <c r="AA28" s="975">
        <v>116815.77</v>
      </c>
      <c r="AB28" s="664">
        <f>AA28/Z28*100</f>
        <v>98.996415254237291</v>
      </c>
      <c r="AC28" s="192">
        <v>35377.93</v>
      </c>
    </row>
    <row r="29" spans="1:29" s="656" customFormat="1" ht="9.75">
      <c r="A29" s="232" t="s">
        <v>50</v>
      </c>
      <c r="B29" s="264" t="s">
        <v>65</v>
      </c>
      <c r="C29" s="264"/>
      <c r="D29" s="711" t="s">
        <v>25</v>
      </c>
      <c r="E29" s="222">
        <f t="shared" si="12"/>
        <v>110000</v>
      </c>
      <c r="F29" s="667">
        <f t="shared" si="12"/>
        <v>121000</v>
      </c>
      <c r="G29" s="966">
        <f t="shared" si="12"/>
        <v>120286.82</v>
      </c>
      <c r="H29" s="669">
        <f t="shared" si="0"/>
        <v>99.410595041322324</v>
      </c>
      <c r="I29" s="336">
        <f t="shared" si="13"/>
        <v>103046.69</v>
      </c>
      <c r="J29" s="147">
        <v>110000</v>
      </c>
      <c r="K29" s="667">
        <f>11000+110000</f>
        <v>121000</v>
      </c>
      <c r="L29" s="966">
        <v>120287.19</v>
      </c>
      <c r="M29" s="664">
        <f t="shared" si="2"/>
        <v>99.41090082644628</v>
      </c>
      <c r="N29" s="667">
        <v>103046.69</v>
      </c>
      <c r="O29" s="147"/>
      <c r="P29" s="667">
        <v>0</v>
      </c>
      <c r="Q29" s="966">
        <v>-0.37</v>
      </c>
      <c r="R29" s="664" t="e">
        <f t="shared" ref="R29:R37" si="15">Q29/P29*100</f>
        <v>#DIV/0!</v>
      </c>
      <c r="S29" s="686">
        <v>0</v>
      </c>
      <c r="T29" s="699"/>
      <c r="U29" s="667"/>
      <c r="V29" s="966"/>
      <c r="W29" s="664" t="e">
        <f t="shared" si="5"/>
        <v>#DIV/0!</v>
      </c>
      <c r="X29" s="667"/>
      <c r="Y29" s="869">
        <v>13000</v>
      </c>
      <c r="Z29" s="192">
        <v>7000</v>
      </c>
      <c r="AA29" s="975">
        <v>6008.81</v>
      </c>
      <c r="AB29" s="664">
        <f t="shared" si="6"/>
        <v>85.840142857142865</v>
      </c>
      <c r="AC29" s="192">
        <v>6008.81</v>
      </c>
    </row>
    <row r="30" spans="1:29" s="651" customFormat="1" ht="9.75">
      <c r="A30" s="232" t="s">
        <v>52</v>
      </c>
      <c r="B30" s="264" t="s">
        <v>51</v>
      </c>
      <c r="C30" s="264"/>
      <c r="D30" s="711" t="s">
        <v>25</v>
      </c>
      <c r="E30" s="222">
        <f t="shared" si="12"/>
        <v>0</v>
      </c>
      <c r="F30" s="667">
        <f t="shared" si="12"/>
        <v>0</v>
      </c>
      <c r="G30" s="966">
        <f t="shared" si="12"/>
        <v>0</v>
      </c>
      <c r="H30" s="669" t="e">
        <f t="shared" si="0"/>
        <v>#DIV/0!</v>
      </c>
      <c r="I30" s="336">
        <f t="shared" si="13"/>
        <v>0</v>
      </c>
      <c r="J30" s="147"/>
      <c r="K30" s="667"/>
      <c r="L30" s="966"/>
      <c r="M30" s="664" t="e">
        <f t="shared" si="2"/>
        <v>#DIV/0!</v>
      </c>
      <c r="N30" s="667"/>
      <c r="O30" s="147"/>
      <c r="P30" s="667"/>
      <c r="Q30" s="966"/>
      <c r="R30" s="664" t="e">
        <f t="shared" si="15"/>
        <v>#DIV/0!</v>
      </c>
      <c r="S30" s="686">
        <v>0</v>
      </c>
      <c r="T30" s="699"/>
      <c r="U30" s="667"/>
      <c r="V30" s="966"/>
      <c r="W30" s="664" t="e">
        <f t="shared" si="5"/>
        <v>#DIV/0!</v>
      </c>
      <c r="X30" s="667"/>
      <c r="Y30" s="227"/>
      <c r="Z30" s="192"/>
      <c r="AA30" s="975"/>
      <c r="AB30" s="664" t="e">
        <f t="shared" si="6"/>
        <v>#DIV/0!</v>
      </c>
      <c r="AC30" s="192"/>
    </row>
    <row r="31" spans="1:29" s="982" customFormat="1" ht="9.75">
      <c r="A31" s="232" t="s">
        <v>53</v>
      </c>
      <c r="B31" s="264" t="s">
        <v>69</v>
      </c>
      <c r="C31" s="264"/>
      <c r="D31" s="711" t="s">
        <v>25</v>
      </c>
      <c r="E31" s="222">
        <f t="shared" si="12"/>
        <v>0</v>
      </c>
      <c r="F31" s="667">
        <f t="shared" si="12"/>
        <v>0</v>
      </c>
      <c r="G31" s="966">
        <f t="shared" si="12"/>
        <v>0</v>
      </c>
      <c r="H31" s="669" t="e">
        <f t="shared" si="0"/>
        <v>#DIV/0!</v>
      </c>
      <c r="I31" s="336">
        <f t="shared" si="13"/>
        <v>0</v>
      </c>
      <c r="J31" s="147"/>
      <c r="K31" s="976"/>
      <c r="L31" s="977"/>
      <c r="M31" s="664" t="e">
        <f t="shared" si="2"/>
        <v>#DIV/0!</v>
      </c>
      <c r="N31" s="976"/>
      <c r="O31" s="147"/>
      <c r="P31" s="976"/>
      <c r="Q31" s="977"/>
      <c r="R31" s="664" t="e">
        <f t="shared" si="15"/>
        <v>#DIV/0!</v>
      </c>
      <c r="S31" s="686">
        <v>0</v>
      </c>
      <c r="T31" s="978"/>
      <c r="U31" s="976"/>
      <c r="V31" s="977"/>
      <c r="W31" s="664" t="e">
        <f t="shared" si="5"/>
        <v>#DIV/0!</v>
      </c>
      <c r="X31" s="976"/>
      <c r="Y31" s="979"/>
      <c r="Z31" s="980"/>
      <c r="AA31" s="981"/>
      <c r="AB31" s="664" t="e">
        <f t="shared" si="6"/>
        <v>#DIV/0!</v>
      </c>
      <c r="AC31" s="830"/>
    </row>
    <row r="32" spans="1:29" s="982" customFormat="1" ht="9.75">
      <c r="A32" s="232" t="s">
        <v>54</v>
      </c>
      <c r="B32" s="264" t="s">
        <v>70</v>
      </c>
      <c r="C32" s="264"/>
      <c r="D32" s="711" t="s">
        <v>25</v>
      </c>
      <c r="E32" s="222">
        <f t="shared" si="12"/>
        <v>0</v>
      </c>
      <c r="F32" s="667">
        <f t="shared" si="12"/>
        <v>0</v>
      </c>
      <c r="G32" s="966">
        <f t="shared" si="12"/>
        <v>0</v>
      </c>
      <c r="H32" s="669" t="e">
        <f t="shared" si="0"/>
        <v>#DIV/0!</v>
      </c>
      <c r="I32" s="336">
        <f t="shared" si="13"/>
        <v>0</v>
      </c>
      <c r="J32" s="707"/>
      <c r="K32" s="980"/>
      <c r="L32" s="981"/>
      <c r="M32" s="664" t="e">
        <f t="shared" si="2"/>
        <v>#DIV/0!</v>
      </c>
      <c r="N32" s="830"/>
      <c r="O32" s="707"/>
      <c r="P32" s="980"/>
      <c r="Q32" s="981"/>
      <c r="R32" s="664" t="e">
        <f t="shared" si="15"/>
        <v>#DIV/0!</v>
      </c>
      <c r="S32" s="983">
        <v>0</v>
      </c>
      <c r="T32" s="984"/>
      <c r="U32" s="980"/>
      <c r="V32" s="981"/>
      <c r="W32" s="664" t="e">
        <f t="shared" si="5"/>
        <v>#DIV/0!</v>
      </c>
      <c r="X32" s="830"/>
      <c r="Y32" s="979"/>
      <c r="Z32" s="980"/>
      <c r="AA32" s="981"/>
      <c r="AB32" s="664" t="e">
        <f t="shared" si="6"/>
        <v>#DIV/0!</v>
      </c>
      <c r="AC32" s="830"/>
    </row>
    <row r="33" spans="1:29" s="659" customFormat="1" ht="9.75">
      <c r="A33" s="708" t="s">
        <v>55</v>
      </c>
      <c r="B33" s="746" t="s">
        <v>99</v>
      </c>
      <c r="C33" s="746"/>
      <c r="D33" s="709" t="s">
        <v>25</v>
      </c>
      <c r="E33" s="677">
        <f>E6-E11</f>
        <v>0</v>
      </c>
      <c r="F33" s="661">
        <f>F6-F11</f>
        <v>0</v>
      </c>
      <c r="G33" s="661">
        <f>G6-G11</f>
        <v>1690658.200000003</v>
      </c>
      <c r="H33" s="195" t="e">
        <f t="shared" si="0"/>
        <v>#DIV/0!</v>
      </c>
      <c r="I33" s="674">
        <f>I6-I11</f>
        <v>89134.019999995828</v>
      </c>
      <c r="J33" s="677">
        <f>J6-J11</f>
        <v>0</v>
      </c>
      <c r="K33" s="661">
        <f>K6-K11</f>
        <v>0</v>
      </c>
      <c r="L33" s="661">
        <f>L6-L11</f>
        <v>178858.51999999955</v>
      </c>
      <c r="M33" s="658" t="e">
        <f t="shared" si="2"/>
        <v>#DIV/0!</v>
      </c>
      <c r="N33" s="965">
        <f>N6-N11</f>
        <v>91096.050000000745</v>
      </c>
      <c r="O33" s="677">
        <f>O6-O11</f>
        <v>0</v>
      </c>
      <c r="P33" s="661">
        <f>P6-P11</f>
        <v>0</v>
      </c>
      <c r="Q33" s="661">
        <v>1511800.3699999992</v>
      </c>
      <c r="R33" s="658" t="e">
        <f t="shared" si="15"/>
        <v>#DIV/0!</v>
      </c>
      <c r="S33" s="678">
        <f>S6-S11</f>
        <v>0</v>
      </c>
      <c r="T33" s="694">
        <f>T6-T11</f>
        <v>0</v>
      </c>
      <c r="U33" s="661">
        <f>U6-U11</f>
        <v>0</v>
      </c>
      <c r="V33" s="661">
        <f>V6-V11</f>
        <v>0</v>
      </c>
      <c r="W33" s="658" t="e">
        <f t="shared" si="5"/>
        <v>#DIV/0!</v>
      </c>
      <c r="X33" s="965">
        <f>X6-X11</f>
        <v>-1962.0300000011921</v>
      </c>
      <c r="Y33" s="677">
        <f>Y6-Y11</f>
        <v>161920</v>
      </c>
      <c r="Z33" s="661">
        <f>Z6-Z11</f>
        <v>161920</v>
      </c>
      <c r="AA33" s="661">
        <f>AA6-AA11</f>
        <v>254038.3200000003</v>
      </c>
      <c r="AB33" s="658">
        <f t="shared" si="6"/>
        <v>156.89125494071166</v>
      </c>
      <c r="AC33" s="965">
        <f>AC6-AC11</f>
        <v>-89387.479999999981</v>
      </c>
    </row>
    <row r="34" spans="1:29" s="660" customFormat="1" ht="9.75">
      <c r="A34" s="713" t="s">
        <v>57</v>
      </c>
      <c r="B34" s="1157" t="s">
        <v>237</v>
      </c>
      <c r="C34" s="1157"/>
      <c r="D34" s="715" t="s">
        <v>25</v>
      </c>
      <c r="E34" s="726"/>
      <c r="F34" s="727"/>
      <c r="G34" s="727"/>
      <c r="H34" s="669" t="e">
        <f t="shared" si="0"/>
        <v>#DIV/0!</v>
      </c>
      <c r="I34" s="730"/>
      <c r="J34" s="716">
        <f>J19/J35/12</f>
        <v>22466.666666666668</v>
      </c>
      <c r="K34" s="716">
        <f>K19/K35/12</f>
        <v>24359.044995408633</v>
      </c>
      <c r="L34" s="716">
        <f>L19/L35/12</f>
        <v>24358.884297520664</v>
      </c>
      <c r="M34" s="664">
        <f t="shared" si="2"/>
        <v>99.999340294793996</v>
      </c>
      <c r="N34" s="716">
        <f>(N19-828629)/N35/12</f>
        <v>23098.067362229533</v>
      </c>
      <c r="O34" s="716"/>
      <c r="P34" s="717">
        <f>P19/P35/7</f>
        <v>32052.098901098903</v>
      </c>
      <c r="Q34" s="717">
        <f>(Q19-96480)/Q35/7</f>
        <v>30991.58241758242</v>
      </c>
      <c r="R34" s="664">
        <f t="shared" si="15"/>
        <v>96.691272896702174</v>
      </c>
      <c r="S34" s="718"/>
      <c r="T34" s="732"/>
      <c r="U34" s="733"/>
      <c r="V34" s="733"/>
      <c r="W34" s="664" t="e">
        <f t="shared" si="5"/>
        <v>#DIV/0!</v>
      </c>
      <c r="X34" s="736"/>
      <c r="Y34" s="716">
        <f>Y19/Y35/12</f>
        <v>16699.73544973545</v>
      </c>
      <c r="Z34" s="716">
        <f>Z19/Z35/12</f>
        <v>8041.666666666667</v>
      </c>
      <c r="AA34" s="716">
        <f>AA19/AA35/12</f>
        <v>14110.888888888889</v>
      </c>
      <c r="AB34" s="664">
        <f t="shared" si="6"/>
        <v>175.47219343696028</v>
      </c>
      <c r="AC34" s="717">
        <f>(AC19-33800)/AC35/12</f>
        <v>18480.109435078379</v>
      </c>
    </row>
    <row r="35" spans="1:29" s="660" customFormat="1" ht="9.75">
      <c r="A35" s="714" t="s">
        <v>58</v>
      </c>
      <c r="B35" s="1156" t="s">
        <v>238</v>
      </c>
      <c r="C35" s="1156"/>
      <c r="D35" s="719" t="s">
        <v>26</v>
      </c>
      <c r="E35" s="726"/>
      <c r="F35" s="727"/>
      <c r="G35" s="727"/>
      <c r="H35" s="669" t="e">
        <f t="shared" si="0"/>
        <v>#DIV/0!</v>
      </c>
      <c r="I35" s="730"/>
      <c r="J35" s="716">
        <v>20</v>
      </c>
      <c r="K35" s="717">
        <v>18.149999999999999</v>
      </c>
      <c r="L35" s="717">
        <v>18.149999999999999</v>
      </c>
      <c r="M35" s="664">
        <f t="shared" si="2"/>
        <v>100</v>
      </c>
      <c r="N35" s="717">
        <v>14.281000000000001</v>
      </c>
      <c r="O35" s="716"/>
      <c r="P35" s="717">
        <v>13</v>
      </c>
      <c r="Q35" s="717">
        <v>13</v>
      </c>
      <c r="R35" s="664">
        <f t="shared" si="15"/>
        <v>100</v>
      </c>
      <c r="S35" s="718"/>
      <c r="T35" s="732"/>
      <c r="U35" s="733"/>
      <c r="V35" s="733"/>
      <c r="W35" s="664" t="e">
        <f t="shared" si="5"/>
        <v>#DIV/0!</v>
      </c>
      <c r="X35" s="736"/>
      <c r="Y35" s="716">
        <v>2.52</v>
      </c>
      <c r="Z35" s="717">
        <v>2</v>
      </c>
      <c r="AA35" s="717">
        <v>1.125</v>
      </c>
      <c r="AB35" s="664">
        <f t="shared" si="6"/>
        <v>56.25</v>
      </c>
      <c r="AC35" s="717">
        <v>1.127</v>
      </c>
    </row>
    <row r="36" spans="1:29" s="660" customFormat="1" ht="9.75">
      <c r="A36" s="714" t="s">
        <v>59</v>
      </c>
      <c r="B36" s="1156" t="s">
        <v>239</v>
      </c>
      <c r="C36" s="1156"/>
      <c r="D36" s="719" t="s">
        <v>26</v>
      </c>
      <c r="E36" s="726"/>
      <c r="F36" s="727"/>
      <c r="G36" s="727"/>
      <c r="H36" s="669" t="e">
        <f t="shared" si="0"/>
        <v>#DIV/0!</v>
      </c>
      <c r="I36" s="730"/>
      <c r="J36" s="716">
        <v>40</v>
      </c>
      <c r="K36" s="717">
        <v>34</v>
      </c>
      <c r="L36" s="717">
        <v>34</v>
      </c>
      <c r="M36" s="664">
        <f t="shared" si="2"/>
        <v>100</v>
      </c>
      <c r="N36" s="717">
        <v>28</v>
      </c>
      <c r="O36" s="716"/>
      <c r="P36" s="717">
        <v>13</v>
      </c>
      <c r="Q36" s="717">
        <v>13</v>
      </c>
      <c r="R36" s="664">
        <f t="shared" si="15"/>
        <v>100</v>
      </c>
      <c r="S36" s="718"/>
      <c r="T36" s="732"/>
      <c r="U36" s="733"/>
      <c r="V36" s="733"/>
      <c r="W36" s="664" t="e">
        <f t="shared" si="5"/>
        <v>#DIV/0!</v>
      </c>
      <c r="X36" s="736"/>
      <c r="Y36" s="716">
        <v>20</v>
      </c>
      <c r="Z36" s="717">
        <v>8</v>
      </c>
      <c r="AA36" s="717">
        <v>8</v>
      </c>
      <c r="AB36" s="664">
        <f t="shared" si="6"/>
        <v>100</v>
      </c>
      <c r="AC36" s="717">
        <v>18</v>
      </c>
    </row>
    <row r="37" spans="1:29" ht="10.5" thickBot="1">
      <c r="A37" s="720" t="s">
        <v>240</v>
      </c>
      <c r="B37" s="1174" t="s">
        <v>241</v>
      </c>
      <c r="C37" s="1174"/>
      <c r="D37" s="721" t="s">
        <v>242</v>
      </c>
      <c r="E37" s="728"/>
      <c r="F37" s="729"/>
      <c r="G37" s="729"/>
      <c r="H37" s="693" t="e">
        <f t="shared" si="0"/>
        <v>#DIV/0!</v>
      </c>
      <c r="I37" s="731"/>
      <c r="J37" s="722">
        <v>50</v>
      </c>
      <c r="K37" s="723">
        <v>97</v>
      </c>
      <c r="L37" s="723">
        <v>97</v>
      </c>
      <c r="M37" s="724">
        <f t="shared" si="2"/>
        <v>100</v>
      </c>
      <c r="N37" s="723">
        <v>101</v>
      </c>
      <c r="O37" s="722"/>
      <c r="P37" s="723">
        <v>23</v>
      </c>
      <c r="Q37" s="723">
        <v>23</v>
      </c>
      <c r="R37" s="724">
        <f t="shared" si="15"/>
        <v>100</v>
      </c>
      <c r="S37" s="725"/>
      <c r="T37" s="734"/>
      <c r="U37" s="735"/>
      <c r="V37" s="735"/>
      <c r="W37" s="724" t="e">
        <f t="shared" si="5"/>
        <v>#DIV/0!</v>
      </c>
      <c r="X37" s="737"/>
      <c r="Y37" s="722">
        <v>0</v>
      </c>
      <c r="Z37" s="723">
        <v>11</v>
      </c>
      <c r="AA37" s="723">
        <v>11</v>
      </c>
      <c r="AB37" s="724">
        <f t="shared" si="6"/>
        <v>100</v>
      </c>
      <c r="AC37" s="723">
        <v>4</v>
      </c>
    </row>
    <row r="38" spans="1:29">
      <c r="O38" s="964"/>
      <c r="P38" s="964"/>
      <c r="Q38" s="964"/>
    </row>
    <row r="41" spans="1:29">
      <c r="K41" s="986"/>
    </row>
    <row r="42" spans="1:29">
      <c r="K42" s="986"/>
    </row>
    <row r="43" spans="1:29">
      <c r="K43" s="986"/>
    </row>
  </sheetData>
  <mergeCells count="43">
    <mergeCell ref="B36:C36"/>
    <mergeCell ref="B37:C37"/>
    <mergeCell ref="B21:C21"/>
    <mergeCell ref="B22:C22"/>
    <mergeCell ref="B26:C26"/>
    <mergeCell ref="B34:C34"/>
    <mergeCell ref="B35:C35"/>
    <mergeCell ref="B15:C15"/>
    <mergeCell ref="B16:C16"/>
    <mergeCell ref="B18:C18"/>
    <mergeCell ref="B19:C19"/>
    <mergeCell ref="B20:C20"/>
    <mergeCell ref="B8:C8"/>
    <mergeCell ref="B10:C10"/>
    <mergeCell ref="B11:C11"/>
    <mergeCell ref="B12:C12"/>
    <mergeCell ref="B13:C13"/>
    <mergeCell ref="Z4:AB4"/>
    <mergeCell ref="AC4:AC5"/>
    <mergeCell ref="B6:C6"/>
    <mergeCell ref="B7:C7"/>
    <mergeCell ref="O4:O5"/>
    <mergeCell ref="P4:R4"/>
    <mergeCell ref="T4:T5"/>
    <mergeCell ref="U4:W4"/>
    <mergeCell ref="X4:X5"/>
    <mergeCell ref="N4:N5"/>
    <mergeCell ref="A1:AC1"/>
    <mergeCell ref="B3:C5"/>
    <mergeCell ref="D3:D5"/>
    <mergeCell ref="E3:I3"/>
    <mergeCell ref="J3:N3"/>
    <mergeCell ref="O3:S3"/>
    <mergeCell ref="T3:X3"/>
    <mergeCell ref="Y3:AC3"/>
    <mergeCell ref="E4:E5"/>
    <mergeCell ref="F4:H4"/>
    <mergeCell ref="J4:J5"/>
    <mergeCell ref="K4:M4"/>
    <mergeCell ref="A3:A5"/>
    <mergeCell ref="S4:S5"/>
    <mergeCell ref="I4:I5"/>
    <mergeCell ref="Y4:Y5"/>
  </mergeCells>
  <pageMargins left="0.23622047244094491" right="0.23622047244094491" top="0.74803149606299213" bottom="0.74803149606299213" header="0.31496062992125984" footer="0.31496062992125984"/>
  <pageSetup paperSize="9" scale="81" firstPageNumber="192"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zoomScaleSheetLayoutView="110" workbookViewId="0">
      <selection activeCell="E34" sqref="E34"/>
    </sheetView>
  </sheetViews>
  <sheetFormatPr defaultColWidth="6.5" defaultRowHeight="8.25"/>
  <cols>
    <col min="1" max="1" width="5.5" style="276" customWidth="1"/>
    <col min="2" max="2" width="6.5" style="114" customWidth="1"/>
    <col min="3" max="3" width="36.75" style="114" customWidth="1"/>
    <col min="4" max="4" width="8.5" style="114" customWidth="1"/>
    <col min="5" max="6" width="11" style="114" customWidth="1"/>
    <col min="7" max="7" width="11" style="323" customWidth="1"/>
    <col min="8" max="8" width="8.75" style="114" customWidth="1"/>
    <col min="9" max="9" width="11" style="323" customWidth="1"/>
    <col min="10" max="11" width="11" style="114" customWidth="1"/>
    <col min="12" max="12" width="11" style="323" customWidth="1"/>
    <col min="13" max="13" width="8.75" style="114" customWidth="1"/>
    <col min="14" max="14" width="11" style="323" customWidth="1"/>
    <col min="15" max="16" width="11" style="114" customWidth="1"/>
    <col min="17" max="17" width="11" style="323" customWidth="1"/>
    <col min="18" max="18" width="8.5" style="114" customWidth="1"/>
    <col min="19" max="19" width="11" style="323" customWidth="1"/>
    <col min="20" max="22" width="11" style="114" customWidth="1"/>
    <col min="23" max="23" width="8.75" style="114" customWidth="1"/>
    <col min="24" max="24" width="11" style="114" customWidth="1"/>
    <col min="25" max="16384" width="6.5" style="114"/>
  </cols>
  <sheetData>
    <row r="1" spans="1:24" s="72" customFormat="1" ht="15.75">
      <c r="A1" s="1262" t="s">
        <v>93</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277" t="s">
        <v>41</v>
      </c>
      <c r="E3" s="1271" t="s">
        <v>94</v>
      </c>
      <c r="F3" s="1269"/>
      <c r="G3" s="1269"/>
      <c r="H3" s="1269"/>
      <c r="I3" s="1272"/>
      <c r="J3" s="1268" t="s">
        <v>410</v>
      </c>
      <c r="K3" s="1269"/>
      <c r="L3" s="1269"/>
      <c r="M3" s="1269"/>
      <c r="N3" s="1270"/>
      <c r="O3" s="1271" t="s">
        <v>411</v>
      </c>
      <c r="P3" s="1269"/>
      <c r="Q3" s="1269"/>
      <c r="R3" s="1269"/>
      <c r="S3" s="1272"/>
      <c r="T3" s="1271" t="s">
        <v>95</v>
      </c>
      <c r="U3" s="1269"/>
      <c r="V3" s="1269"/>
      <c r="W3" s="1269"/>
      <c r="X3" s="1272"/>
    </row>
    <row r="4" spans="1:24" s="316" customFormat="1" ht="9.75" customHeight="1">
      <c r="A4" s="1162"/>
      <c r="B4" s="1166"/>
      <c r="C4" s="1166"/>
      <c r="D4" s="1278"/>
      <c r="E4" s="1263" t="s">
        <v>235</v>
      </c>
      <c r="F4" s="1265" t="s">
        <v>465</v>
      </c>
      <c r="G4" s="1265"/>
      <c r="H4" s="1265"/>
      <c r="I4" s="1273" t="s">
        <v>466</v>
      </c>
      <c r="J4" s="1275" t="s">
        <v>235</v>
      </c>
      <c r="K4" s="1265" t="s">
        <v>465</v>
      </c>
      <c r="L4" s="1265"/>
      <c r="M4" s="1265"/>
      <c r="N4" s="1266" t="s">
        <v>466</v>
      </c>
      <c r="O4" s="1263" t="s">
        <v>235</v>
      </c>
      <c r="P4" s="1265" t="s">
        <v>465</v>
      </c>
      <c r="Q4" s="1265"/>
      <c r="R4" s="1265"/>
      <c r="S4" s="1273" t="s">
        <v>466</v>
      </c>
      <c r="T4" s="1263" t="s">
        <v>235</v>
      </c>
      <c r="U4" s="1265" t="s">
        <v>465</v>
      </c>
      <c r="V4" s="1265"/>
      <c r="W4" s="1265"/>
      <c r="X4" s="1279" t="s">
        <v>466</v>
      </c>
    </row>
    <row r="5" spans="1:24" s="317" customFormat="1" ht="10.5" thickBot="1">
      <c r="A5" s="1162"/>
      <c r="B5" s="1166"/>
      <c r="C5" s="1166"/>
      <c r="D5" s="1278"/>
      <c r="E5" s="1264"/>
      <c r="F5" s="324" t="s">
        <v>97</v>
      </c>
      <c r="G5" s="325" t="s">
        <v>35</v>
      </c>
      <c r="H5" s="324" t="s">
        <v>236</v>
      </c>
      <c r="I5" s="1274"/>
      <c r="J5" s="1276"/>
      <c r="K5" s="324" t="s">
        <v>97</v>
      </c>
      <c r="L5" s="325" t="s">
        <v>35</v>
      </c>
      <c r="M5" s="324" t="s">
        <v>236</v>
      </c>
      <c r="N5" s="1267"/>
      <c r="O5" s="1264"/>
      <c r="P5" s="324" t="s">
        <v>97</v>
      </c>
      <c r="Q5" s="325" t="s">
        <v>35</v>
      </c>
      <c r="R5" s="324" t="s">
        <v>236</v>
      </c>
      <c r="S5" s="1274"/>
      <c r="T5" s="1264"/>
      <c r="U5" s="324" t="s">
        <v>97</v>
      </c>
      <c r="V5" s="324" t="s">
        <v>35</v>
      </c>
      <c r="W5" s="324" t="s">
        <v>236</v>
      </c>
      <c r="X5" s="1280"/>
    </row>
    <row r="6" spans="1:24" s="315" customFormat="1" ht="9.75">
      <c r="A6" s="229" t="s">
        <v>0</v>
      </c>
      <c r="B6" s="1158" t="s">
        <v>1</v>
      </c>
      <c r="C6" s="1158"/>
      <c r="D6" s="326" t="s">
        <v>25</v>
      </c>
      <c r="E6" s="196">
        <f>SUM(E7:E9)</f>
        <v>20687301</v>
      </c>
      <c r="F6" s="181">
        <f>SUM(F7:F9)</f>
        <v>22686279.25</v>
      </c>
      <c r="G6" s="181">
        <f>SUM(G7:G9)</f>
        <v>22502362.449999999</v>
      </c>
      <c r="H6" s="180">
        <f t="shared" ref="H6:H37" si="0">G6/F6*100</f>
        <v>99.189303816755228</v>
      </c>
      <c r="I6" s="197">
        <f>SUM(I7:I9)</f>
        <v>21122840.029999997</v>
      </c>
      <c r="J6" s="153">
        <f>SUM(J7:J9)</f>
        <v>3672110</v>
      </c>
      <c r="K6" s="181">
        <f t="shared" ref="K6:X6" si="1">SUM(K7:K9)</f>
        <v>4908470.32</v>
      </c>
      <c r="L6" s="181">
        <f t="shared" si="1"/>
        <v>4724553.5199999996</v>
      </c>
      <c r="M6" s="180">
        <f t="shared" ref="M6:M18" si="2">L6/K6*100</f>
        <v>96.253072994032067</v>
      </c>
      <c r="N6" s="327">
        <f t="shared" si="1"/>
        <v>5106075.03</v>
      </c>
      <c r="O6" s="196">
        <f t="shared" si="1"/>
        <v>17015191</v>
      </c>
      <c r="P6" s="181">
        <f t="shared" si="1"/>
        <v>17777808.93</v>
      </c>
      <c r="Q6" s="181">
        <f t="shared" si="1"/>
        <v>17777808.93</v>
      </c>
      <c r="R6" s="180">
        <f t="shared" ref="R6:R37" si="3">Q6/P6*100</f>
        <v>100</v>
      </c>
      <c r="S6" s="197">
        <f t="shared" si="1"/>
        <v>16016765</v>
      </c>
      <c r="T6" s="196">
        <f t="shared" si="1"/>
        <v>0</v>
      </c>
      <c r="U6" s="181">
        <f t="shared" si="1"/>
        <v>0</v>
      </c>
      <c r="V6" s="181">
        <f t="shared" si="1"/>
        <v>0</v>
      </c>
      <c r="W6" s="180">
        <v>0</v>
      </c>
      <c r="X6" s="197">
        <f t="shared" si="1"/>
        <v>0</v>
      </c>
    </row>
    <row r="7" spans="1:24" s="315" customFormat="1" ht="9.75">
      <c r="A7" s="230" t="s">
        <v>2</v>
      </c>
      <c r="B7" s="1160" t="s">
        <v>44</v>
      </c>
      <c r="C7" s="1160"/>
      <c r="D7" s="328" t="s">
        <v>25</v>
      </c>
      <c r="E7" s="198">
        <f t="shared" ref="E7:I22" si="4">SUM(J7,O7)</f>
        <v>1222110</v>
      </c>
      <c r="F7" s="184">
        <f t="shared" si="4"/>
        <v>1362596</v>
      </c>
      <c r="G7" s="189">
        <f t="shared" si="4"/>
        <v>1178679.2</v>
      </c>
      <c r="H7" s="185">
        <f t="shared" si="0"/>
        <v>86.502470284662508</v>
      </c>
      <c r="I7" s="199">
        <f>SUM(N7,S7)</f>
        <v>1028504.4</v>
      </c>
      <c r="J7" s="329">
        <v>1222110</v>
      </c>
      <c r="K7" s="186">
        <v>1324196</v>
      </c>
      <c r="L7" s="186">
        <v>1140279.2</v>
      </c>
      <c r="M7" s="185">
        <f t="shared" si="2"/>
        <v>86.111059087929576</v>
      </c>
      <c r="N7" s="330">
        <v>1028504.4</v>
      </c>
      <c r="O7" s="203">
        <v>0</v>
      </c>
      <c r="P7" s="186">
        <v>38400</v>
      </c>
      <c r="Q7" s="186">
        <v>38400</v>
      </c>
      <c r="R7" s="185">
        <f t="shared" si="3"/>
        <v>100</v>
      </c>
      <c r="S7" s="204"/>
      <c r="T7" s="219">
        <v>0</v>
      </c>
      <c r="U7" s="186">
        <v>0</v>
      </c>
      <c r="V7" s="186">
        <v>0</v>
      </c>
      <c r="W7" s="185">
        <v>0</v>
      </c>
      <c r="X7" s="204">
        <v>0</v>
      </c>
    </row>
    <row r="8" spans="1:24" s="315" customFormat="1" ht="9.75">
      <c r="A8" s="231" t="s">
        <v>3</v>
      </c>
      <c r="B8" s="1173" t="s">
        <v>45</v>
      </c>
      <c r="C8" s="1173"/>
      <c r="D8" s="328" t="s">
        <v>25</v>
      </c>
      <c r="E8" s="198">
        <f t="shared" si="4"/>
        <v>0</v>
      </c>
      <c r="F8" s="184">
        <f t="shared" si="4"/>
        <v>0</v>
      </c>
      <c r="G8" s="189">
        <f t="shared" si="4"/>
        <v>0</v>
      </c>
      <c r="H8" s="185">
        <v>0</v>
      </c>
      <c r="I8" s="199">
        <f>SUM(N8,S8)</f>
        <v>0</v>
      </c>
      <c r="J8" s="331">
        <v>0</v>
      </c>
      <c r="K8" s="184">
        <v>0</v>
      </c>
      <c r="L8" s="184">
        <v>0</v>
      </c>
      <c r="M8" s="185">
        <v>0</v>
      </c>
      <c r="N8" s="15"/>
      <c r="O8" s="207">
        <v>0</v>
      </c>
      <c r="P8" s="184">
        <v>0</v>
      </c>
      <c r="Q8" s="184">
        <v>0</v>
      </c>
      <c r="R8" s="185">
        <v>0</v>
      </c>
      <c r="S8" s="199">
        <v>0</v>
      </c>
      <c r="T8" s="198">
        <v>0</v>
      </c>
      <c r="U8" s="184">
        <v>0</v>
      </c>
      <c r="V8" s="184">
        <v>0</v>
      </c>
      <c r="W8" s="185">
        <v>0</v>
      </c>
      <c r="X8" s="199">
        <v>0</v>
      </c>
    </row>
    <row r="9" spans="1:24" s="315" customFormat="1" ht="9.75">
      <c r="A9" s="231" t="s">
        <v>4</v>
      </c>
      <c r="B9" s="260" t="s">
        <v>60</v>
      </c>
      <c r="C9" s="262"/>
      <c r="D9" s="328" t="s">
        <v>25</v>
      </c>
      <c r="E9" s="198">
        <f t="shared" si="4"/>
        <v>19465191</v>
      </c>
      <c r="F9" s="184">
        <f t="shared" si="4"/>
        <v>21323683.25</v>
      </c>
      <c r="G9" s="189">
        <f t="shared" si="4"/>
        <v>21323683.25</v>
      </c>
      <c r="H9" s="185">
        <f t="shared" si="0"/>
        <v>100</v>
      </c>
      <c r="I9" s="199">
        <f>SUM(N9,S9)</f>
        <v>20094335.629999999</v>
      </c>
      <c r="J9" s="331">
        <v>2450000</v>
      </c>
      <c r="K9" s="184">
        <v>3584274.32</v>
      </c>
      <c r="L9" s="184">
        <v>3584274.32</v>
      </c>
      <c r="M9" s="185">
        <f t="shared" ref="M9" si="5">L9/K9*100</f>
        <v>100</v>
      </c>
      <c r="N9" s="15">
        <v>4077570.63</v>
      </c>
      <c r="O9" s="207">
        <v>17015191</v>
      </c>
      <c r="P9" s="184">
        <v>17739408.93</v>
      </c>
      <c r="Q9" s="184">
        <v>17739408.93</v>
      </c>
      <c r="R9" s="185">
        <f t="shared" si="3"/>
        <v>100</v>
      </c>
      <c r="S9" s="199">
        <v>16016765</v>
      </c>
      <c r="T9" s="198">
        <v>0</v>
      </c>
      <c r="U9" s="184">
        <v>0</v>
      </c>
      <c r="V9" s="184">
        <v>0</v>
      </c>
      <c r="W9" s="185">
        <v>0</v>
      </c>
      <c r="X9" s="199">
        <v>0</v>
      </c>
    </row>
    <row r="10" spans="1:24" s="315" customFormat="1" ht="9.75">
      <c r="A10" s="229" t="s">
        <v>5</v>
      </c>
      <c r="B10" s="1158" t="s">
        <v>7</v>
      </c>
      <c r="C10" s="1158"/>
      <c r="D10" s="326" t="s">
        <v>25</v>
      </c>
      <c r="E10" s="200">
        <f t="shared" si="4"/>
        <v>0</v>
      </c>
      <c r="F10" s="182">
        <f t="shared" si="4"/>
        <v>526350</v>
      </c>
      <c r="G10" s="182">
        <f t="shared" si="4"/>
        <v>78952.5</v>
      </c>
      <c r="H10" s="180">
        <f t="shared" si="0"/>
        <v>15</v>
      </c>
      <c r="I10" s="201">
        <f>SUM(N10,S10)</f>
        <v>0</v>
      </c>
      <c r="J10" s="332">
        <v>0</v>
      </c>
      <c r="K10" s="182">
        <v>526350</v>
      </c>
      <c r="L10" s="182">
        <v>78952.5</v>
      </c>
      <c r="M10" s="180">
        <f t="shared" si="2"/>
        <v>15</v>
      </c>
      <c r="N10" s="333">
        <v>0</v>
      </c>
      <c r="O10" s="200">
        <v>0</v>
      </c>
      <c r="P10" s="182">
        <v>0</v>
      </c>
      <c r="Q10" s="182">
        <v>0</v>
      </c>
      <c r="R10" s="180">
        <v>0</v>
      </c>
      <c r="S10" s="201">
        <v>0</v>
      </c>
      <c r="T10" s="200">
        <v>0</v>
      </c>
      <c r="U10" s="182">
        <v>0</v>
      </c>
      <c r="V10" s="182">
        <v>0</v>
      </c>
      <c r="W10" s="180">
        <v>0</v>
      </c>
      <c r="X10" s="201">
        <v>0</v>
      </c>
    </row>
    <row r="11" spans="1:24" s="315" customFormat="1" ht="9.75">
      <c r="A11" s="229" t="s">
        <v>6</v>
      </c>
      <c r="B11" s="1158" t="s">
        <v>9</v>
      </c>
      <c r="C11" s="1158"/>
      <c r="D11" s="326" t="s">
        <v>25</v>
      </c>
      <c r="E11" s="196">
        <f>SUM(E12:E31)</f>
        <v>20687301</v>
      </c>
      <c r="F11" s="181">
        <f>SUM(F12:F31)</f>
        <v>22686279.25</v>
      </c>
      <c r="G11" s="181">
        <f>SUM(G12:G31)</f>
        <v>22312022.18</v>
      </c>
      <c r="H11" s="180">
        <f t="shared" si="0"/>
        <v>98.350293294569227</v>
      </c>
      <c r="I11" s="197">
        <f>SUM(I12:I31)</f>
        <v>21007288.280000001</v>
      </c>
      <c r="J11" s="153">
        <f>SUM(J12:J31)</f>
        <v>3672110</v>
      </c>
      <c r="K11" s="181">
        <f>SUM(K12:K31)</f>
        <v>4908470.3199999994</v>
      </c>
      <c r="L11" s="181">
        <f>SUM(L12:L31)</f>
        <v>4534213.25</v>
      </c>
      <c r="M11" s="180">
        <f t="shared" si="2"/>
        <v>92.375280981631775</v>
      </c>
      <c r="N11" s="327">
        <f>SUM(N12:N31)</f>
        <v>4990523.2799999993</v>
      </c>
      <c r="O11" s="196">
        <f>SUM(O12:O31)</f>
        <v>17015191</v>
      </c>
      <c r="P11" s="181">
        <f>SUM(P12:P31)</f>
        <v>17777808.93</v>
      </c>
      <c r="Q11" s="181">
        <f>SUM(Q12:Q31)</f>
        <v>17777808.93</v>
      </c>
      <c r="R11" s="180">
        <f t="shared" si="3"/>
        <v>100</v>
      </c>
      <c r="S11" s="197">
        <f>SUM(S12:S31)</f>
        <v>16016765</v>
      </c>
      <c r="T11" s="196">
        <f>SUM(T12:T31)</f>
        <v>0</v>
      </c>
      <c r="U11" s="181">
        <f>SUM(U12:U31)</f>
        <v>0</v>
      </c>
      <c r="V11" s="181">
        <f>SUM(V12:V31)</f>
        <v>0</v>
      </c>
      <c r="W11" s="180">
        <v>0</v>
      </c>
      <c r="X11" s="197">
        <f>SUM(X12:X31)</f>
        <v>0</v>
      </c>
    </row>
    <row r="12" spans="1:24" s="315" customFormat="1" ht="9.75">
      <c r="A12" s="230" t="s">
        <v>8</v>
      </c>
      <c r="B12" s="1160" t="s">
        <v>28</v>
      </c>
      <c r="C12" s="1160"/>
      <c r="D12" s="328" t="s">
        <v>25</v>
      </c>
      <c r="E12" s="198">
        <f t="shared" si="4"/>
        <v>1026878</v>
      </c>
      <c r="F12" s="184">
        <f t="shared" si="4"/>
        <v>1061535.42</v>
      </c>
      <c r="G12" s="184">
        <f t="shared" si="4"/>
        <v>980244.89</v>
      </c>
      <c r="H12" s="185">
        <f t="shared" si="0"/>
        <v>92.342174507940584</v>
      </c>
      <c r="I12" s="199">
        <f t="shared" si="4"/>
        <v>854420.07000000007</v>
      </c>
      <c r="J12" s="331">
        <v>872629</v>
      </c>
      <c r="K12" s="188">
        <v>830855.7</v>
      </c>
      <c r="L12" s="188">
        <v>749565.17</v>
      </c>
      <c r="M12" s="185">
        <f t="shared" si="2"/>
        <v>90.216047142722871</v>
      </c>
      <c r="N12" s="334">
        <v>731242</v>
      </c>
      <c r="O12" s="207">
        <v>154249</v>
      </c>
      <c r="P12" s="188">
        <v>230679.72</v>
      </c>
      <c r="Q12" s="188">
        <v>230679.72</v>
      </c>
      <c r="R12" s="185">
        <f t="shared" si="3"/>
        <v>100</v>
      </c>
      <c r="S12" s="221">
        <v>123178.07</v>
      </c>
      <c r="T12" s="220">
        <v>0</v>
      </c>
      <c r="U12" s="188">
        <v>0</v>
      </c>
      <c r="V12" s="188">
        <v>0</v>
      </c>
      <c r="W12" s="185">
        <v>0</v>
      </c>
      <c r="X12" s="208">
        <v>0</v>
      </c>
    </row>
    <row r="13" spans="1:24" s="315" customFormat="1" ht="9.75">
      <c r="A13" s="230" t="s">
        <v>10</v>
      </c>
      <c r="B13" s="1160" t="s">
        <v>29</v>
      </c>
      <c r="C13" s="1160"/>
      <c r="D13" s="328" t="s">
        <v>25</v>
      </c>
      <c r="E13" s="198">
        <f t="shared" si="4"/>
        <v>980000</v>
      </c>
      <c r="F13" s="184">
        <f t="shared" si="4"/>
        <v>880000</v>
      </c>
      <c r="G13" s="184">
        <f t="shared" si="4"/>
        <v>703414.85</v>
      </c>
      <c r="H13" s="185">
        <f t="shared" si="0"/>
        <v>79.93350568181819</v>
      </c>
      <c r="I13" s="199">
        <f t="shared" si="4"/>
        <v>795008.5</v>
      </c>
      <c r="J13" s="331">
        <v>980000</v>
      </c>
      <c r="K13" s="184">
        <v>880000</v>
      </c>
      <c r="L13" s="184">
        <v>703414.85</v>
      </c>
      <c r="M13" s="185">
        <f t="shared" si="2"/>
        <v>79.93350568181819</v>
      </c>
      <c r="N13" s="15">
        <v>795008.5</v>
      </c>
      <c r="O13" s="207">
        <v>0</v>
      </c>
      <c r="P13" s="184">
        <v>0</v>
      </c>
      <c r="Q13" s="184">
        <v>0</v>
      </c>
      <c r="R13" s="185">
        <v>0</v>
      </c>
      <c r="S13" s="199">
        <v>0</v>
      </c>
      <c r="T13" s="198">
        <v>0</v>
      </c>
      <c r="U13" s="184">
        <v>0</v>
      </c>
      <c r="V13" s="184">
        <v>0</v>
      </c>
      <c r="W13" s="185">
        <v>0</v>
      </c>
      <c r="X13" s="199">
        <v>0</v>
      </c>
    </row>
    <row r="14" spans="1:24" s="315" customFormat="1" ht="9.75">
      <c r="A14" s="230" t="s">
        <v>11</v>
      </c>
      <c r="B14" s="260" t="s">
        <v>61</v>
      </c>
      <c r="C14" s="260"/>
      <c r="D14" s="328" t="s">
        <v>25</v>
      </c>
      <c r="E14" s="198">
        <f t="shared" si="4"/>
        <v>0</v>
      </c>
      <c r="F14" s="184">
        <f t="shared" si="4"/>
        <v>0</v>
      </c>
      <c r="G14" s="184">
        <f t="shared" si="4"/>
        <v>0</v>
      </c>
      <c r="H14" s="185">
        <v>0</v>
      </c>
      <c r="I14" s="199">
        <f t="shared" si="4"/>
        <v>0</v>
      </c>
      <c r="J14" s="331">
        <v>0</v>
      </c>
      <c r="K14" s="184">
        <v>0</v>
      </c>
      <c r="L14" s="184">
        <v>0</v>
      </c>
      <c r="M14" s="185">
        <v>0</v>
      </c>
      <c r="N14" s="15">
        <v>0</v>
      </c>
      <c r="O14" s="207">
        <v>0</v>
      </c>
      <c r="P14" s="184">
        <v>0</v>
      </c>
      <c r="Q14" s="184">
        <v>0</v>
      </c>
      <c r="R14" s="185">
        <v>0</v>
      </c>
      <c r="S14" s="199">
        <v>0</v>
      </c>
      <c r="T14" s="198">
        <v>0</v>
      </c>
      <c r="U14" s="184">
        <v>0</v>
      </c>
      <c r="V14" s="184">
        <v>0</v>
      </c>
      <c r="W14" s="185">
        <v>0</v>
      </c>
      <c r="X14" s="199">
        <v>0</v>
      </c>
    </row>
    <row r="15" spans="1:24" s="315" customFormat="1" ht="9.75">
      <c r="A15" s="230" t="s">
        <v>12</v>
      </c>
      <c r="B15" s="1160" t="s">
        <v>62</v>
      </c>
      <c r="C15" s="1160"/>
      <c r="D15" s="328" t="s">
        <v>25</v>
      </c>
      <c r="E15" s="198">
        <f t="shared" si="4"/>
        <v>198700</v>
      </c>
      <c r="F15" s="184">
        <f t="shared" si="4"/>
        <v>1221800</v>
      </c>
      <c r="G15" s="184">
        <f t="shared" si="4"/>
        <v>1221659.6200000001</v>
      </c>
      <c r="H15" s="185">
        <f t="shared" si="0"/>
        <v>99.988510394499926</v>
      </c>
      <c r="I15" s="199">
        <f t="shared" si="4"/>
        <v>1055258.8799999999</v>
      </c>
      <c r="J15" s="331">
        <v>198700</v>
      </c>
      <c r="K15" s="184">
        <v>1221800</v>
      </c>
      <c r="L15" s="184">
        <v>1221659.6200000001</v>
      </c>
      <c r="M15" s="185">
        <f t="shared" si="2"/>
        <v>99.988510394499926</v>
      </c>
      <c r="N15" s="15">
        <v>1055258.8799999999</v>
      </c>
      <c r="O15" s="207">
        <v>0</v>
      </c>
      <c r="P15" s="184">
        <v>0</v>
      </c>
      <c r="Q15" s="184">
        <v>0</v>
      </c>
      <c r="R15" s="185">
        <v>0</v>
      </c>
      <c r="S15" s="199">
        <v>0</v>
      </c>
      <c r="T15" s="198">
        <v>0</v>
      </c>
      <c r="U15" s="184">
        <v>0</v>
      </c>
      <c r="V15" s="184">
        <v>0</v>
      </c>
      <c r="W15" s="185">
        <v>0</v>
      </c>
      <c r="X15" s="199">
        <v>0</v>
      </c>
    </row>
    <row r="16" spans="1:24" s="315" customFormat="1" ht="9.75">
      <c r="A16" s="230" t="s">
        <v>13</v>
      </c>
      <c r="B16" s="1160" t="s">
        <v>30</v>
      </c>
      <c r="C16" s="1160"/>
      <c r="D16" s="328" t="s">
        <v>25</v>
      </c>
      <c r="E16" s="198">
        <f t="shared" si="4"/>
        <v>6000</v>
      </c>
      <c r="F16" s="184">
        <f t="shared" si="4"/>
        <v>5000</v>
      </c>
      <c r="G16" s="184">
        <f t="shared" si="4"/>
        <v>4000</v>
      </c>
      <c r="H16" s="185">
        <f t="shared" si="0"/>
        <v>80</v>
      </c>
      <c r="I16" s="199">
        <f t="shared" si="4"/>
        <v>706</v>
      </c>
      <c r="J16" s="331">
        <v>1000</v>
      </c>
      <c r="K16" s="184">
        <v>1000</v>
      </c>
      <c r="L16" s="184">
        <v>0</v>
      </c>
      <c r="M16" s="185">
        <f t="shared" si="2"/>
        <v>0</v>
      </c>
      <c r="N16" s="15">
        <v>0</v>
      </c>
      <c r="O16" s="207">
        <v>5000</v>
      </c>
      <c r="P16" s="184">
        <v>4000</v>
      </c>
      <c r="Q16" s="184">
        <v>4000</v>
      </c>
      <c r="R16" s="185">
        <f t="shared" si="3"/>
        <v>100</v>
      </c>
      <c r="S16" s="199">
        <v>706</v>
      </c>
      <c r="T16" s="198">
        <v>0</v>
      </c>
      <c r="U16" s="184">
        <v>0</v>
      </c>
      <c r="V16" s="184">
        <v>0</v>
      </c>
      <c r="W16" s="185">
        <v>0</v>
      </c>
      <c r="X16" s="199">
        <v>0</v>
      </c>
    </row>
    <row r="17" spans="1:24" s="315" customFormat="1" ht="9.75">
      <c r="A17" s="230" t="s">
        <v>14</v>
      </c>
      <c r="B17" s="260" t="s">
        <v>46</v>
      </c>
      <c r="C17" s="260"/>
      <c r="D17" s="328" t="s">
        <v>25</v>
      </c>
      <c r="E17" s="198">
        <f t="shared" si="4"/>
        <v>2000</v>
      </c>
      <c r="F17" s="184">
        <f t="shared" si="4"/>
        <v>2000</v>
      </c>
      <c r="G17" s="184">
        <f t="shared" si="4"/>
        <v>284</v>
      </c>
      <c r="H17" s="185">
        <f t="shared" si="0"/>
        <v>14.2</v>
      </c>
      <c r="I17" s="199">
        <f t="shared" si="4"/>
        <v>2039</v>
      </c>
      <c r="J17" s="331">
        <v>2000</v>
      </c>
      <c r="K17" s="184">
        <v>2000</v>
      </c>
      <c r="L17" s="184">
        <v>284</v>
      </c>
      <c r="M17" s="185">
        <f t="shared" si="2"/>
        <v>14.2</v>
      </c>
      <c r="N17" s="15">
        <v>497</v>
      </c>
      <c r="O17" s="207">
        <v>0</v>
      </c>
      <c r="P17" s="184">
        <v>0</v>
      </c>
      <c r="Q17" s="184">
        <v>0</v>
      </c>
      <c r="R17" s="185">
        <v>0</v>
      </c>
      <c r="S17" s="199">
        <v>1542</v>
      </c>
      <c r="T17" s="198">
        <v>0</v>
      </c>
      <c r="U17" s="184">
        <v>0</v>
      </c>
      <c r="V17" s="184">
        <v>0</v>
      </c>
      <c r="W17" s="185">
        <v>0</v>
      </c>
      <c r="X17" s="199">
        <v>0</v>
      </c>
    </row>
    <row r="18" spans="1:24" s="315" customFormat="1" ht="9.75">
      <c r="A18" s="230" t="s">
        <v>15</v>
      </c>
      <c r="B18" s="1160" t="s">
        <v>31</v>
      </c>
      <c r="C18" s="1160"/>
      <c r="D18" s="328" t="s">
        <v>25</v>
      </c>
      <c r="E18" s="198">
        <f t="shared" si="4"/>
        <v>726103</v>
      </c>
      <c r="F18" s="184">
        <f t="shared" si="4"/>
        <v>930589.85</v>
      </c>
      <c r="G18" s="184">
        <f t="shared" si="4"/>
        <v>849213.26</v>
      </c>
      <c r="H18" s="185">
        <f t="shared" si="0"/>
        <v>91.255375286975251</v>
      </c>
      <c r="I18" s="199">
        <f>SUM(N18,S18)</f>
        <v>1187812.6200000001</v>
      </c>
      <c r="J18" s="331">
        <v>726103</v>
      </c>
      <c r="K18" s="184">
        <v>792571.48</v>
      </c>
      <c r="L18" s="184">
        <v>711194.89</v>
      </c>
      <c r="M18" s="185">
        <f t="shared" si="2"/>
        <v>89.732586643163089</v>
      </c>
      <c r="N18" s="15">
        <v>1041593</v>
      </c>
      <c r="O18" s="207">
        <v>0</v>
      </c>
      <c r="P18" s="184">
        <v>138018.37</v>
      </c>
      <c r="Q18" s="184">
        <v>138018.37</v>
      </c>
      <c r="R18" s="185">
        <f t="shared" si="3"/>
        <v>100</v>
      </c>
      <c r="S18" s="199">
        <v>146219.62</v>
      </c>
      <c r="T18" s="198">
        <v>0</v>
      </c>
      <c r="U18" s="184">
        <v>0</v>
      </c>
      <c r="V18" s="184">
        <v>0</v>
      </c>
      <c r="W18" s="185">
        <v>0</v>
      </c>
      <c r="X18" s="199">
        <v>0</v>
      </c>
    </row>
    <row r="19" spans="1:24" s="318" customFormat="1" ht="9.75">
      <c r="A19" s="230" t="s">
        <v>16</v>
      </c>
      <c r="B19" s="1160" t="s">
        <v>32</v>
      </c>
      <c r="C19" s="1160"/>
      <c r="D19" s="328" t="s">
        <v>25</v>
      </c>
      <c r="E19" s="198">
        <f t="shared" si="4"/>
        <v>12412329</v>
      </c>
      <c r="F19" s="184">
        <f t="shared" si="4"/>
        <v>12490326</v>
      </c>
      <c r="G19" s="184">
        <f t="shared" si="4"/>
        <v>12490326</v>
      </c>
      <c r="H19" s="185">
        <f t="shared" si="0"/>
        <v>100</v>
      </c>
      <c r="I19" s="199">
        <f t="shared" si="4"/>
        <v>11540536</v>
      </c>
      <c r="J19" s="335">
        <v>0</v>
      </c>
      <c r="K19" s="184">
        <v>0</v>
      </c>
      <c r="L19" s="184">
        <v>0</v>
      </c>
      <c r="M19" s="185">
        <v>0</v>
      </c>
      <c r="N19" s="15">
        <v>0</v>
      </c>
      <c r="O19" s="209">
        <v>12412329</v>
      </c>
      <c r="P19" s="184">
        <v>12490326</v>
      </c>
      <c r="Q19" s="184">
        <v>12490326</v>
      </c>
      <c r="R19" s="185">
        <f t="shared" si="3"/>
        <v>100</v>
      </c>
      <c r="S19" s="199">
        <v>11540536</v>
      </c>
      <c r="T19" s="225">
        <v>0</v>
      </c>
      <c r="U19" s="190">
        <v>0</v>
      </c>
      <c r="V19" s="190">
        <v>0</v>
      </c>
      <c r="W19" s="185">
        <v>0</v>
      </c>
      <c r="X19" s="226">
        <v>0</v>
      </c>
    </row>
    <row r="20" spans="1:24" s="315" customFormat="1" ht="9.75">
      <c r="A20" s="230" t="s">
        <v>17</v>
      </c>
      <c r="B20" s="1160" t="s">
        <v>47</v>
      </c>
      <c r="C20" s="1160"/>
      <c r="D20" s="328" t="s">
        <v>25</v>
      </c>
      <c r="E20" s="198">
        <f t="shared" si="4"/>
        <v>4195367</v>
      </c>
      <c r="F20" s="184">
        <f t="shared" si="4"/>
        <v>4183152</v>
      </c>
      <c r="G20" s="184">
        <f t="shared" si="4"/>
        <v>4183152</v>
      </c>
      <c r="H20" s="185">
        <f t="shared" si="0"/>
        <v>100</v>
      </c>
      <c r="I20" s="199">
        <f t="shared" si="4"/>
        <v>3887849.82</v>
      </c>
      <c r="J20" s="331">
        <v>0</v>
      </c>
      <c r="K20" s="184">
        <v>0</v>
      </c>
      <c r="L20" s="184">
        <v>0</v>
      </c>
      <c r="M20" s="185">
        <v>0</v>
      </c>
      <c r="N20" s="15">
        <v>0</v>
      </c>
      <c r="O20" s="207">
        <v>4195367</v>
      </c>
      <c r="P20" s="184">
        <v>4183152</v>
      </c>
      <c r="Q20" s="184">
        <v>4183152</v>
      </c>
      <c r="R20" s="185">
        <f t="shared" si="3"/>
        <v>100</v>
      </c>
      <c r="S20" s="199">
        <v>3887849.82</v>
      </c>
      <c r="T20" s="198">
        <v>0</v>
      </c>
      <c r="U20" s="184">
        <v>0</v>
      </c>
      <c r="V20" s="184">
        <v>0</v>
      </c>
      <c r="W20" s="185">
        <v>0</v>
      </c>
      <c r="X20" s="199">
        <v>0</v>
      </c>
    </row>
    <row r="21" spans="1:24" s="315" customFormat="1" ht="9.75">
      <c r="A21" s="230" t="s">
        <v>18</v>
      </c>
      <c r="B21" s="1160" t="s">
        <v>48</v>
      </c>
      <c r="C21" s="1160"/>
      <c r="D21" s="328" t="s">
        <v>25</v>
      </c>
      <c r="E21" s="198">
        <f t="shared" si="4"/>
        <v>248246</v>
      </c>
      <c r="F21" s="184">
        <f t="shared" si="4"/>
        <v>308609.07</v>
      </c>
      <c r="G21" s="184">
        <f t="shared" si="4"/>
        <v>308518.27</v>
      </c>
      <c r="H21" s="185">
        <f t="shared" si="0"/>
        <v>99.970577663190525</v>
      </c>
      <c r="I21" s="199">
        <f t="shared" si="4"/>
        <v>271470.84000000003</v>
      </c>
      <c r="J21" s="331">
        <v>0</v>
      </c>
      <c r="K21" s="184">
        <v>14500</v>
      </c>
      <c r="L21" s="184">
        <v>14409.2</v>
      </c>
      <c r="M21" s="185">
        <f t="shared" ref="M21:M29" si="6">L21/K21*100</f>
        <v>99.373793103448278</v>
      </c>
      <c r="N21" s="15">
        <v>17270.400000000001</v>
      </c>
      <c r="O21" s="207">
        <v>248246</v>
      </c>
      <c r="P21" s="184">
        <v>294109.07</v>
      </c>
      <c r="Q21" s="184">
        <v>294109.07</v>
      </c>
      <c r="R21" s="185">
        <f t="shared" si="3"/>
        <v>100</v>
      </c>
      <c r="S21" s="199">
        <v>254200.44</v>
      </c>
      <c r="T21" s="198">
        <v>0</v>
      </c>
      <c r="U21" s="184">
        <v>0</v>
      </c>
      <c r="V21" s="184">
        <v>0</v>
      </c>
      <c r="W21" s="185">
        <v>0</v>
      </c>
      <c r="X21" s="199">
        <v>0</v>
      </c>
    </row>
    <row r="22" spans="1:24" s="315" customFormat="1" ht="9.75">
      <c r="A22" s="230" t="s">
        <v>19</v>
      </c>
      <c r="B22" s="1160" t="s">
        <v>63</v>
      </c>
      <c r="C22" s="1160"/>
      <c r="D22" s="328" t="s">
        <v>25</v>
      </c>
      <c r="E22" s="198">
        <f t="shared" si="4"/>
        <v>0</v>
      </c>
      <c r="F22" s="184">
        <f t="shared" si="4"/>
        <v>0</v>
      </c>
      <c r="G22" s="184">
        <f t="shared" si="4"/>
        <v>0</v>
      </c>
      <c r="H22" s="185">
        <v>0</v>
      </c>
      <c r="I22" s="199">
        <f t="shared" si="4"/>
        <v>0</v>
      </c>
      <c r="J22" s="331">
        <v>0</v>
      </c>
      <c r="K22" s="184">
        <v>0</v>
      </c>
      <c r="L22" s="184">
        <v>0</v>
      </c>
      <c r="M22" s="185">
        <v>0</v>
      </c>
      <c r="N22" s="15">
        <v>0</v>
      </c>
      <c r="O22" s="207">
        <v>0</v>
      </c>
      <c r="P22" s="184">
        <v>0</v>
      </c>
      <c r="Q22" s="184">
        <v>0</v>
      </c>
      <c r="R22" s="185">
        <v>0</v>
      </c>
      <c r="S22" s="199">
        <v>0</v>
      </c>
      <c r="T22" s="198">
        <v>0</v>
      </c>
      <c r="U22" s="184">
        <v>0</v>
      </c>
      <c r="V22" s="184">
        <v>0</v>
      </c>
      <c r="W22" s="185">
        <v>0</v>
      </c>
      <c r="X22" s="199">
        <v>0</v>
      </c>
    </row>
    <row r="23" spans="1:24" s="315" customFormat="1" ht="9.75">
      <c r="A23" s="230" t="s">
        <v>20</v>
      </c>
      <c r="B23" s="260" t="s">
        <v>98</v>
      </c>
      <c r="C23" s="260"/>
      <c r="D23" s="328" t="s">
        <v>25</v>
      </c>
      <c r="E23" s="198">
        <f t="shared" ref="E23:I31" si="7">SUM(J23,O23)</f>
        <v>0</v>
      </c>
      <c r="F23" s="184">
        <f t="shared" si="7"/>
        <v>0</v>
      </c>
      <c r="G23" s="184">
        <f t="shared" si="7"/>
        <v>0</v>
      </c>
      <c r="H23" s="185">
        <v>0</v>
      </c>
      <c r="I23" s="199">
        <f t="shared" si="7"/>
        <v>0</v>
      </c>
      <c r="J23" s="331">
        <v>0</v>
      </c>
      <c r="K23" s="184">
        <v>0</v>
      </c>
      <c r="L23" s="184">
        <v>0</v>
      </c>
      <c r="M23" s="185">
        <v>0</v>
      </c>
      <c r="N23" s="15">
        <v>0</v>
      </c>
      <c r="O23" s="207">
        <v>0</v>
      </c>
      <c r="P23" s="184">
        <v>0</v>
      </c>
      <c r="Q23" s="184">
        <v>0</v>
      </c>
      <c r="R23" s="185">
        <v>0</v>
      </c>
      <c r="S23" s="199">
        <v>0</v>
      </c>
      <c r="T23" s="198">
        <v>0</v>
      </c>
      <c r="U23" s="184">
        <v>0</v>
      </c>
      <c r="V23" s="184">
        <v>0</v>
      </c>
      <c r="W23" s="185">
        <v>0</v>
      </c>
      <c r="X23" s="199">
        <v>0</v>
      </c>
    </row>
    <row r="24" spans="1:24" s="315" customFormat="1" ht="9.75">
      <c r="A24" s="230" t="s">
        <v>21</v>
      </c>
      <c r="B24" s="260" t="s">
        <v>71</v>
      </c>
      <c r="C24" s="260"/>
      <c r="D24" s="328" t="s">
        <v>25</v>
      </c>
      <c r="E24" s="198">
        <f t="shared" si="7"/>
        <v>0</v>
      </c>
      <c r="F24" s="184">
        <f t="shared" si="7"/>
        <v>0</v>
      </c>
      <c r="G24" s="184">
        <f t="shared" si="7"/>
        <v>0</v>
      </c>
      <c r="H24" s="185">
        <v>0</v>
      </c>
      <c r="I24" s="199">
        <f t="shared" si="7"/>
        <v>0</v>
      </c>
      <c r="J24" s="331">
        <v>0</v>
      </c>
      <c r="K24" s="184">
        <v>0</v>
      </c>
      <c r="L24" s="184">
        <v>0</v>
      </c>
      <c r="M24" s="185">
        <v>0</v>
      </c>
      <c r="N24" s="15">
        <v>0</v>
      </c>
      <c r="O24" s="207">
        <v>0</v>
      </c>
      <c r="P24" s="184">
        <v>0</v>
      </c>
      <c r="Q24" s="184">
        <v>0</v>
      </c>
      <c r="R24" s="185">
        <v>0</v>
      </c>
      <c r="S24" s="199">
        <v>0</v>
      </c>
      <c r="T24" s="198">
        <v>0</v>
      </c>
      <c r="U24" s="184">
        <v>0</v>
      </c>
      <c r="V24" s="184">
        <v>0</v>
      </c>
      <c r="W24" s="185">
        <v>0</v>
      </c>
      <c r="X24" s="199">
        <v>0</v>
      </c>
    </row>
    <row r="25" spans="1:24" s="315" customFormat="1" ht="9.75">
      <c r="A25" s="230" t="s">
        <v>22</v>
      </c>
      <c r="B25" s="260" t="s">
        <v>66</v>
      </c>
      <c r="C25" s="260"/>
      <c r="D25" s="328" t="s">
        <v>25</v>
      </c>
      <c r="E25" s="198">
        <f t="shared" si="7"/>
        <v>0</v>
      </c>
      <c r="F25" s="184">
        <f t="shared" si="7"/>
        <v>0</v>
      </c>
      <c r="G25" s="184">
        <f t="shared" si="7"/>
        <v>0</v>
      </c>
      <c r="H25" s="185">
        <v>0</v>
      </c>
      <c r="I25" s="199">
        <f t="shared" si="7"/>
        <v>0</v>
      </c>
      <c r="J25" s="331">
        <v>0</v>
      </c>
      <c r="K25" s="188">
        <v>0</v>
      </c>
      <c r="L25" s="188">
        <v>0</v>
      </c>
      <c r="M25" s="185">
        <v>0</v>
      </c>
      <c r="N25" s="334">
        <v>0</v>
      </c>
      <c r="O25" s="207">
        <v>0</v>
      </c>
      <c r="P25" s="188">
        <v>0</v>
      </c>
      <c r="Q25" s="188">
        <v>0</v>
      </c>
      <c r="R25" s="185">
        <v>0</v>
      </c>
      <c r="S25" s="221">
        <v>0</v>
      </c>
      <c r="T25" s="220">
        <v>0</v>
      </c>
      <c r="U25" s="188">
        <v>0</v>
      </c>
      <c r="V25" s="188">
        <v>0</v>
      </c>
      <c r="W25" s="185">
        <v>0</v>
      </c>
      <c r="X25" s="221">
        <v>0</v>
      </c>
    </row>
    <row r="26" spans="1:24" s="319" customFormat="1" ht="9.75">
      <c r="A26" s="230" t="s">
        <v>23</v>
      </c>
      <c r="B26" s="1160" t="s">
        <v>67</v>
      </c>
      <c r="C26" s="1160"/>
      <c r="D26" s="328" t="s">
        <v>25</v>
      </c>
      <c r="E26" s="198">
        <f t="shared" si="7"/>
        <v>802922</v>
      </c>
      <c r="F26" s="184">
        <f t="shared" si="7"/>
        <v>884558</v>
      </c>
      <c r="G26" s="184">
        <f t="shared" si="7"/>
        <v>884558</v>
      </c>
      <c r="H26" s="185">
        <f>G26/F26*100</f>
        <v>100</v>
      </c>
      <c r="I26" s="199">
        <f>SUM(N26,S26)</f>
        <v>802920</v>
      </c>
      <c r="J26" s="331">
        <v>802922</v>
      </c>
      <c r="K26" s="189">
        <v>884558</v>
      </c>
      <c r="L26" s="189">
        <v>884558</v>
      </c>
      <c r="M26" s="185">
        <f t="shared" si="6"/>
        <v>100</v>
      </c>
      <c r="N26" s="336">
        <v>802920</v>
      </c>
      <c r="O26" s="207">
        <v>0</v>
      </c>
      <c r="P26" s="189">
        <v>0</v>
      </c>
      <c r="Q26" s="189">
        <v>0</v>
      </c>
      <c r="R26" s="185">
        <v>0</v>
      </c>
      <c r="S26" s="208">
        <v>0</v>
      </c>
      <c r="T26" s="222">
        <v>0</v>
      </c>
      <c r="U26" s="189">
        <v>0</v>
      </c>
      <c r="V26" s="189">
        <v>0</v>
      </c>
      <c r="W26" s="135">
        <v>0</v>
      </c>
      <c r="X26" s="208">
        <v>0</v>
      </c>
    </row>
    <row r="27" spans="1:24" s="319" customFormat="1" ht="9.75">
      <c r="A27" s="230" t="s">
        <v>43</v>
      </c>
      <c r="B27" s="260" t="s">
        <v>68</v>
      </c>
      <c r="C27" s="260"/>
      <c r="D27" s="328" t="s">
        <v>25</v>
      </c>
      <c r="E27" s="198">
        <f t="shared" si="7"/>
        <v>0</v>
      </c>
      <c r="F27" s="184">
        <f t="shared" si="7"/>
        <v>0</v>
      </c>
      <c r="G27" s="184">
        <f t="shared" si="7"/>
        <v>0</v>
      </c>
      <c r="H27" s="185">
        <v>0</v>
      </c>
      <c r="I27" s="199">
        <f t="shared" si="7"/>
        <v>0</v>
      </c>
      <c r="J27" s="331">
        <v>0</v>
      </c>
      <c r="K27" s="189">
        <v>0</v>
      </c>
      <c r="L27" s="189">
        <v>0</v>
      </c>
      <c r="M27" s="185">
        <v>0</v>
      </c>
      <c r="N27" s="336">
        <v>0</v>
      </c>
      <c r="O27" s="207">
        <v>0</v>
      </c>
      <c r="P27" s="189">
        <v>0</v>
      </c>
      <c r="Q27" s="189">
        <v>0</v>
      </c>
      <c r="R27" s="185">
        <v>0</v>
      </c>
      <c r="S27" s="208">
        <v>0</v>
      </c>
      <c r="T27" s="222">
        <v>0</v>
      </c>
      <c r="U27" s="189">
        <v>0</v>
      </c>
      <c r="V27" s="189">
        <v>0</v>
      </c>
      <c r="W27" s="135">
        <v>0</v>
      </c>
      <c r="X27" s="208">
        <v>0</v>
      </c>
    </row>
    <row r="28" spans="1:24" s="319" customFormat="1" ht="9.75">
      <c r="A28" s="230" t="s">
        <v>49</v>
      </c>
      <c r="B28" s="260" t="s">
        <v>72</v>
      </c>
      <c r="C28" s="260"/>
      <c r="D28" s="328" t="s">
        <v>25</v>
      </c>
      <c r="E28" s="198">
        <f>SUM(J28,O28)</f>
        <v>88300</v>
      </c>
      <c r="F28" s="184">
        <f>SUM(K28,P28)</f>
        <v>718252.91</v>
      </c>
      <c r="G28" s="184">
        <f>SUM(L28,Q28)</f>
        <v>686195.29</v>
      </c>
      <c r="H28" s="185">
        <f>G28/F28*100</f>
        <v>95.536722573111462</v>
      </c>
      <c r="I28" s="199">
        <f>SUM(N28,S28)</f>
        <v>608810.55000000005</v>
      </c>
      <c r="J28" s="331">
        <v>88300</v>
      </c>
      <c r="K28" s="189">
        <v>280729.14</v>
      </c>
      <c r="L28" s="189">
        <v>248671.52</v>
      </c>
      <c r="M28" s="185">
        <f t="shared" si="6"/>
        <v>88.58058696720974</v>
      </c>
      <c r="N28" s="336">
        <v>546277.5</v>
      </c>
      <c r="O28" s="207">
        <v>0</v>
      </c>
      <c r="P28" s="189">
        <v>437523.77</v>
      </c>
      <c r="Q28" s="189">
        <v>437523.77</v>
      </c>
      <c r="R28" s="185">
        <f t="shared" ref="R28" si="8">Q28/P28*100</f>
        <v>100</v>
      </c>
      <c r="S28" s="208">
        <v>62533.05</v>
      </c>
      <c r="T28" s="222">
        <v>0</v>
      </c>
      <c r="U28" s="189">
        <v>0</v>
      </c>
      <c r="V28" s="189">
        <v>0</v>
      </c>
      <c r="W28" s="135">
        <v>0</v>
      </c>
      <c r="X28" s="208">
        <v>0</v>
      </c>
    </row>
    <row r="29" spans="1:24" s="320" customFormat="1" ht="9.75">
      <c r="A29" s="230" t="s">
        <v>50</v>
      </c>
      <c r="B29" s="260" t="s">
        <v>65</v>
      </c>
      <c r="C29" s="260"/>
      <c r="D29" s="328" t="s">
        <v>25</v>
      </c>
      <c r="E29" s="198">
        <f t="shared" si="7"/>
        <v>456</v>
      </c>
      <c r="F29" s="184">
        <f t="shared" si="7"/>
        <v>456</v>
      </c>
      <c r="G29" s="184">
        <f t="shared" si="7"/>
        <v>456</v>
      </c>
      <c r="H29" s="185">
        <f t="shared" si="0"/>
        <v>100</v>
      </c>
      <c r="I29" s="199">
        <f t="shared" si="7"/>
        <v>456</v>
      </c>
      <c r="J29" s="331">
        <v>456</v>
      </c>
      <c r="K29" s="189">
        <v>456</v>
      </c>
      <c r="L29" s="189">
        <v>456</v>
      </c>
      <c r="M29" s="185">
        <f t="shared" si="6"/>
        <v>100</v>
      </c>
      <c r="N29" s="336">
        <v>456</v>
      </c>
      <c r="O29" s="207">
        <v>0</v>
      </c>
      <c r="P29" s="189">
        <v>0</v>
      </c>
      <c r="Q29" s="189">
        <v>0</v>
      </c>
      <c r="R29" s="185">
        <v>0</v>
      </c>
      <c r="S29" s="208">
        <v>0</v>
      </c>
      <c r="T29" s="222">
        <v>0</v>
      </c>
      <c r="U29" s="189">
        <v>0</v>
      </c>
      <c r="V29" s="189">
        <v>0</v>
      </c>
      <c r="W29" s="135">
        <v>0</v>
      </c>
      <c r="X29" s="208">
        <v>0</v>
      </c>
    </row>
    <row r="30" spans="1:24" s="315" customFormat="1" ht="9.75">
      <c r="A30" s="230" t="s">
        <v>52</v>
      </c>
      <c r="B30" s="260" t="s">
        <v>51</v>
      </c>
      <c r="C30" s="260"/>
      <c r="D30" s="328" t="s">
        <v>25</v>
      </c>
      <c r="E30" s="198">
        <f t="shared" si="7"/>
        <v>0</v>
      </c>
      <c r="F30" s="184">
        <v>0</v>
      </c>
      <c r="G30" s="184">
        <f t="shared" si="7"/>
        <v>0</v>
      </c>
      <c r="H30" s="185">
        <v>0</v>
      </c>
      <c r="I30" s="199">
        <f>SUM(N30,S30)</f>
        <v>0</v>
      </c>
      <c r="J30" s="331">
        <v>0</v>
      </c>
      <c r="K30" s="189">
        <v>0</v>
      </c>
      <c r="L30" s="189">
        <v>0</v>
      </c>
      <c r="M30" s="185">
        <v>0</v>
      </c>
      <c r="N30" s="336">
        <v>0</v>
      </c>
      <c r="O30" s="207">
        <v>0</v>
      </c>
      <c r="P30" s="189">
        <v>0</v>
      </c>
      <c r="Q30" s="189">
        <v>0</v>
      </c>
      <c r="R30" s="185">
        <v>0</v>
      </c>
      <c r="S30" s="208">
        <v>0</v>
      </c>
      <c r="T30" s="222">
        <v>0</v>
      </c>
      <c r="U30" s="189">
        <v>0</v>
      </c>
      <c r="V30" s="189">
        <v>0</v>
      </c>
      <c r="W30" s="135">
        <v>0</v>
      </c>
      <c r="X30" s="208">
        <v>0</v>
      </c>
    </row>
    <row r="31" spans="1:24" s="321" customFormat="1" ht="9.75">
      <c r="A31" s="230" t="s">
        <v>53</v>
      </c>
      <c r="B31" s="260" t="s">
        <v>69</v>
      </c>
      <c r="C31" s="260"/>
      <c r="D31" s="328" t="s">
        <v>25</v>
      </c>
      <c r="E31" s="198">
        <f t="shared" si="7"/>
        <v>0</v>
      </c>
      <c r="F31" s="184">
        <f t="shared" si="7"/>
        <v>0</v>
      </c>
      <c r="G31" s="184">
        <f t="shared" si="7"/>
        <v>0</v>
      </c>
      <c r="H31" s="185">
        <v>0</v>
      </c>
      <c r="I31" s="199">
        <f>SUM(N31,S31)</f>
        <v>0</v>
      </c>
      <c r="J31" s="331">
        <v>0</v>
      </c>
      <c r="K31" s="193">
        <v>0</v>
      </c>
      <c r="L31" s="193">
        <v>0</v>
      </c>
      <c r="M31" s="185">
        <v>0</v>
      </c>
      <c r="N31" s="337">
        <v>0</v>
      </c>
      <c r="O31" s="207">
        <v>0</v>
      </c>
      <c r="P31" s="193">
        <v>0</v>
      </c>
      <c r="Q31" s="193">
        <v>0</v>
      </c>
      <c r="R31" s="185">
        <v>0</v>
      </c>
      <c r="S31" s="210">
        <v>0</v>
      </c>
      <c r="T31" s="224">
        <v>0</v>
      </c>
      <c r="U31" s="194">
        <v>0</v>
      </c>
      <c r="V31" s="194">
        <v>0</v>
      </c>
      <c r="W31" s="185">
        <v>0</v>
      </c>
      <c r="X31" s="212">
        <v>0</v>
      </c>
    </row>
    <row r="32" spans="1:24" s="321" customFormat="1" ht="9.75">
      <c r="A32" s="230" t="s">
        <v>54</v>
      </c>
      <c r="B32" s="260" t="s">
        <v>70</v>
      </c>
      <c r="C32" s="260"/>
      <c r="D32" s="328" t="s">
        <v>25</v>
      </c>
      <c r="E32" s="198">
        <f>SUM(J32,O32)</f>
        <v>0</v>
      </c>
      <c r="F32" s="184">
        <f>SUM(K32,P32)</f>
        <v>0</v>
      </c>
      <c r="G32" s="184">
        <f>SUM(L32,Q32)</f>
        <v>0</v>
      </c>
      <c r="H32" s="185">
        <v>0</v>
      </c>
      <c r="I32" s="199">
        <f>SUM(N32,S32)</f>
        <v>0</v>
      </c>
      <c r="J32" s="338">
        <v>0</v>
      </c>
      <c r="K32" s="194">
        <v>0</v>
      </c>
      <c r="L32" s="194">
        <v>0</v>
      </c>
      <c r="M32" s="185">
        <v>0</v>
      </c>
      <c r="N32" s="339">
        <v>0</v>
      </c>
      <c r="O32" s="211">
        <v>0</v>
      </c>
      <c r="P32" s="194">
        <v>0</v>
      </c>
      <c r="Q32" s="194">
        <v>0</v>
      </c>
      <c r="R32" s="185">
        <v>0</v>
      </c>
      <c r="S32" s="212">
        <v>0</v>
      </c>
      <c r="T32" s="224">
        <v>0</v>
      </c>
      <c r="U32" s="194">
        <v>0</v>
      </c>
      <c r="V32" s="194">
        <v>0</v>
      </c>
      <c r="W32" s="185">
        <v>0</v>
      </c>
      <c r="X32" s="212">
        <v>0</v>
      </c>
    </row>
    <row r="33" spans="1:24" s="321" customFormat="1" ht="9.75">
      <c r="A33" s="229" t="s">
        <v>55</v>
      </c>
      <c r="B33" s="263" t="s">
        <v>99</v>
      </c>
      <c r="C33" s="263"/>
      <c r="D33" s="326" t="s">
        <v>25</v>
      </c>
      <c r="E33" s="196">
        <f>E6-E11</f>
        <v>0</v>
      </c>
      <c r="F33" s="181">
        <f>F6-F11</f>
        <v>0</v>
      </c>
      <c r="G33" s="181">
        <f>G6-G11</f>
        <v>190340.26999999955</v>
      </c>
      <c r="H33" s="180"/>
      <c r="I33" s="197">
        <f>I6-I11</f>
        <v>115551.74999999627</v>
      </c>
      <c r="J33" s="153">
        <f>J6-J11</f>
        <v>0</v>
      </c>
      <c r="K33" s="39">
        <f>K6-K11</f>
        <v>0</v>
      </c>
      <c r="L33" s="181">
        <f>L6-L11</f>
        <v>190340.26999999955</v>
      </c>
      <c r="M33" s="180"/>
      <c r="N33" s="327">
        <f>N6-N11</f>
        <v>115551.75000000093</v>
      </c>
      <c r="O33" s="196">
        <f>O6-O11</f>
        <v>0</v>
      </c>
      <c r="P33" s="181">
        <f>P6-P11</f>
        <v>0</v>
      </c>
      <c r="Q33" s="181">
        <f>Q6-Q11</f>
        <v>0</v>
      </c>
      <c r="R33" s="180"/>
      <c r="S33" s="197">
        <f>S6-S11</f>
        <v>0</v>
      </c>
      <c r="T33" s="196">
        <f>T6-T11</f>
        <v>0</v>
      </c>
      <c r="U33" s="181">
        <f>U6-U11</f>
        <v>0</v>
      </c>
      <c r="V33" s="181">
        <f>V6-V11</f>
        <v>0</v>
      </c>
      <c r="W33" s="180"/>
      <c r="X33" s="197">
        <f>X6-X11</f>
        <v>0</v>
      </c>
    </row>
    <row r="34" spans="1:24" s="322" customFormat="1" ht="9.75">
      <c r="A34" s="254" t="s">
        <v>57</v>
      </c>
      <c r="B34" s="1157" t="s">
        <v>237</v>
      </c>
      <c r="C34" s="1157"/>
      <c r="D34" s="340" t="s">
        <v>25</v>
      </c>
      <c r="E34" s="239">
        <f>O34</f>
        <v>33792</v>
      </c>
      <c r="F34" s="240">
        <f t="shared" ref="E34:G37" si="9">P34</f>
        <v>34008</v>
      </c>
      <c r="G34" s="98">
        <f t="shared" si="9"/>
        <v>34008</v>
      </c>
      <c r="H34" s="185">
        <f t="shared" si="0"/>
        <v>100</v>
      </c>
      <c r="I34" s="101">
        <f t="shared" ref="I34:I37" si="10">S34</f>
        <v>31023</v>
      </c>
      <c r="J34" s="341">
        <v>0</v>
      </c>
      <c r="K34" s="129">
        <v>0</v>
      </c>
      <c r="L34" s="129">
        <v>0</v>
      </c>
      <c r="M34" s="180">
        <v>0</v>
      </c>
      <c r="N34" s="342">
        <v>0</v>
      </c>
      <c r="O34" s="239">
        <v>33792</v>
      </c>
      <c r="P34" s="240">
        <v>34008</v>
      </c>
      <c r="Q34" s="240">
        <v>34008</v>
      </c>
      <c r="R34" s="185">
        <f t="shared" si="3"/>
        <v>100</v>
      </c>
      <c r="S34" s="243">
        <v>31023</v>
      </c>
      <c r="T34" s="150">
        <v>0</v>
      </c>
      <c r="U34" s="162">
        <v>0</v>
      </c>
      <c r="V34" s="162">
        <v>0</v>
      </c>
      <c r="W34" s="180">
        <v>0</v>
      </c>
      <c r="X34" s="163">
        <v>0</v>
      </c>
    </row>
    <row r="35" spans="1:24" s="322" customFormat="1" ht="9.75">
      <c r="A35" s="255" t="s">
        <v>58</v>
      </c>
      <c r="B35" s="1156" t="s">
        <v>238</v>
      </c>
      <c r="C35" s="1156"/>
      <c r="D35" s="343" t="s">
        <v>26</v>
      </c>
      <c r="E35" s="77">
        <f t="shared" si="9"/>
        <v>30.61</v>
      </c>
      <c r="F35" s="344">
        <f t="shared" si="9"/>
        <v>30.606000000000002</v>
      </c>
      <c r="G35" s="345">
        <f t="shared" si="9"/>
        <v>30.606000000000002</v>
      </c>
      <c r="H35" s="185">
        <f t="shared" si="0"/>
        <v>100</v>
      </c>
      <c r="I35" s="101">
        <f t="shared" si="10"/>
        <v>32</v>
      </c>
      <c r="J35" s="346">
        <v>0</v>
      </c>
      <c r="K35" s="347">
        <v>0</v>
      </c>
      <c r="L35" s="129">
        <v>0</v>
      </c>
      <c r="M35" s="180">
        <v>0</v>
      </c>
      <c r="N35" s="342">
        <v>0</v>
      </c>
      <c r="O35" s="77">
        <v>30.61</v>
      </c>
      <c r="P35" s="344">
        <v>30.606000000000002</v>
      </c>
      <c r="Q35" s="344">
        <v>30.606000000000002</v>
      </c>
      <c r="R35" s="185">
        <f t="shared" si="3"/>
        <v>100</v>
      </c>
      <c r="S35" s="243">
        <v>32</v>
      </c>
      <c r="T35" s="151">
        <v>0</v>
      </c>
      <c r="U35" s="165">
        <v>0</v>
      </c>
      <c r="V35" s="165">
        <v>0</v>
      </c>
      <c r="W35" s="180">
        <v>0</v>
      </c>
      <c r="X35" s="166">
        <v>0</v>
      </c>
    </row>
    <row r="36" spans="1:24" s="322" customFormat="1" ht="9.75">
      <c r="A36" s="255" t="s">
        <v>59</v>
      </c>
      <c r="B36" s="1156" t="s">
        <v>239</v>
      </c>
      <c r="C36" s="1156"/>
      <c r="D36" s="343" t="s">
        <v>26</v>
      </c>
      <c r="E36" s="348">
        <f t="shared" si="9"/>
        <v>32</v>
      </c>
      <c r="F36" s="349">
        <f t="shared" si="9"/>
        <v>33</v>
      </c>
      <c r="G36" s="350">
        <f t="shared" si="9"/>
        <v>33</v>
      </c>
      <c r="H36" s="185">
        <f t="shared" si="0"/>
        <v>100</v>
      </c>
      <c r="I36" s="101">
        <f t="shared" si="10"/>
        <v>32</v>
      </c>
      <c r="J36" s="351">
        <v>0</v>
      </c>
      <c r="K36" s="352">
        <v>0</v>
      </c>
      <c r="L36" s="353">
        <v>0</v>
      </c>
      <c r="M36" s="354">
        <v>0</v>
      </c>
      <c r="N36" s="355">
        <v>0</v>
      </c>
      <c r="O36" s="239">
        <v>32</v>
      </c>
      <c r="P36" s="240">
        <v>33</v>
      </c>
      <c r="Q36" s="240">
        <v>33</v>
      </c>
      <c r="R36" s="185">
        <f t="shared" si="3"/>
        <v>100</v>
      </c>
      <c r="S36" s="243">
        <v>32</v>
      </c>
      <c r="T36" s="356">
        <v>0</v>
      </c>
      <c r="U36" s="357">
        <v>0</v>
      </c>
      <c r="V36" s="357">
        <v>0</v>
      </c>
      <c r="W36" s="358">
        <v>0</v>
      </c>
      <c r="X36" s="359">
        <v>0</v>
      </c>
    </row>
    <row r="37" spans="1:24" s="322" customFormat="1" ht="9.75" customHeight="1" thickBot="1">
      <c r="A37" s="256" t="s">
        <v>240</v>
      </c>
      <c r="B37" s="1174" t="s">
        <v>467</v>
      </c>
      <c r="C37" s="1174"/>
      <c r="D37" s="360" t="s">
        <v>242</v>
      </c>
      <c r="E37" s="241">
        <f t="shared" si="9"/>
        <v>3</v>
      </c>
      <c r="F37" s="361">
        <f t="shared" si="9"/>
        <v>4</v>
      </c>
      <c r="G37" s="99">
        <f t="shared" si="9"/>
        <v>4</v>
      </c>
      <c r="H37" s="202">
        <f t="shared" si="0"/>
        <v>100</v>
      </c>
      <c r="I37" s="100">
        <f t="shared" si="10"/>
        <v>9</v>
      </c>
      <c r="J37" s="362">
        <v>0</v>
      </c>
      <c r="K37" s="363">
        <v>0</v>
      </c>
      <c r="L37" s="363">
        <v>0</v>
      </c>
      <c r="M37" s="169">
        <v>0</v>
      </c>
      <c r="N37" s="364">
        <v>0</v>
      </c>
      <c r="O37" s="96">
        <v>3</v>
      </c>
      <c r="P37" s="361">
        <v>4</v>
      </c>
      <c r="Q37" s="361">
        <v>4</v>
      </c>
      <c r="R37" s="217">
        <f t="shared" si="3"/>
        <v>100</v>
      </c>
      <c r="S37" s="244">
        <v>9</v>
      </c>
      <c r="T37" s="152">
        <v>0</v>
      </c>
      <c r="U37" s="168">
        <v>0</v>
      </c>
      <c r="V37" s="168">
        <v>0</v>
      </c>
      <c r="W37" s="169">
        <v>0</v>
      </c>
      <c r="X37" s="170">
        <v>0</v>
      </c>
    </row>
  </sheetData>
  <mergeCells count="39">
    <mergeCell ref="B19:C19"/>
    <mergeCell ref="D3:D5"/>
    <mergeCell ref="E3:I3"/>
    <mergeCell ref="T3:X3"/>
    <mergeCell ref="T4:T5"/>
    <mergeCell ref="U4:W4"/>
    <mergeCell ref="X4:X5"/>
    <mergeCell ref="B37:C37"/>
    <mergeCell ref="O3:S3"/>
    <mergeCell ref="E4:E5"/>
    <mergeCell ref="F4:H4"/>
    <mergeCell ref="I4:I5"/>
    <mergeCell ref="J4:J5"/>
    <mergeCell ref="S4:S5"/>
    <mergeCell ref="B13:C13"/>
    <mergeCell ref="B26:C26"/>
    <mergeCell ref="B34:C34"/>
    <mergeCell ref="B35:C35"/>
    <mergeCell ref="B15:C15"/>
    <mergeCell ref="B36:C36"/>
    <mergeCell ref="B20:C20"/>
    <mergeCell ref="B21:C21"/>
    <mergeCell ref="B16:C16"/>
    <mergeCell ref="B22:C22"/>
    <mergeCell ref="A1:X1"/>
    <mergeCell ref="B6:C6"/>
    <mergeCell ref="O4:O5"/>
    <mergeCell ref="P4:R4"/>
    <mergeCell ref="B12:C12"/>
    <mergeCell ref="K4:M4"/>
    <mergeCell ref="N4:N5"/>
    <mergeCell ref="B8:C8"/>
    <mergeCell ref="B10:C10"/>
    <mergeCell ref="B11:C11"/>
    <mergeCell ref="B7:C7"/>
    <mergeCell ref="A3:A5"/>
    <mergeCell ref="B3:C5"/>
    <mergeCell ref="J3:N3"/>
    <mergeCell ref="B18:C18"/>
  </mergeCells>
  <pageMargins left="0.23622047244094491" right="0.23622047244094491" top="0.74803149606299213" bottom="0.74803149606299213" header="0.31496062992125984" footer="0.31496062992125984"/>
  <pageSetup paperSize="9" firstPageNumber="132" orientation="landscape"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145" zoomScaleNormal="100" workbookViewId="0">
      <selection activeCell="G181" sqref="G181"/>
    </sheetView>
  </sheetViews>
  <sheetFormatPr defaultColWidth="25.25" defaultRowHeight="8.25"/>
  <cols>
    <col min="1" max="1" width="58" style="1155" customWidth="1"/>
    <col min="2" max="2" width="33.5" style="1155" customWidth="1"/>
    <col min="3" max="5" width="25.75" style="1155" customWidth="1"/>
    <col min="6" max="6" width="22.75" style="1155" customWidth="1"/>
    <col min="7" max="7" width="17.25" style="1155" customWidth="1"/>
    <col min="8" max="9" width="16" style="1155" customWidth="1"/>
    <col min="10" max="26" width="16" style="1155" hidden="1" customWidth="1"/>
    <col min="27" max="16384" width="25.25" style="1155"/>
  </cols>
  <sheetData>
    <row r="1" spans="1:26" ht="31.5" customHeight="1">
      <c r="A1" s="1750" t="s">
        <v>73</v>
      </c>
      <c r="B1" s="1751" t="s">
        <v>375</v>
      </c>
      <c r="C1" s="1752"/>
      <c r="D1" s="1752"/>
      <c r="E1" s="1752"/>
      <c r="F1" s="1752"/>
      <c r="G1" s="1752"/>
      <c r="H1" s="1752"/>
      <c r="I1" s="1752"/>
      <c r="J1" s="1752"/>
      <c r="K1" s="1752"/>
      <c r="L1" s="1752"/>
      <c r="M1" s="1752"/>
      <c r="N1" s="1752"/>
      <c r="O1" s="1752"/>
      <c r="P1" s="1752"/>
      <c r="Q1" s="1752"/>
      <c r="R1" s="1752"/>
      <c r="S1" s="1752"/>
      <c r="T1" s="1752"/>
      <c r="U1" s="1752"/>
      <c r="V1" s="1752"/>
      <c r="W1" s="1752"/>
      <c r="X1" s="1752"/>
      <c r="Y1" s="1752"/>
      <c r="Z1" s="1752"/>
    </row>
    <row r="2" spans="1:26" ht="12.75" customHeight="1">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ht="12.75" customHeight="1">
      <c r="A3" s="1753" t="s">
        <v>412</v>
      </c>
      <c r="B3" s="1754"/>
      <c r="C3" s="1754"/>
      <c r="D3" s="1754"/>
      <c r="E3" s="1754"/>
      <c r="F3" s="1754"/>
      <c r="G3" s="1754"/>
      <c r="H3" s="1754"/>
      <c r="I3" s="1754"/>
      <c r="J3" s="1755"/>
      <c r="K3" s="1755"/>
      <c r="L3" s="1755"/>
      <c r="M3" s="1755"/>
      <c r="N3" s="1755"/>
      <c r="O3" s="1755"/>
      <c r="P3" s="1755"/>
      <c r="Q3" s="1755"/>
      <c r="R3" s="1755"/>
      <c r="S3" s="1755"/>
      <c r="T3" s="1755"/>
      <c r="U3" s="1755"/>
      <c r="V3" s="1755"/>
      <c r="W3" s="1755"/>
      <c r="X3" s="1755"/>
      <c r="Y3" s="1755"/>
      <c r="Z3" s="1755"/>
    </row>
    <row r="4" spans="1:26" ht="12.75" customHeight="1">
      <c r="A4" s="1756"/>
      <c r="B4" s="1756"/>
      <c r="C4" s="1756"/>
      <c r="D4" s="1756"/>
      <c r="E4" s="1756"/>
      <c r="F4" s="1756"/>
      <c r="G4" s="1756"/>
      <c r="H4" s="1756"/>
      <c r="I4" s="1756"/>
      <c r="J4" s="1756"/>
      <c r="K4" s="1756"/>
      <c r="L4" s="1756"/>
      <c r="M4" s="1756"/>
      <c r="N4" s="1756"/>
      <c r="O4" s="1756"/>
      <c r="P4" s="1756"/>
      <c r="Q4" s="1756"/>
      <c r="R4" s="1756"/>
      <c r="S4" s="1756"/>
      <c r="T4" s="1756"/>
      <c r="U4" s="1756"/>
      <c r="V4" s="1756"/>
      <c r="W4" s="1756"/>
      <c r="X4" s="1756"/>
      <c r="Y4" s="1756"/>
      <c r="Z4" s="1756"/>
    </row>
    <row r="5" spans="1:26" ht="12.75" customHeight="1">
      <c r="A5" s="1757" t="s">
        <v>74</v>
      </c>
      <c r="B5" s="1758"/>
      <c r="C5" s="1759" t="s">
        <v>25</v>
      </c>
      <c r="D5" s="1757" t="s">
        <v>413</v>
      </c>
      <c r="E5" s="1760"/>
      <c r="F5" s="1760"/>
      <c r="G5" s="1760"/>
      <c r="H5" s="1760"/>
      <c r="I5" s="1758"/>
      <c r="J5" s="1761"/>
      <c r="K5" s="1761"/>
      <c r="L5" s="1761"/>
      <c r="M5" s="1761"/>
      <c r="N5" s="1761"/>
      <c r="O5" s="1761"/>
      <c r="P5" s="1761"/>
      <c r="Q5" s="1761"/>
      <c r="R5" s="1761"/>
      <c r="S5" s="1761"/>
      <c r="T5" s="1761"/>
      <c r="U5" s="1761"/>
      <c r="V5" s="1761"/>
      <c r="W5" s="1761"/>
      <c r="X5" s="1761"/>
      <c r="Y5" s="1761"/>
      <c r="Z5" s="1761"/>
    </row>
    <row r="6" spans="1:26" ht="15" customHeight="1">
      <c r="A6" s="1762" t="s">
        <v>414</v>
      </c>
      <c r="B6" s="1758"/>
      <c r="C6" s="1763">
        <f>SUM(C7:C9)</f>
        <v>1944696.53</v>
      </c>
      <c r="D6" s="1764"/>
      <c r="E6" s="1765"/>
      <c r="F6" s="1765"/>
      <c r="G6" s="1765"/>
      <c r="H6" s="1765"/>
      <c r="I6" s="1766"/>
      <c r="J6" s="1756"/>
      <c r="K6" s="1756"/>
      <c r="L6" s="1756"/>
      <c r="M6" s="1756"/>
      <c r="N6" s="1756"/>
      <c r="O6" s="1756"/>
      <c r="P6" s="1756"/>
      <c r="Q6" s="1756"/>
      <c r="R6" s="1756"/>
      <c r="S6" s="1756"/>
      <c r="T6" s="1756"/>
      <c r="U6" s="1756"/>
      <c r="V6" s="1756"/>
      <c r="W6" s="1756"/>
      <c r="X6" s="1756"/>
      <c r="Y6" s="1756"/>
      <c r="Z6" s="1756"/>
    </row>
    <row r="7" spans="1:26" ht="33.75" customHeight="1">
      <c r="A7" s="1767" t="s">
        <v>75</v>
      </c>
      <c r="B7" s="1768"/>
      <c r="C7" s="1769">
        <v>1690658.21</v>
      </c>
      <c r="D7" s="1770" t="s">
        <v>1318</v>
      </c>
      <c r="E7" s="1771"/>
      <c r="F7" s="1771"/>
      <c r="G7" s="1771"/>
      <c r="H7" s="1771"/>
      <c r="I7" s="1772"/>
      <c r="J7" s="1756"/>
      <c r="K7" s="1756"/>
      <c r="L7" s="1756"/>
      <c r="M7" s="1756"/>
      <c r="N7" s="1756"/>
      <c r="O7" s="1756"/>
      <c r="P7" s="1756"/>
      <c r="Q7" s="1756"/>
      <c r="R7" s="1756"/>
      <c r="S7" s="1756"/>
      <c r="T7" s="1756"/>
      <c r="U7" s="1756"/>
      <c r="V7" s="1756"/>
      <c r="W7" s="1756"/>
      <c r="X7" s="1756"/>
      <c r="Y7" s="1756"/>
      <c r="Z7" s="1756"/>
    </row>
    <row r="8" spans="1:26" ht="45.75" customHeight="1">
      <c r="A8" s="1773" t="s">
        <v>76</v>
      </c>
      <c r="B8" s="1774"/>
      <c r="C8" s="1775">
        <v>254038.32</v>
      </c>
      <c r="D8" s="1776" t="s">
        <v>1319</v>
      </c>
      <c r="E8" s="1777"/>
      <c r="F8" s="1777"/>
      <c r="G8" s="1777"/>
      <c r="H8" s="1777"/>
      <c r="I8" s="1778"/>
      <c r="J8" s="1755"/>
      <c r="K8" s="1755"/>
      <c r="L8" s="1755"/>
      <c r="M8" s="1755"/>
      <c r="N8" s="1755"/>
      <c r="O8" s="1755"/>
      <c r="P8" s="1755"/>
      <c r="Q8" s="1755"/>
      <c r="R8" s="1755"/>
      <c r="S8" s="1755"/>
      <c r="T8" s="1755"/>
      <c r="U8" s="1755"/>
      <c r="V8" s="1755"/>
      <c r="W8" s="1755"/>
      <c r="X8" s="1755"/>
      <c r="Y8" s="1755"/>
      <c r="Z8" s="1755"/>
    </row>
    <row r="9" spans="1:26" ht="15" customHeight="1">
      <c r="A9" s="1779" t="s">
        <v>77</v>
      </c>
      <c r="B9" s="1780"/>
      <c r="C9" s="1781">
        <v>0</v>
      </c>
      <c r="D9" s="1782"/>
      <c r="E9" s="1783"/>
      <c r="F9" s="1783"/>
      <c r="G9" s="1783"/>
      <c r="H9" s="1783"/>
      <c r="I9" s="1784"/>
      <c r="J9" s="1755"/>
      <c r="K9" s="1755"/>
      <c r="L9" s="1755"/>
      <c r="M9" s="1755"/>
      <c r="N9" s="1755"/>
      <c r="O9" s="1755"/>
      <c r="P9" s="1755"/>
      <c r="Q9" s="1755"/>
      <c r="R9" s="1755"/>
      <c r="S9" s="1755"/>
      <c r="T9" s="1755"/>
      <c r="U9" s="1755"/>
      <c r="V9" s="1755"/>
      <c r="W9" s="1755"/>
      <c r="X9" s="1755"/>
      <c r="Y9" s="1755"/>
      <c r="Z9" s="1755"/>
    </row>
    <row r="10" spans="1:26" ht="12.75" customHeight="1">
      <c r="A10" s="1756"/>
      <c r="B10" s="1756"/>
      <c r="C10" s="1785"/>
      <c r="D10" s="1756"/>
      <c r="E10" s="1756"/>
      <c r="F10" s="1756"/>
      <c r="G10" s="1756"/>
      <c r="H10" s="1756"/>
      <c r="I10" s="1756"/>
      <c r="J10" s="1756"/>
      <c r="K10" s="1756"/>
      <c r="L10" s="1756"/>
      <c r="M10" s="1756"/>
      <c r="N10" s="1756"/>
      <c r="O10" s="1756"/>
      <c r="P10" s="1756"/>
      <c r="Q10" s="1756"/>
      <c r="R10" s="1756"/>
      <c r="S10" s="1756"/>
      <c r="T10" s="1756"/>
      <c r="U10" s="1756"/>
      <c r="V10" s="1756"/>
      <c r="W10" s="1756"/>
      <c r="X10" s="1756"/>
      <c r="Y10" s="1756"/>
      <c r="Z10" s="1756"/>
    </row>
    <row r="11" spans="1:26" ht="12.75" customHeight="1">
      <c r="A11" s="1753" t="s">
        <v>419</v>
      </c>
      <c r="B11" s="1754"/>
      <c r="C11" s="1754"/>
      <c r="D11" s="1754"/>
      <c r="E11" s="1754"/>
      <c r="F11" s="1754"/>
      <c r="G11" s="1754"/>
      <c r="H11" s="1754"/>
      <c r="I11" s="1754"/>
      <c r="J11" s="1756"/>
      <c r="K11" s="1756"/>
      <c r="L11" s="1756"/>
      <c r="M11" s="1756"/>
      <c r="N11" s="1756"/>
      <c r="O11" s="1756"/>
      <c r="P11" s="1756"/>
      <c r="Q11" s="1756"/>
      <c r="R11" s="1756"/>
      <c r="S11" s="1756"/>
      <c r="T11" s="1756"/>
      <c r="U11" s="1756"/>
      <c r="V11" s="1756"/>
      <c r="W11" s="1756"/>
      <c r="X11" s="1756"/>
      <c r="Y11" s="1756"/>
      <c r="Z11" s="1756"/>
    </row>
    <row r="12" spans="1:26" ht="12.75" customHeight="1">
      <c r="A12" s="1756"/>
      <c r="B12" s="1756"/>
      <c r="C12" s="1785"/>
      <c r="D12" s="1756"/>
      <c r="E12" s="1756"/>
      <c r="F12" s="1756"/>
      <c r="G12" s="1756"/>
      <c r="H12" s="1756"/>
      <c r="I12" s="1756"/>
      <c r="J12" s="1756"/>
      <c r="K12" s="1756"/>
      <c r="L12" s="1756"/>
      <c r="M12" s="1756"/>
      <c r="N12" s="1756"/>
      <c r="O12" s="1756"/>
      <c r="P12" s="1756"/>
      <c r="Q12" s="1756"/>
      <c r="R12" s="1756"/>
      <c r="S12" s="1756"/>
      <c r="T12" s="1756"/>
      <c r="U12" s="1756"/>
      <c r="V12" s="1756"/>
      <c r="W12" s="1756"/>
      <c r="X12" s="1756"/>
      <c r="Y12" s="1756"/>
      <c r="Z12" s="1756"/>
    </row>
    <row r="13" spans="1:26" ht="12.75" customHeight="1">
      <c r="A13" s="1759" t="s">
        <v>74</v>
      </c>
      <c r="B13" s="1759" t="s">
        <v>78</v>
      </c>
      <c r="C13" s="1759" t="s">
        <v>25</v>
      </c>
      <c r="D13" s="1786"/>
      <c r="E13" s="1786"/>
      <c r="F13" s="1786"/>
      <c r="G13" s="1786"/>
      <c r="H13" s="1786"/>
      <c r="I13" s="1786"/>
      <c r="J13" s="1787"/>
      <c r="K13" s="1787"/>
      <c r="L13" s="1787"/>
      <c r="M13" s="1787"/>
      <c r="N13" s="1787"/>
      <c r="O13" s="1787"/>
      <c r="P13" s="1787"/>
      <c r="Q13" s="1787"/>
      <c r="R13" s="1787"/>
      <c r="S13" s="1787"/>
      <c r="T13" s="1787"/>
      <c r="U13" s="1787"/>
      <c r="V13" s="1787"/>
      <c r="W13" s="1787"/>
      <c r="X13" s="1787"/>
      <c r="Y13" s="1787"/>
      <c r="Z13" s="1787"/>
    </row>
    <row r="14" spans="1:26" ht="15" customHeight="1">
      <c r="A14" s="1788" t="s">
        <v>79</v>
      </c>
      <c r="B14" s="1789"/>
      <c r="C14" s="1790">
        <v>1649696.53</v>
      </c>
      <c r="D14" s="1791"/>
      <c r="E14" s="1791"/>
      <c r="F14" s="1791"/>
      <c r="G14" s="1791"/>
      <c r="H14" s="1791"/>
      <c r="I14" s="1791"/>
      <c r="J14" s="1756"/>
      <c r="K14" s="1756"/>
      <c r="L14" s="1756"/>
      <c r="M14" s="1756"/>
      <c r="N14" s="1756"/>
      <c r="O14" s="1756"/>
      <c r="P14" s="1756"/>
      <c r="Q14" s="1756"/>
      <c r="R14" s="1756"/>
      <c r="S14" s="1756"/>
      <c r="T14" s="1756"/>
      <c r="U14" s="1756"/>
      <c r="V14" s="1756"/>
      <c r="W14" s="1756"/>
      <c r="X14" s="1756"/>
      <c r="Y14" s="1756"/>
      <c r="Z14" s="1756"/>
    </row>
    <row r="15" spans="1:26" ht="15" customHeight="1">
      <c r="A15" s="1792" t="s">
        <v>80</v>
      </c>
      <c r="B15" s="1793" t="s">
        <v>91</v>
      </c>
      <c r="C15" s="1794">
        <v>0</v>
      </c>
      <c r="D15" s="1791"/>
      <c r="E15" s="1791"/>
      <c r="F15" s="1791"/>
      <c r="G15" s="1791"/>
      <c r="H15" s="1791"/>
      <c r="I15" s="1791"/>
      <c r="J15" s="1756"/>
      <c r="K15" s="1756"/>
      <c r="L15" s="1756"/>
      <c r="M15" s="1756"/>
      <c r="N15" s="1756"/>
      <c r="O15" s="1756"/>
      <c r="P15" s="1756"/>
      <c r="Q15" s="1756"/>
      <c r="R15" s="1756"/>
      <c r="S15" s="1756"/>
      <c r="T15" s="1756"/>
      <c r="U15" s="1756"/>
      <c r="V15" s="1756"/>
      <c r="W15" s="1756"/>
      <c r="X15" s="1756"/>
      <c r="Y15" s="1756"/>
      <c r="Z15" s="1756"/>
    </row>
    <row r="16" spans="1:26" ht="15" customHeight="1">
      <c r="A16" s="1795"/>
      <c r="B16" s="1796" t="s">
        <v>81</v>
      </c>
      <c r="C16" s="1797">
        <v>255000</v>
      </c>
      <c r="D16" s="1798"/>
      <c r="E16" s="1798"/>
      <c r="F16" s="1798"/>
      <c r="G16" s="1798"/>
      <c r="H16" s="1798"/>
      <c r="I16" s="1798"/>
      <c r="J16" s="1756"/>
      <c r="K16" s="1756"/>
      <c r="L16" s="1756"/>
      <c r="M16" s="1756"/>
      <c r="N16" s="1756"/>
      <c r="O16" s="1756"/>
      <c r="P16" s="1756"/>
      <c r="Q16" s="1756"/>
      <c r="R16" s="1756"/>
      <c r="S16" s="1756"/>
      <c r="T16" s="1756"/>
      <c r="U16" s="1756"/>
      <c r="V16" s="1756"/>
      <c r="W16" s="1756"/>
      <c r="X16" s="1756"/>
      <c r="Y16" s="1756"/>
      <c r="Z16" s="1756"/>
    </row>
    <row r="17" spans="1:26" ht="15" customHeight="1">
      <c r="A17" s="1799"/>
      <c r="B17" s="1800" t="s">
        <v>82</v>
      </c>
      <c r="C17" s="1801">
        <v>40000</v>
      </c>
      <c r="D17" s="1802"/>
      <c r="E17" s="1802"/>
      <c r="F17" s="1802"/>
      <c r="G17" s="1802"/>
      <c r="H17" s="1802"/>
      <c r="I17" s="1802"/>
      <c r="J17" s="1756"/>
      <c r="K17" s="1756"/>
      <c r="L17" s="1756"/>
      <c r="M17" s="1756"/>
      <c r="N17" s="1756"/>
      <c r="O17" s="1756"/>
      <c r="P17" s="1756"/>
      <c r="Q17" s="1756"/>
      <c r="R17" s="1756"/>
      <c r="S17" s="1756"/>
      <c r="T17" s="1756"/>
      <c r="U17" s="1756"/>
      <c r="V17" s="1756"/>
      <c r="W17" s="1756"/>
      <c r="X17" s="1756"/>
      <c r="Y17" s="1756"/>
      <c r="Z17" s="1756"/>
    </row>
    <row r="18" spans="1:26" ht="15" customHeight="1">
      <c r="A18" s="1803" t="s">
        <v>414</v>
      </c>
      <c r="B18" s="1804"/>
      <c r="C18" s="1805">
        <f>SUM(C14:C17)</f>
        <v>1944696.53</v>
      </c>
      <c r="D18" s="1806"/>
      <c r="E18" s="1806"/>
      <c r="F18" s="1806"/>
      <c r="G18" s="1806"/>
      <c r="H18" s="1806"/>
      <c r="I18" s="1806"/>
      <c r="J18" s="1756"/>
      <c r="K18" s="1756"/>
      <c r="L18" s="1756"/>
      <c r="M18" s="1756"/>
      <c r="N18" s="1756"/>
      <c r="O18" s="1756"/>
      <c r="P18" s="1756"/>
      <c r="Q18" s="1756"/>
      <c r="R18" s="1756"/>
      <c r="S18" s="1756"/>
      <c r="T18" s="1756"/>
      <c r="U18" s="1756"/>
      <c r="V18" s="1756"/>
      <c r="W18" s="1756"/>
      <c r="X18" s="1756"/>
      <c r="Y18" s="1756"/>
      <c r="Z18" s="1756"/>
    </row>
    <row r="19" spans="1:26" ht="12.75" customHeight="1">
      <c r="A19" s="1807"/>
      <c r="B19" s="1756"/>
      <c r="C19" s="1785"/>
      <c r="D19" s="1756"/>
      <c r="E19" s="1756"/>
      <c r="F19" s="1756"/>
      <c r="G19" s="1756"/>
      <c r="H19" s="1756"/>
      <c r="I19" s="1756"/>
      <c r="J19" s="1756"/>
      <c r="K19" s="1756"/>
      <c r="L19" s="1756"/>
      <c r="M19" s="1756"/>
      <c r="N19" s="1756"/>
      <c r="O19" s="1756"/>
      <c r="P19" s="1756"/>
      <c r="Q19" s="1756"/>
      <c r="R19" s="1756"/>
      <c r="S19" s="1756"/>
      <c r="T19" s="1756"/>
      <c r="U19" s="1756"/>
      <c r="V19" s="1756"/>
      <c r="W19" s="1756"/>
      <c r="X19" s="1756"/>
      <c r="Y19" s="1756"/>
      <c r="Z19" s="1756"/>
    </row>
    <row r="20" spans="1:26" ht="12.75" customHeight="1">
      <c r="A20" s="1753" t="s">
        <v>420</v>
      </c>
      <c r="B20" s="1754"/>
      <c r="C20" s="1754"/>
      <c r="D20" s="1754"/>
      <c r="E20" s="1754"/>
      <c r="F20" s="1754"/>
      <c r="G20" s="1754"/>
      <c r="H20" s="1754"/>
      <c r="I20" s="1754"/>
      <c r="J20" s="1756"/>
      <c r="K20" s="1756"/>
      <c r="L20" s="1756"/>
      <c r="M20" s="1756"/>
      <c r="N20" s="1756"/>
      <c r="O20" s="1756"/>
      <c r="P20" s="1756"/>
      <c r="Q20" s="1756"/>
      <c r="R20" s="1756"/>
      <c r="S20" s="1756"/>
      <c r="T20" s="1756"/>
      <c r="U20" s="1756"/>
      <c r="V20" s="1756"/>
      <c r="W20" s="1756"/>
      <c r="X20" s="1756"/>
      <c r="Y20" s="1756"/>
      <c r="Z20" s="1756"/>
    </row>
    <row r="21" spans="1:26" ht="12.75" customHeight="1">
      <c r="A21" s="1756"/>
      <c r="B21" s="1756"/>
      <c r="C21" s="1785"/>
      <c r="D21" s="1756"/>
      <c r="E21" s="1756"/>
      <c r="F21" s="1756"/>
      <c r="G21" s="1756"/>
      <c r="H21" s="1756"/>
      <c r="I21" s="1756"/>
      <c r="J21" s="1756"/>
      <c r="K21" s="1756"/>
      <c r="L21" s="1756"/>
      <c r="M21" s="1756"/>
      <c r="N21" s="1756"/>
      <c r="O21" s="1756"/>
      <c r="P21" s="1756"/>
      <c r="Q21" s="1756"/>
      <c r="R21" s="1756"/>
      <c r="S21" s="1756"/>
      <c r="T21" s="1756"/>
      <c r="U21" s="1756"/>
      <c r="V21" s="1756"/>
      <c r="W21" s="1756"/>
      <c r="X21" s="1756"/>
      <c r="Y21" s="1756"/>
      <c r="Z21" s="1756"/>
    </row>
    <row r="22" spans="1:26" ht="12.75" customHeight="1">
      <c r="A22" s="1759" t="s">
        <v>78</v>
      </c>
      <c r="B22" s="1759" t="s">
        <v>421</v>
      </c>
      <c r="C22" s="1808" t="s">
        <v>422</v>
      </c>
      <c r="D22" s="1759" t="s">
        <v>423</v>
      </c>
      <c r="E22" s="1759" t="s">
        <v>424</v>
      </c>
      <c r="F22" s="1757" t="s">
        <v>425</v>
      </c>
      <c r="G22" s="1760"/>
      <c r="H22" s="1760"/>
      <c r="I22" s="1758"/>
      <c r="J22" s="1761"/>
      <c r="K22" s="1761"/>
      <c r="L22" s="1761"/>
      <c r="M22" s="1761"/>
      <c r="N22" s="1761"/>
      <c r="O22" s="1761"/>
      <c r="P22" s="1761"/>
      <c r="Q22" s="1761"/>
      <c r="R22" s="1761"/>
      <c r="S22" s="1761"/>
      <c r="T22" s="1761"/>
      <c r="U22" s="1761"/>
      <c r="V22" s="1761"/>
      <c r="W22" s="1761"/>
      <c r="X22" s="1761"/>
      <c r="Y22" s="1761"/>
      <c r="Z22" s="1761"/>
    </row>
    <row r="23" spans="1:26" ht="38.25" customHeight="1">
      <c r="A23" s="1809" t="s">
        <v>83</v>
      </c>
      <c r="B23" s="1810">
        <v>1606077.01</v>
      </c>
      <c r="C23" s="1810">
        <v>30000</v>
      </c>
      <c r="D23" s="1810">
        <v>1273922.1599999999</v>
      </c>
      <c r="E23" s="1810">
        <f t="shared" ref="E23:E26" si="0">B23+C23-D23</f>
        <v>362154.85000000009</v>
      </c>
      <c r="F23" s="1811" t="s">
        <v>1320</v>
      </c>
      <c r="G23" s="1812"/>
      <c r="H23" s="1812"/>
      <c r="I23" s="1813"/>
      <c r="J23" s="1756"/>
      <c r="K23" s="1756"/>
      <c r="L23" s="1756"/>
      <c r="M23" s="1756"/>
      <c r="N23" s="1756"/>
      <c r="O23" s="1756"/>
      <c r="P23" s="1756"/>
      <c r="Q23" s="1756"/>
      <c r="R23" s="1756"/>
      <c r="S23" s="1756"/>
      <c r="T23" s="1756"/>
      <c r="U23" s="1756"/>
      <c r="V23" s="1756"/>
      <c r="W23" s="1756"/>
      <c r="X23" s="1756"/>
      <c r="Y23" s="1756"/>
      <c r="Z23" s="1756"/>
    </row>
    <row r="24" spans="1:26" ht="75" customHeight="1">
      <c r="A24" s="1814" t="s">
        <v>84</v>
      </c>
      <c r="B24" s="1815">
        <v>955503.2</v>
      </c>
      <c r="C24" s="1815">
        <v>3865128</v>
      </c>
      <c r="D24" s="1815">
        <v>3827271.77</v>
      </c>
      <c r="E24" s="1815">
        <f t="shared" si="0"/>
        <v>993359.43000000017</v>
      </c>
      <c r="F24" s="1776" t="s">
        <v>1321</v>
      </c>
      <c r="G24" s="1777"/>
      <c r="H24" s="1777"/>
      <c r="I24" s="1778"/>
      <c r="J24" s="1756"/>
      <c r="K24" s="1756"/>
      <c r="L24" s="1756"/>
      <c r="M24" s="1756"/>
      <c r="N24" s="1756"/>
      <c r="O24" s="1756"/>
      <c r="P24" s="1756"/>
      <c r="Q24" s="1756"/>
      <c r="R24" s="1756"/>
      <c r="S24" s="1756"/>
      <c r="T24" s="1756"/>
      <c r="U24" s="1756"/>
      <c r="V24" s="1756"/>
      <c r="W24" s="1756"/>
      <c r="X24" s="1756"/>
      <c r="Y24" s="1756"/>
      <c r="Z24" s="1756"/>
    </row>
    <row r="25" spans="1:26" ht="48.75" customHeight="1">
      <c r="A25" s="1814" t="s">
        <v>82</v>
      </c>
      <c r="B25" s="1815">
        <v>85926.61</v>
      </c>
      <c r="C25" s="1815">
        <v>0</v>
      </c>
      <c r="D25" s="1815">
        <v>40000</v>
      </c>
      <c r="E25" s="1815">
        <f t="shared" si="0"/>
        <v>45926.61</v>
      </c>
      <c r="F25" s="1776" t="s">
        <v>1322</v>
      </c>
      <c r="G25" s="1777"/>
      <c r="H25" s="1777"/>
      <c r="I25" s="1778"/>
      <c r="J25" s="1756"/>
      <c r="K25" s="1756"/>
      <c r="L25" s="1756"/>
      <c r="M25" s="1756"/>
      <c r="N25" s="1756"/>
      <c r="O25" s="1756"/>
      <c r="P25" s="1756"/>
      <c r="Q25" s="1756"/>
      <c r="R25" s="1756"/>
      <c r="S25" s="1756"/>
      <c r="T25" s="1756"/>
      <c r="U25" s="1756"/>
      <c r="V25" s="1756"/>
      <c r="W25" s="1756"/>
      <c r="X25" s="1756"/>
      <c r="Y25" s="1756"/>
      <c r="Z25" s="1756"/>
    </row>
    <row r="26" spans="1:26" ht="66.75" customHeight="1">
      <c r="A26" s="1816" t="s">
        <v>85</v>
      </c>
      <c r="B26" s="1817">
        <v>216674.74</v>
      </c>
      <c r="C26" s="1817">
        <v>329628.7</v>
      </c>
      <c r="D26" s="1817">
        <v>310695</v>
      </c>
      <c r="E26" s="1815">
        <f t="shared" si="0"/>
        <v>235608.43999999994</v>
      </c>
      <c r="F26" s="1818" t="s">
        <v>1323</v>
      </c>
      <c r="G26" s="1783"/>
      <c r="H26" s="1783"/>
      <c r="I26" s="1784"/>
      <c r="J26" s="1756"/>
      <c r="K26" s="1756"/>
      <c r="L26" s="1756"/>
      <c r="M26" s="1756"/>
      <c r="N26" s="1756"/>
      <c r="O26" s="1756"/>
      <c r="P26" s="1756"/>
      <c r="Q26" s="1756"/>
      <c r="R26" s="1756"/>
      <c r="S26" s="1756"/>
      <c r="T26" s="1756"/>
      <c r="U26" s="1756"/>
      <c r="V26" s="1756"/>
      <c r="W26" s="1756"/>
      <c r="X26" s="1756"/>
      <c r="Y26" s="1756"/>
      <c r="Z26" s="1756"/>
    </row>
    <row r="27" spans="1:26" ht="12.75" customHeight="1">
      <c r="A27" s="1819" t="s">
        <v>34</v>
      </c>
      <c r="B27" s="1763">
        <f t="shared" ref="B27:E27" si="1">SUM(B23:B26)</f>
        <v>2864181.5599999996</v>
      </c>
      <c r="C27" s="1763">
        <f t="shared" si="1"/>
        <v>4224756.7</v>
      </c>
      <c r="D27" s="1763">
        <f t="shared" si="1"/>
        <v>5451888.9299999997</v>
      </c>
      <c r="E27" s="1763">
        <f t="shared" si="1"/>
        <v>1637049.3300000003</v>
      </c>
      <c r="F27" s="1820"/>
      <c r="G27" s="1760"/>
      <c r="H27" s="1760"/>
      <c r="I27" s="1758"/>
      <c r="J27" s="1755"/>
      <c r="K27" s="1755"/>
      <c r="L27" s="1755"/>
      <c r="M27" s="1755"/>
      <c r="N27" s="1755"/>
      <c r="O27" s="1755"/>
      <c r="P27" s="1755"/>
      <c r="Q27" s="1755"/>
      <c r="R27" s="1755"/>
      <c r="S27" s="1755"/>
      <c r="T27" s="1755"/>
      <c r="U27" s="1755"/>
      <c r="V27" s="1755"/>
      <c r="W27" s="1755"/>
      <c r="X27" s="1755"/>
      <c r="Y27" s="1755"/>
      <c r="Z27" s="1755"/>
    </row>
    <row r="28" spans="1:26" ht="12.75" customHeight="1">
      <c r="A28" s="1756"/>
      <c r="B28" s="1756"/>
      <c r="C28" s="1785"/>
      <c r="D28" s="1756"/>
      <c r="E28" s="1756"/>
      <c r="F28" s="1756"/>
      <c r="G28" s="1756"/>
      <c r="H28" s="1756"/>
      <c r="I28" s="1756"/>
      <c r="J28" s="1756"/>
      <c r="K28" s="1756"/>
      <c r="L28" s="1756"/>
      <c r="M28" s="1756"/>
      <c r="N28" s="1756"/>
      <c r="O28" s="1756"/>
      <c r="P28" s="1756"/>
      <c r="Q28" s="1756"/>
      <c r="R28" s="1756"/>
      <c r="S28" s="1756"/>
      <c r="T28" s="1756"/>
      <c r="U28" s="1756"/>
      <c r="V28" s="1756"/>
      <c r="W28" s="1756"/>
      <c r="X28" s="1756"/>
      <c r="Y28" s="1756"/>
      <c r="Z28" s="1756"/>
    </row>
    <row r="29" spans="1:26" ht="12.75" customHeight="1">
      <c r="A29" s="1753" t="s">
        <v>430</v>
      </c>
      <c r="B29" s="1754"/>
      <c r="C29" s="1754"/>
      <c r="D29" s="1754"/>
      <c r="E29" s="1754"/>
      <c r="F29" s="1754"/>
      <c r="G29" s="1754"/>
      <c r="H29" s="1754"/>
      <c r="I29" s="1754"/>
      <c r="J29" s="1756"/>
      <c r="K29" s="1756"/>
      <c r="L29" s="1756"/>
      <c r="M29" s="1756"/>
      <c r="N29" s="1756"/>
      <c r="O29" s="1756"/>
      <c r="P29" s="1756"/>
      <c r="Q29" s="1756"/>
      <c r="R29" s="1756"/>
      <c r="S29" s="1756"/>
      <c r="T29" s="1756"/>
      <c r="U29" s="1756"/>
      <c r="V29" s="1756"/>
      <c r="W29" s="1756"/>
      <c r="X29" s="1756"/>
      <c r="Y29" s="1756"/>
      <c r="Z29" s="1756"/>
    </row>
    <row r="30" spans="1:26" ht="12.75" customHeight="1">
      <c r="A30" s="1756"/>
      <c r="B30" s="1756"/>
      <c r="C30" s="1785"/>
      <c r="D30" s="1756"/>
      <c r="E30" s="1756"/>
      <c r="F30" s="1756"/>
      <c r="G30" s="1756"/>
      <c r="H30" s="1756"/>
      <c r="I30" s="1756"/>
      <c r="J30" s="1756"/>
      <c r="K30" s="1756"/>
      <c r="L30" s="1756"/>
      <c r="M30" s="1756"/>
      <c r="N30" s="1756"/>
      <c r="O30" s="1756"/>
      <c r="P30" s="1756"/>
      <c r="Q30" s="1756"/>
      <c r="R30" s="1756"/>
      <c r="S30" s="1756"/>
      <c r="T30" s="1756"/>
      <c r="U30" s="1756"/>
      <c r="V30" s="1756"/>
      <c r="W30" s="1756"/>
      <c r="X30" s="1756"/>
      <c r="Y30" s="1756"/>
      <c r="Z30" s="1756"/>
    </row>
    <row r="31" spans="1:26" ht="12.75" customHeight="1">
      <c r="A31" s="1759" t="s">
        <v>86</v>
      </c>
      <c r="B31" s="1759" t="s">
        <v>25</v>
      </c>
      <c r="C31" s="1808" t="s">
        <v>87</v>
      </c>
      <c r="D31" s="1757" t="s">
        <v>88</v>
      </c>
      <c r="E31" s="1760"/>
      <c r="F31" s="1760"/>
      <c r="G31" s="1760"/>
      <c r="H31" s="1760"/>
      <c r="I31" s="1758"/>
      <c r="J31" s="1756"/>
      <c r="K31" s="1756"/>
      <c r="L31" s="1756"/>
      <c r="M31" s="1756"/>
      <c r="N31" s="1756"/>
      <c r="O31" s="1756"/>
      <c r="P31" s="1756"/>
      <c r="Q31" s="1756"/>
      <c r="R31" s="1756"/>
      <c r="S31" s="1756"/>
      <c r="T31" s="1756"/>
      <c r="U31" s="1756"/>
      <c r="V31" s="1756"/>
      <c r="W31" s="1756"/>
      <c r="X31" s="1756"/>
      <c r="Y31" s="1756"/>
      <c r="Z31" s="1756"/>
    </row>
    <row r="32" spans="1:26" ht="15" customHeight="1">
      <c r="A32" s="1821"/>
      <c r="B32" s="1810"/>
      <c r="C32" s="1822"/>
      <c r="D32" s="1823"/>
      <c r="E32" s="1765"/>
      <c r="F32" s="1765"/>
      <c r="G32" s="1765"/>
      <c r="H32" s="1765"/>
      <c r="I32" s="1766"/>
      <c r="J32" s="1756"/>
      <c r="K32" s="1756"/>
      <c r="L32" s="1756"/>
      <c r="M32" s="1756"/>
      <c r="N32" s="1756"/>
      <c r="O32" s="1756"/>
      <c r="P32" s="1756"/>
      <c r="Q32" s="1756"/>
      <c r="R32" s="1756"/>
      <c r="S32" s="1756"/>
      <c r="T32" s="1756"/>
      <c r="U32" s="1756"/>
      <c r="V32" s="1756"/>
      <c r="W32" s="1756"/>
      <c r="X32" s="1756"/>
      <c r="Y32" s="1756"/>
      <c r="Z32" s="1756"/>
    </row>
    <row r="33" spans="1:26" ht="15" customHeight="1">
      <c r="A33" s="1824"/>
      <c r="B33" s="1817"/>
      <c r="C33" s="1825"/>
      <c r="D33" s="1826"/>
      <c r="E33" s="1721"/>
      <c r="F33" s="1721"/>
      <c r="G33" s="1721"/>
      <c r="H33" s="1721"/>
      <c r="I33" s="1827"/>
      <c r="J33" s="1756"/>
      <c r="K33" s="1756"/>
      <c r="L33" s="1756"/>
      <c r="M33" s="1756"/>
      <c r="N33" s="1756"/>
      <c r="O33" s="1756"/>
      <c r="P33" s="1756"/>
      <c r="Q33" s="1756"/>
      <c r="R33" s="1756"/>
      <c r="S33" s="1756"/>
      <c r="T33" s="1756"/>
      <c r="U33" s="1756"/>
      <c r="V33" s="1756"/>
      <c r="W33" s="1756"/>
      <c r="X33" s="1756"/>
      <c r="Y33" s="1756"/>
      <c r="Z33" s="1756"/>
    </row>
    <row r="34" spans="1:26" ht="15" customHeight="1">
      <c r="A34" s="1828"/>
      <c r="B34" s="1829"/>
      <c r="C34" s="1830"/>
      <c r="D34" s="1831"/>
      <c r="E34" s="1832"/>
      <c r="F34" s="1832"/>
      <c r="G34" s="1832"/>
      <c r="H34" s="1832"/>
      <c r="I34" s="1833"/>
      <c r="J34" s="1756"/>
      <c r="K34" s="1756"/>
      <c r="L34" s="1756"/>
      <c r="M34" s="1756"/>
      <c r="N34" s="1756"/>
      <c r="O34" s="1756"/>
      <c r="P34" s="1756"/>
      <c r="Q34" s="1756"/>
      <c r="R34" s="1756"/>
      <c r="S34" s="1756"/>
      <c r="T34" s="1756"/>
      <c r="U34" s="1756"/>
      <c r="V34" s="1756"/>
      <c r="W34" s="1756"/>
      <c r="X34" s="1756"/>
      <c r="Y34" s="1756"/>
      <c r="Z34" s="1756"/>
    </row>
    <row r="35" spans="1:26" ht="12.75" customHeight="1">
      <c r="A35" s="1834" t="s">
        <v>34</v>
      </c>
      <c r="B35" s="1835">
        <f>SUM(B32:B34)</f>
        <v>0</v>
      </c>
      <c r="C35" s="1836"/>
      <c r="D35" s="1832"/>
      <c r="E35" s="1832"/>
      <c r="F35" s="1832"/>
      <c r="G35" s="1832"/>
      <c r="H35" s="1832"/>
      <c r="I35" s="1837"/>
      <c r="J35" s="1755"/>
      <c r="K35" s="1755"/>
      <c r="L35" s="1755"/>
      <c r="M35" s="1755"/>
      <c r="N35" s="1755"/>
      <c r="O35" s="1755"/>
      <c r="P35" s="1755"/>
      <c r="Q35" s="1755"/>
      <c r="R35" s="1755"/>
      <c r="S35" s="1755"/>
      <c r="T35" s="1755"/>
      <c r="U35" s="1755"/>
      <c r="V35" s="1755"/>
      <c r="W35" s="1755"/>
      <c r="X35" s="1755"/>
      <c r="Y35" s="1755"/>
      <c r="Z35" s="1755"/>
    </row>
    <row r="36" spans="1:26" ht="12.75" customHeight="1">
      <c r="A36" s="1756"/>
      <c r="B36" s="1756"/>
      <c r="C36" s="1785"/>
      <c r="D36" s="1756"/>
      <c r="E36" s="1756"/>
      <c r="F36" s="1756"/>
      <c r="G36" s="1756"/>
      <c r="H36" s="1756"/>
      <c r="I36" s="1756"/>
      <c r="J36" s="1756"/>
      <c r="K36" s="1756"/>
      <c r="L36" s="1756"/>
      <c r="M36" s="1756"/>
      <c r="N36" s="1756"/>
      <c r="O36" s="1756"/>
      <c r="P36" s="1756"/>
      <c r="Q36" s="1756"/>
      <c r="R36" s="1756"/>
      <c r="S36" s="1756"/>
      <c r="T36" s="1756"/>
      <c r="U36" s="1756"/>
      <c r="V36" s="1756"/>
      <c r="W36" s="1756"/>
      <c r="X36" s="1756"/>
      <c r="Y36" s="1756"/>
      <c r="Z36" s="1756"/>
    </row>
    <row r="37" spans="1:26" ht="12.75" customHeight="1">
      <c r="A37" s="1753" t="s">
        <v>431</v>
      </c>
      <c r="B37" s="1754"/>
      <c r="C37" s="1754"/>
      <c r="D37" s="1754"/>
      <c r="E37" s="1754"/>
      <c r="F37" s="1754"/>
      <c r="G37" s="1754"/>
      <c r="H37" s="1754"/>
      <c r="I37" s="1754"/>
      <c r="J37" s="1756"/>
      <c r="K37" s="1756"/>
      <c r="L37" s="1756"/>
      <c r="M37" s="1756"/>
      <c r="N37" s="1756"/>
      <c r="O37" s="1756"/>
      <c r="P37" s="1756"/>
      <c r="Q37" s="1756"/>
      <c r="R37" s="1756"/>
      <c r="S37" s="1756"/>
      <c r="T37" s="1756"/>
      <c r="U37" s="1756"/>
      <c r="V37" s="1756"/>
      <c r="W37" s="1756"/>
      <c r="X37" s="1756"/>
      <c r="Y37" s="1756"/>
      <c r="Z37" s="1756"/>
    </row>
    <row r="38" spans="1:26" ht="12.75" customHeight="1">
      <c r="A38" s="1756"/>
      <c r="B38" s="1756"/>
      <c r="C38" s="1785"/>
      <c r="D38" s="1756"/>
      <c r="E38" s="1756"/>
      <c r="F38" s="1756"/>
      <c r="G38" s="1756"/>
      <c r="H38" s="1756"/>
      <c r="I38" s="1756"/>
      <c r="J38" s="1756"/>
      <c r="K38" s="1756"/>
      <c r="L38" s="1756"/>
      <c r="M38" s="1756"/>
      <c r="N38" s="1756"/>
      <c r="O38" s="1756"/>
      <c r="P38" s="1756"/>
      <c r="Q38" s="1756"/>
      <c r="R38" s="1756"/>
      <c r="S38" s="1756"/>
      <c r="T38" s="1756"/>
      <c r="U38" s="1756"/>
      <c r="V38" s="1756"/>
      <c r="W38" s="1756"/>
      <c r="X38" s="1756"/>
      <c r="Y38" s="1756"/>
      <c r="Z38" s="1756"/>
    </row>
    <row r="39" spans="1:26" ht="12.75" customHeight="1">
      <c r="A39" s="1759" t="s">
        <v>86</v>
      </c>
      <c r="B39" s="1759" t="s">
        <v>25</v>
      </c>
      <c r="C39" s="1808" t="s">
        <v>87</v>
      </c>
      <c r="D39" s="1757" t="s">
        <v>88</v>
      </c>
      <c r="E39" s="1760"/>
      <c r="F39" s="1760"/>
      <c r="G39" s="1760"/>
      <c r="H39" s="1760"/>
      <c r="I39" s="1758"/>
      <c r="J39" s="1756"/>
      <c r="K39" s="1756"/>
      <c r="L39" s="1756"/>
      <c r="M39" s="1756"/>
      <c r="N39" s="1756"/>
      <c r="O39" s="1756"/>
      <c r="P39" s="1756"/>
      <c r="Q39" s="1756"/>
      <c r="R39" s="1756"/>
      <c r="S39" s="1756"/>
      <c r="T39" s="1756"/>
      <c r="U39" s="1756"/>
      <c r="V39" s="1756"/>
      <c r="W39" s="1756"/>
      <c r="X39" s="1756"/>
      <c r="Y39" s="1756"/>
      <c r="Z39" s="1756"/>
    </row>
    <row r="40" spans="1:26" ht="15" customHeight="1">
      <c r="A40" s="1821"/>
      <c r="B40" s="1810"/>
      <c r="C40" s="1822"/>
      <c r="D40" s="1838"/>
      <c r="E40" s="1771"/>
      <c r="F40" s="1771"/>
      <c r="G40" s="1771"/>
      <c r="H40" s="1771"/>
      <c r="I40" s="1772"/>
      <c r="J40" s="1756"/>
      <c r="K40" s="1756"/>
      <c r="L40" s="1756"/>
      <c r="M40" s="1756"/>
      <c r="N40" s="1756"/>
      <c r="O40" s="1756"/>
      <c r="P40" s="1756"/>
      <c r="Q40" s="1756"/>
      <c r="R40" s="1756"/>
      <c r="S40" s="1756"/>
      <c r="T40" s="1756"/>
      <c r="U40" s="1756"/>
      <c r="V40" s="1756"/>
      <c r="W40" s="1756"/>
      <c r="X40" s="1756"/>
      <c r="Y40" s="1756"/>
      <c r="Z40" s="1756"/>
    </row>
    <row r="41" spans="1:26" ht="15" customHeight="1">
      <c r="A41" s="1839"/>
      <c r="B41" s="1815"/>
      <c r="C41" s="1840"/>
      <c r="D41" s="1841"/>
      <c r="E41" s="1777"/>
      <c r="F41" s="1777"/>
      <c r="G41" s="1777"/>
      <c r="H41" s="1777"/>
      <c r="I41" s="1778"/>
      <c r="J41" s="1756"/>
      <c r="K41" s="1756"/>
      <c r="L41" s="1756"/>
      <c r="M41" s="1756"/>
      <c r="N41" s="1756"/>
      <c r="O41" s="1756"/>
      <c r="P41" s="1756"/>
      <c r="Q41" s="1756"/>
      <c r="R41" s="1756"/>
      <c r="S41" s="1756"/>
      <c r="T41" s="1756"/>
      <c r="U41" s="1756"/>
      <c r="V41" s="1756"/>
      <c r="W41" s="1756"/>
      <c r="X41" s="1756"/>
      <c r="Y41" s="1756"/>
      <c r="Z41" s="1756"/>
    </row>
    <row r="42" spans="1:26" ht="15" customHeight="1">
      <c r="A42" s="1839"/>
      <c r="B42" s="1815"/>
      <c r="C42" s="1840"/>
      <c r="D42" s="1841"/>
      <c r="E42" s="1777"/>
      <c r="F42" s="1777"/>
      <c r="G42" s="1777"/>
      <c r="H42" s="1777"/>
      <c r="I42" s="1778"/>
      <c r="J42" s="1756"/>
      <c r="K42" s="1756"/>
      <c r="L42" s="1756"/>
      <c r="M42" s="1756"/>
      <c r="N42" s="1756"/>
      <c r="O42" s="1756"/>
      <c r="P42" s="1756"/>
      <c r="Q42" s="1756"/>
      <c r="R42" s="1756"/>
      <c r="S42" s="1756"/>
      <c r="T42" s="1756"/>
      <c r="U42" s="1756"/>
      <c r="V42" s="1756"/>
      <c r="W42" s="1756"/>
      <c r="X42" s="1756"/>
      <c r="Y42" s="1756"/>
      <c r="Z42" s="1756"/>
    </row>
    <row r="43" spans="1:26" ht="12.75" customHeight="1">
      <c r="A43" s="1819" t="s">
        <v>34</v>
      </c>
      <c r="B43" s="1763">
        <f>SUM(B40:B42)</f>
        <v>0</v>
      </c>
      <c r="C43" s="1842"/>
      <c r="D43" s="1760"/>
      <c r="E43" s="1760"/>
      <c r="F43" s="1760"/>
      <c r="G43" s="1760"/>
      <c r="H43" s="1760"/>
      <c r="I43" s="1758"/>
      <c r="J43" s="1755"/>
      <c r="K43" s="1755"/>
      <c r="L43" s="1755"/>
      <c r="M43" s="1755"/>
      <c r="N43" s="1755"/>
      <c r="O43" s="1755"/>
      <c r="P43" s="1755"/>
      <c r="Q43" s="1755"/>
      <c r="R43" s="1755"/>
      <c r="S43" s="1755"/>
      <c r="T43" s="1755"/>
      <c r="U43" s="1755"/>
      <c r="V43" s="1755"/>
      <c r="W43" s="1755"/>
      <c r="X43" s="1755"/>
      <c r="Y43" s="1755"/>
      <c r="Z43" s="1755"/>
    </row>
    <row r="44" spans="1:26" ht="12.75" customHeight="1">
      <c r="A44" s="1756"/>
      <c r="B44" s="1756"/>
      <c r="C44" s="1785"/>
      <c r="D44" s="1756"/>
      <c r="E44" s="1756"/>
      <c r="F44" s="1756"/>
      <c r="G44" s="1756"/>
      <c r="H44" s="1756"/>
      <c r="I44" s="1756"/>
      <c r="J44" s="1756"/>
      <c r="K44" s="1756"/>
      <c r="L44" s="1756"/>
      <c r="M44" s="1756"/>
      <c r="N44" s="1756"/>
      <c r="O44" s="1756"/>
      <c r="P44" s="1756"/>
      <c r="Q44" s="1756"/>
      <c r="R44" s="1756"/>
      <c r="S44" s="1756"/>
      <c r="T44" s="1756"/>
      <c r="U44" s="1756"/>
      <c r="V44" s="1756"/>
      <c r="W44" s="1756"/>
      <c r="X44" s="1756"/>
      <c r="Y44" s="1756"/>
      <c r="Z44" s="1756"/>
    </row>
    <row r="45" spans="1:26" ht="12.75" customHeight="1">
      <c r="A45" s="1753" t="s">
        <v>432</v>
      </c>
      <c r="B45" s="1754"/>
      <c r="C45" s="1754"/>
      <c r="D45" s="1754"/>
      <c r="E45" s="1754"/>
      <c r="F45" s="1754"/>
      <c r="G45" s="1754"/>
      <c r="H45" s="1754"/>
      <c r="I45" s="1754"/>
      <c r="J45" s="1756"/>
      <c r="K45" s="1756"/>
      <c r="L45" s="1756"/>
      <c r="M45" s="1756"/>
      <c r="N45" s="1756"/>
      <c r="O45" s="1756"/>
      <c r="P45" s="1756"/>
      <c r="Q45" s="1756"/>
      <c r="R45" s="1756"/>
      <c r="S45" s="1756"/>
      <c r="T45" s="1756"/>
      <c r="U45" s="1756"/>
      <c r="V45" s="1756"/>
      <c r="W45" s="1756"/>
      <c r="X45" s="1756"/>
      <c r="Y45" s="1756"/>
      <c r="Z45" s="1756"/>
    </row>
    <row r="46" spans="1:26" ht="12.75" customHeight="1">
      <c r="A46" s="1756"/>
      <c r="B46" s="1756"/>
      <c r="C46" s="1785"/>
      <c r="D46" s="1756"/>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row>
    <row r="47" spans="1:26" ht="12.75" customHeight="1">
      <c r="A47" s="1759" t="s">
        <v>25</v>
      </c>
      <c r="B47" s="1808" t="s">
        <v>433</v>
      </c>
      <c r="C47" s="1843" t="s">
        <v>89</v>
      </c>
      <c r="D47" s="1760"/>
      <c r="E47" s="1760"/>
      <c r="F47" s="1760"/>
      <c r="G47" s="1760"/>
      <c r="H47" s="1760"/>
      <c r="I47" s="1758"/>
      <c r="J47" s="1756"/>
      <c r="K47" s="1756"/>
      <c r="L47" s="1756"/>
      <c r="M47" s="1756"/>
      <c r="N47" s="1756"/>
      <c r="O47" s="1756"/>
      <c r="P47" s="1756"/>
      <c r="Q47" s="1756"/>
      <c r="R47" s="1756"/>
      <c r="S47" s="1756"/>
      <c r="T47" s="1756"/>
      <c r="U47" s="1756"/>
      <c r="V47" s="1756"/>
      <c r="W47" s="1756"/>
      <c r="X47" s="1756"/>
      <c r="Y47" s="1756"/>
      <c r="Z47" s="1756"/>
    </row>
    <row r="48" spans="1:26" ht="12.75" customHeight="1">
      <c r="A48" s="1844">
        <v>30000</v>
      </c>
      <c r="B48" s="1845">
        <v>30000</v>
      </c>
      <c r="C48" s="1846" t="s">
        <v>1324</v>
      </c>
      <c r="D48" s="1765"/>
      <c r="E48" s="1765"/>
      <c r="F48" s="1765"/>
      <c r="G48" s="1765"/>
      <c r="H48" s="1765"/>
      <c r="I48" s="1766"/>
      <c r="J48" s="1756"/>
      <c r="K48" s="1756"/>
      <c r="L48" s="1756"/>
      <c r="M48" s="1756"/>
      <c r="N48" s="1756"/>
      <c r="O48" s="1756"/>
      <c r="P48" s="1756"/>
      <c r="Q48" s="1756"/>
      <c r="R48" s="1756"/>
      <c r="S48" s="1756"/>
      <c r="T48" s="1756"/>
      <c r="U48" s="1756"/>
      <c r="V48" s="1756"/>
      <c r="W48" s="1756"/>
      <c r="X48" s="1756"/>
      <c r="Y48" s="1756"/>
      <c r="Z48" s="1756"/>
    </row>
    <row r="49" spans="1:26" ht="9.75" customHeight="1">
      <c r="A49" s="1847"/>
      <c r="B49" s="1815"/>
      <c r="C49" s="1848"/>
      <c r="D49" s="1777"/>
      <c r="E49" s="1777"/>
      <c r="F49" s="1777"/>
      <c r="G49" s="1777"/>
      <c r="H49" s="1777"/>
      <c r="I49" s="1778"/>
      <c r="J49" s="1756"/>
      <c r="K49" s="1756"/>
      <c r="L49" s="1756"/>
      <c r="M49" s="1756"/>
      <c r="N49" s="1756"/>
      <c r="O49" s="1756"/>
      <c r="P49" s="1756"/>
      <c r="Q49" s="1756"/>
      <c r="R49" s="1756"/>
      <c r="S49" s="1756"/>
      <c r="T49" s="1756"/>
      <c r="U49" s="1756"/>
      <c r="V49" s="1756"/>
      <c r="W49" s="1756"/>
      <c r="X49" s="1756"/>
      <c r="Y49" s="1756"/>
      <c r="Z49" s="1756"/>
    </row>
    <row r="50" spans="1:26" ht="12.75" customHeight="1">
      <c r="A50" s="1849"/>
      <c r="B50" s="1850"/>
      <c r="C50" s="1851"/>
      <c r="D50" s="1832"/>
      <c r="E50" s="1832"/>
      <c r="F50" s="1832"/>
      <c r="G50" s="1832"/>
      <c r="H50" s="1832"/>
      <c r="I50" s="1833"/>
      <c r="J50" s="1756"/>
      <c r="K50" s="1756"/>
      <c r="L50" s="1756"/>
      <c r="M50" s="1756"/>
      <c r="N50" s="1756"/>
      <c r="O50" s="1756"/>
      <c r="P50" s="1756"/>
      <c r="Q50" s="1756"/>
      <c r="R50" s="1756"/>
      <c r="S50" s="1756"/>
      <c r="T50" s="1756"/>
      <c r="U50" s="1756"/>
      <c r="V50" s="1756"/>
      <c r="W50" s="1756"/>
      <c r="X50" s="1756"/>
      <c r="Y50" s="1756"/>
      <c r="Z50" s="1756"/>
    </row>
    <row r="51" spans="1:26" ht="12.75" customHeight="1">
      <c r="A51" s="1763">
        <f t="shared" ref="A51:B51" si="2">A48+A49+A50</f>
        <v>30000</v>
      </c>
      <c r="B51" s="1763">
        <f t="shared" si="2"/>
        <v>30000</v>
      </c>
      <c r="C51" s="1852" t="s">
        <v>34</v>
      </c>
      <c r="D51" s="1760"/>
      <c r="E51" s="1760"/>
      <c r="F51" s="1760"/>
      <c r="G51" s="1760"/>
      <c r="H51" s="1760"/>
      <c r="I51" s="1758"/>
      <c r="J51" s="1755"/>
      <c r="K51" s="1755"/>
      <c r="L51" s="1755"/>
      <c r="M51" s="1755"/>
      <c r="N51" s="1755"/>
      <c r="O51" s="1755"/>
      <c r="P51" s="1755"/>
      <c r="Q51" s="1755"/>
      <c r="R51" s="1755"/>
      <c r="S51" s="1755"/>
      <c r="T51" s="1755"/>
      <c r="U51" s="1755"/>
      <c r="V51" s="1755"/>
      <c r="W51" s="1755"/>
      <c r="X51" s="1755"/>
      <c r="Y51" s="1755"/>
      <c r="Z51" s="1755"/>
    </row>
    <row r="52" spans="1:26" ht="12.75" customHeight="1">
      <c r="A52" s="1756"/>
      <c r="B52" s="1756"/>
      <c r="C52" s="1785"/>
      <c r="D52" s="1756"/>
      <c r="E52" s="1756"/>
      <c r="F52" s="1756"/>
      <c r="G52" s="1756"/>
      <c r="H52" s="1756"/>
      <c r="I52" s="1756"/>
      <c r="J52" s="1756"/>
      <c r="K52" s="1756"/>
      <c r="L52" s="1756"/>
      <c r="M52" s="1756"/>
      <c r="N52" s="1756"/>
      <c r="O52" s="1756"/>
      <c r="P52" s="1756"/>
      <c r="Q52" s="1756"/>
      <c r="R52" s="1756"/>
      <c r="S52" s="1756"/>
      <c r="T52" s="1756"/>
      <c r="U52" s="1756"/>
      <c r="V52" s="1756"/>
      <c r="W52" s="1756"/>
      <c r="X52" s="1756"/>
      <c r="Y52" s="1756"/>
      <c r="Z52" s="1756"/>
    </row>
    <row r="53" spans="1:26" ht="12.75" customHeight="1">
      <c r="A53" s="1753" t="s">
        <v>434</v>
      </c>
      <c r="B53" s="1754"/>
      <c r="C53" s="1754"/>
      <c r="D53" s="1754"/>
      <c r="E53" s="1754"/>
      <c r="F53" s="1754"/>
      <c r="G53" s="1754"/>
      <c r="H53" s="1754"/>
      <c r="I53" s="1754"/>
      <c r="J53" s="1756"/>
      <c r="K53" s="1756"/>
      <c r="L53" s="1756"/>
      <c r="M53" s="1756"/>
      <c r="N53" s="1756"/>
      <c r="O53" s="1756"/>
      <c r="P53" s="1756"/>
      <c r="Q53" s="1756"/>
      <c r="R53" s="1756"/>
      <c r="S53" s="1756"/>
      <c r="T53" s="1756"/>
      <c r="U53" s="1756"/>
      <c r="V53" s="1756"/>
      <c r="W53" s="1756"/>
      <c r="X53" s="1756"/>
      <c r="Y53" s="1756"/>
      <c r="Z53" s="1756"/>
    </row>
    <row r="54" spans="1:26" ht="12.75" customHeight="1">
      <c r="A54" s="1756"/>
      <c r="B54" s="1756"/>
      <c r="C54" s="1785"/>
      <c r="D54" s="1756"/>
      <c r="E54" s="1756"/>
      <c r="F54" s="1756"/>
      <c r="G54" s="1756"/>
      <c r="H54" s="1756"/>
      <c r="I54" s="1756"/>
      <c r="J54" s="1756"/>
      <c r="K54" s="1756"/>
      <c r="L54" s="1756"/>
      <c r="M54" s="1756"/>
      <c r="N54" s="1756"/>
      <c r="O54" s="1756"/>
      <c r="P54" s="1756"/>
      <c r="Q54" s="1756"/>
      <c r="R54" s="1756"/>
      <c r="S54" s="1756"/>
      <c r="T54" s="1756"/>
      <c r="U54" s="1756"/>
      <c r="V54" s="1756"/>
      <c r="W54" s="1756"/>
      <c r="X54" s="1756"/>
      <c r="Y54" s="1756"/>
      <c r="Z54" s="1756"/>
    </row>
    <row r="55" spans="1:26" ht="28.5" customHeight="1">
      <c r="A55" s="1853" t="s">
        <v>259</v>
      </c>
      <c r="B55" s="1766"/>
      <c r="C55" s="1854" t="s">
        <v>179</v>
      </c>
      <c r="D55" s="1854" t="s">
        <v>118</v>
      </c>
      <c r="E55" s="1854" t="s">
        <v>119</v>
      </c>
      <c r="F55" s="1854" t="s">
        <v>244</v>
      </c>
      <c r="G55" s="1854" t="s">
        <v>180</v>
      </c>
      <c r="H55" s="1855"/>
      <c r="I55" s="1855"/>
      <c r="J55" s="1855"/>
      <c r="K55" s="1855"/>
      <c r="L55" s="1855"/>
      <c r="M55" s="1855"/>
      <c r="N55" s="1855"/>
      <c r="O55" s="1855"/>
      <c r="P55" s="1855"/>
      <c r="Q55" s="1855"/>
      <c r="R55" s="1855"/>
      <c r="S55" s="1855"/>
      <c r="T55" s="1855"/>
      <c r="U55" s="1855"/>
      <c r="V55" s="1855"/>
      <c r="W55" s="1855"/>
      <c r="X55" s="1855"/>
      <c r="Y55" s="1855"/>
      <c r="Z55" s="1855"/>
    </row>
    <row r="56" spans="1:26" ht="12" customHeight="1">
      <c r="A56" s="1856" t="s">
        <v>1325</v>
      </c>
      <c r="B56" s="1766"/>
      <c r="C56" s="1857" t="s">
        <v>382</v>
      </c>
      <c r="D56" s="1858">
        <v>30000</v>
      </c>
      <c r="E56" s="1859"/>
      <c r="F56" s="1860">
        <v>44242</v>
      </c>
      <c r="G56" s="1860">
        <v>44242</v>
      </c>
      <c r="H56" s="1756"/>
      <c r="I56" s="1756"/>
      <c r="J56" s="1756"/>
      <c r="K56" s="1756"/>
      <c r="L56" s="1756"/>
      <c r="M56" s="1756"/>
      <c r="N56" s="1756"/>
      <c r="O56" s="1756"/>
      <c r="P56" s="1756"/>
      <c r="Q56" s="1756"/>
      <c r="R56" s="1756"/>
      <c r="S56" s="1756"/>
      <c r="T56" s="1756"/>
      <c r="U56" s="1756"/>
      <c r="V56" s="1756"/>
      <c r="W56" s="1756"/>
      <c r="X56" s="1756"/>
      <c r="Y56" s="1756"/>
      <c r="Z56" s="1756"/>
    </row>
    <row r="57" spans="1:26" ht="12" customHeight="1">
      <c r="A57" s="1861"/>
      <c r="B57" s="1833"/>
      <c r="C57" s="1857" t="s">
        <v>383</v>
      </c>
      <c r="D57" s="1858"/>
      <c r="E57" s="1859">
        <v>30000</v>
      </c>
      <c r="F57" s="1860">
        <v>44242</v>
      </c>
      <c r="G57" s="1860">
        <v>44242</v>
      </c>
      <c r="H57" s="1756"/>
      <c r="I57" s="1756"/>
      <c r="J57" s="1756"/>
      <c r="K57" s="1756"/>
      <c r="L57" s="1756"/>
      <c r="M57" s="1756"/>
      <c r="N57" s="1756"/>
      <c r="O57" s="1756"/>
      <c r="P57" s="1756"/>
      <c r="Q57" s="1756"/>
      <c r="R57" s="1756"/>
      <c r="S57" s="1756"/>
      <c r="T57" s="1756"/>
      <c r="U57" s="1756"/>
      <c r="V57" s="1756"/>
      <c r="W57" s="1756"/>
      <c r="X57" s="1756"/>
      <c r="Y57" s="1756"/>
      <c r="Z57" s="1756"/>
    </row>
    <row r="58" spans="1:26" ht="12" customHeight="1">
      <c r="A58" s="1856" t="s">
        <v>1326</v>
      </c>
      <c r="B58" s="1766"/>
      <c r="C58" s="1857" t="s">
        <v>382</v>
      </c>
      <c r="D58" s="1858">
        <v>39782</v>
      </c>
      <c r="E58" s="1859"/>
      <c r="F58" s="1860">
        <v>44246</v>
      </c>
      <c r="G58" s="1860">
        <v>44246</v>
      </c>
      <c r="H58" s="1756"/>
      <c r="I58" s="1756"/>
      <c r="J58" s="1756"/>
      <c r="K58" s="1756"/>
      <c r="L58" s="1756"/>
      <c r="M58" s="1756"/>
      <c r="N58" s="1756"/>
      <c r="O58" s="1756"/>
      <c r="P58" s="1756"/>
      <c r="Q58" s="1756"/>
      <c r="R58" s="1756"/>
      <c r="S58" s="1756"/>
      <c r="T58" s="1756"/>
      <c r="U58" s="1756"/>
      <c r="V58" s="1756"/>
      <c r="W58" s="1756"/>
      <c r="X58" s="1756"/>
      <c r="Y58" s="1756"/>
      <c r="Z58" s="1756"/>
    </row>
    <row r="59" spans="1:26" ht="12" customHeight="1">
      <c r="A59" s="1861"/>
      <c r="B59" s="1833"/>
      <c r="C59" s="1857" t="s">
        <v>385</v>
      </c>
      <c r="D59" s="1858"/>
      <c r="E59" s="1859">
        <v>39782</v>
      </c>
      <c r="F59" s="1860">
        <v>44246</v>
      </c>
      <c r="G59" s="1860">
        <v>44246</v>
      </c>
      <c r="H59" s="1756"/>
      <c r="I59" s="1756"/>
      <c r="J59" s="1756"/>
      <c r="K59" s="1756"/>
      <c r="L59" s="1756"/>
      <c r="M59" s="1756"/>
      <c r="N59" s="1756"/>
      <c r="O59" s="1756"/>
      <c r="P59" s="1756"/>
      <c r="Q59" s="1756"/>
      <c r="R59" s="1756"/>
      <c r="S59" s="1756"/>
      <c r="T59" s="1756"/>
      <c r="U59" s="1756"/>
      <c r="V59" s="1756"/>
      <c r="W59" s="1756"/>
      <c r="X59" s="1756"/>
      <c r="Y59" s="1756"/>
      <c r="Z59" s="1756"/>
    </row>
    <row r="60" spans="1:26" ht="12" customHeight="1">
      <c r="A60" s="1856" t="s">
        <v>1327</v>
      </c>
      <c r="B60" s="1766"/>
      <c r="C60" s="1857" t="s">
        <v>376</v>
      </c>
      <c r="D60" s="1858"/>
      <c r="E60" s="1859">
        <v>300000</v>
      </c>
      <c r="F60" s="1860">
        <v>44250</v>
      </c>
      <c r="G60" s="1860">
        <v>44258</v>
      </c>
      <c r="H60" s="1756"/>
      <c r="I60" s="1756"/>
      <c r="J60" s="1756"/>
      <c r="K60" s="1756"/>
      <c r="L60" s="1756"/>
      <c r="M60" s="1756"/>
      <c r="N60" s="1756"/>
      <c r="O60" s="1756"/>
      <c r="P60" s="1756"/>
      <c r="Q60" s="1756"/>
      <c r="R60" s="1756"/>
      <c r="S60" s="1756"/>
      <c r="T60" s="1756"/>
      <c r="U60" s="1756"/>
      <c r="V60" s="1756"/>
      <c r="W60" s="1756"/>
      <c r="X60" s="1756"/>
      <c r="Y60" s="1756"/>
      <c r="Z60" s="1756"/>
    </row>
    <row r="61" spans="1:26" ht="12" customHeight="1">
      <c r="A61" s="1862"/>
      <c r="B61" s="1827"/>
      <c r="C61" s="1857" t="s">
        <v>376</v>
      </c>
      <c r="D61" s="1858"/>
      <c r="E61" s="1859">
        <v>100000</v>
      </c>
      <c r="F61" s="1860">
        <v>44250</v>
      </c>
      <c r="G61" s="1860">
        <v>44258</v>
      </c>
      <c r="H61" s="1756"/>
      <c r="I61" s="1756"/>
      <c r="J61" s="1756"/>
      <c r="K61" s="1756"/>
      <c r="L61" s="1756"/>
      <c r="M61" s="1756"/>
      <c r="N61" s="1756"/>
      <c r="O61" s="1756"/>
      <c r="P61" s="1756"/>
      <c r="Q61" s="1756"/>
      <c r="R61" s="1756"/>
      <c r="S61" s="1756"/>
      <c r="T61" s="1756"/>
      <c r="U61" s="1756"/>
      <c r="V61" s="1756"/>
      <c r="W61" s="1756"/>
      <c r="X61" s="1756"/>
      <c r="Y61" s="1756"/>
      <c r="Z61" s="1756"/>
    </row>
    <row r="62" spans="1:26" ht="12" customHeight="1">
      <c r="A62" s="1862"/>
      <c r="B62" s="1827"/>
      <c r="C62" s="1857" t="s">
        <v>377</v>
      </c>
      <c r="D62" s="1858">
        <v>300000</v>
      </c>
      <c r="E62" s="1859"/>
      <c r="F62" s="1860">
        <v>44250</v>
      </c>
      <c r="G62" s="1860">
        <v>44258</v>
      </c>
      <c r="H62" s="1756"/>
      <c r="I62" s="1756"/>
      <c r="J62" s="1756"/>
      <c r="K62" s="1756"/>
      <c r="L62" s="1756"/>
      <c r="M62" s="1756"/>
      <c r="N62" s="1756"/>
      <c r="O62" s="1756"/>
      <c r="P62" s="1756"/>
      <c r="Q62" s="1756"/>
      <c r="R62" s="1756"/>
      <c r="S62" s="1756"/>
      <c r="T62" s="1756"/>
      <c r="U62" s="1756"/>
      <c r="V62" s="1756"/>
      <c r="W62" s="1756"/>
      <c r="X62" s="1756"/>
      <c r="Y62" s="1756"/>
      <c r="Z62" s="1756"/>
    </row>
    <row r="63" spans="1:26" ht="12" customHeight="1">
      <c r="A63" s="1861"/>
      <c r="B63" s="1833"/>
      <c r="C63" s="1857" t="s">
        <v>377</v>
      </c>
      <c r="D63" s="1858">
        <v>100000</v>
      </c>
      <c r="E63" s="1859"/>
      <c r="F63" s="1860">
        <v>44250</v>
      </c>
      <c r="G63" s="1860">
        <v>44258</v>
      </c>
      <c r="H63" s="1756"/>
      <c r="I63" s="1756"/>
      <c r="J63" s="1756"/>
      <c r="K63" s="1756"/>
      <c r="L63" s="1756"/>
      <c r="M63" s="1756"/>
      <c r="N63" s="1756"/>
      <c r="O63" s="1756"/>
      <c r="P63" s="1756"/>
      <c r="Q63" s="1756"/>
      <c r="R63" s="1756"/>
      <c r="S63" s="1756"/>
      <c r="T63" s="1756"/>
      <c r="U63" s="1756"/>
      <c r="V63" s="1756"/>
      <c r="W63" s="1756"/>
      <c r="X63" s="1756"/>
      <c r="Y63" s="1756"/>
      <c r="Z63" s="1756"/>
    </row>
    <row r="64" spans="1:26" ht="12" customHeight="1">
      <c r="A64" s="1863" t="s">
        <v>1328</v>
      </c>
      <c r="B64" s="1758"/>
      <c r="C64" s="1857" t="s">
        <v>376</v>
      </c>
      <c r="D64" s="1864"/>
      <c r="E64" s="1865">
        <v>94486</v>
      </c>
      <c r="F64" s="1860">
        <v>43865</v>
      </c>
      <c r="G64" s="1860">
        <v>44287</v>
      </c>
      <c r="H64" s="1756"/>
      <c r="I64" s="1756"/>
      <c r="J64" s="1756"/>
      <c r="K64" s="1756"/>
      <c r="L64" s="1756"/>
      <c r="M64" s="1756"/>
      <c r="N64" s="1756"/>
      <c r="O64" s="1756"/>
      <c r="P64" s="1756"/>
      <c r="Q64" s="1756"/>
      <c r="R64" s="1756"/>
      <c r="S64" s="1756"/>
      <c r="T64" s="1756"/>
      <c r="U64" s="1756"/>
      <c r="V64" s="1756"/>
      <c r="W64" s="1756"/>
      <c r="X64" s="1756"/>
      <c r="Y64" s="1756"/>
      <c r="Z64" s="1756"/>
    </row>
    <row r="65" spans="1:26" ht="12" customHeight="1">
      <c r="A65" s="1863" t="s">
        <v>1329</v>
      </c>
      <c r="B65" s="1758"/>
      <c r="C65" s="1857" t="s">
        <v>376</v>
      </c>
      <c r="D65" s="1858"/>
      <c r="E65" s="1865">
        <v>196734</v>
      </c>
      <c r="F65" s="1860">
        <v>43865</v>
      </c>
      <c r="G65" s="1860">
        <v>44287</v>
      </c>
      <c r="H65" s="1756"/>
      <c r="I65" s="1756"/>
      <c r="J65" s="1756"/>
      <c r="K65" s="1756"/>
      <c r="L65" s="1756"/>
      <c r="M65" s="1756"/>
      <c r="N65" s="1756"/>
      <c r="O65" s="1756"/>
      <c r="P65" s="1756"/>
      <c r="Q65" s="1756"/>
      <c r="R65" s="1756"/>
      <c r="S65" s="1756"/>
      <c r="T65" s="1756"/>
      <c r="U65" s="1756"/>
      <c r="V65" s="1756"/>
      <c r="W65" s="1756"/>
      <c r="X65" s="1756"/>
      <c r="Y65" s="1756"/>
      <c r="Z65" s="1756"/>
    </row>
    <row r="66" spans="1:26" ht="12" customHeight="1">
      <c r="A66" s="1863" t="s">
        <v>1330</v>
      </c>
      <c r="B66" s="1758"/>
      <c r="C66" s="1857" t="s">
        <v>376</v>
      </c>
      <c r="D66" s="1866"/>
      <c r="E66" s="1865">
        <v>150000</v>
      </c>
      <c r="F66" s="1860">
        <v>43865</v>
      </c>
      <c r="G66" s="1860">
        <v>44287</v>
      </c>
      <c r="H66" s="1756"/>
      <c r="I66" s="1756"/>
      <c r="J66" s="1756"/>
      <c r="K66" s="1756"/>
      <c r="L66" s="1756"/>
      <c r="M66" s="1756"/>
      <c r="N66" s="1756"/>
      <c r="O66" s="1756"/>
      <c r="P66" s="1756"/>
      <c r="Q66" s="1756"/>
      <c r="R66" s="1756"/>
      <c r="S66" s="1756"/>
      <c r="T66" s="1756"/>
      <c r="U66" s="1756"/>
      <c r="V66" s="1756"/>
      <c r="W66" s="1756"/>
      <c r="X66" s="1756"/>
      <c r="Y66" s="1756"/>
      <c r="Z66" s="1756"/>
    </row>
    <row r="67" spans="1:26" ht="12" customHeight="1">
      <c r="A67" s="1863" t="s">
        <v>1328</v>
      </c>
      <c r="B67" s="1758"/>
      <c r="C67" s="1857" t="s">
        <v>377</v>
      </c>
      <c r="D67" s="1867">
        <v>94486</v>
      </c>
      <c r="E67" s="1859"/>
      <c r="F67" s="1860">
        <v>43865</v>
      </c>
      <c r="G67" s="1860">
        <v>44287</v>
      </c>
      <c r="H67" s="1756"/>
      <c r="I67" s="1756"/>
      <c r="J67" s="1756"/>
      <c r="K67" s="1756"/>
      <c r="L67" s="1756"/>
      <c r="M67" s="1756"/>
      <c r="N67" s="1756"/>
      <c r="O67" s="1756"/>
      <c r="P67" s="1756"/>
      <c r="Q67" s="1756"/>
      <c r="R67" s="1756"/>
      <c r="S67" s="1756"/>
      <c r="T67" s="1756"/>
      <c r="U67" s="1756"/>
      <c r="V67" s="1756"/>
      <c r="W67" s="1756"/>
      <c r="X67" s="1756"/>
      <c r="Y67" s="1756"/>
      <c r="Z67" s="1756"/>
    </row>
    <row r="68" spans="1:26" ht="12" customHeight="1">
      <c r="A68" s="1863" t="s">
        <v>1329</v>
      </c>
      <c r="B68" s="1758"/>
      <c r="C68" s="1857" t="s">
        <v>377</v>
      </c>
      <c r="D68" s="1867">
        <v>196734</v>
      </c>
      <c r="E68" s="1859"/>
      <c r="F68" s="1860">
        <v>43865</v>
      </c>
      <c r="G68" s="1860">
        <v>44287</v>
      </c>
      <c r="H68" s="1756"/>
      <c r="I68" s="1756"/>
      <c r="J68" s="1756"/>
      <c r="K68" s="1756"/>
      <c r="L68" s="1756"/>
      <c r="M68" s="1756"/>
      <c r="N68" s="1756"/>
      <c r="O68" s="1756"/>
      <c r="P68" s="1756"/>
      <c r="Q68" s="1756"/>
      <c r="R68" s="1756"/>
      <c r="S68" s="1756"/>
      <c r="T68" s="1756"/>
      <c r="U68" s="1756"/>
      <c r="V68" s="1756"/>
      <c r="W68" s="1756"/>
      <c r="X68" s="1756"/>
      <c r="Y68" s="1756"/>
      <c r="Z68" s="1756"/>
    </row>
    <row r="69" spans="1:26" ht="12" customHeight="1">
      <c r="A69" s="1863" t="s">
        <v>1330</v>
      </c>
      <c r="B69" s="1758"/>
      <c r="C69" s="1857" t="s">
        <v>377</v>
      </c>
      <c r="D69" s="1867">
        <v>150000</v>
      </c>
      <c r="E69" s="1859"/>
      <c r="F69" s="1860">
        <v>43865</v>
      </c>
      <c r="G69" s="1860">
        <v>44287</v>
      </c>
      <c r="H69" s="1756"/>
      <c r="I69" s="1756"/>
      <c r="J69" s="1756"/>
      <c r="K69" s="1756"/>
      <c r="L69" s="1756"/>
      <c r="M69" s="1756"/>
      <c r="N69" s="1756"/>
      <c r="O69" s="1756"/>
      <c r="P69" s="1756"/>
      <c r="Q69" s="1756"/>
      <c r="R69" s="1756"/>
      <c r="S69" s="1756"/>
      <c r="T69" s="1756"/>
      <c r="U69" s="1756"/>
      <c r="V69" s="1756"/>
      <c r="W69" s="1756"/>
      <c r="X69" s="1756"/>
      <c r="Y69" s="1756"/>
      <c r="Z69" s="1756"/>
    </row>
    <row r="70" spans="1:26" ht="12" customHeight="1">
      <c r="A70" s="1856" t="s">
        <v>1331</v>
      </c>
      <c r="B70" s="1766"/>
      <c r="C70" s="1857" t="s">
        <v>386</v>
      </c>
      <c r="D70" s="1864"/>
      <c r="E70" s="1865">
        <v>50000</v>
      </c>
      <c r="F70" s="1860">
        <v>44334</v>
      </c>
      <c r="G70" s="1860">
        <v>44350</v>
      </c>
      <c r="H70" s="1756"/>
      <c r="I70" s="1756"/>
      <c r="J70" s="1756"/>
      <c r="K70" s="1756"/>
      <c r="L70" s="1756"/>
      <c r="M70" s="1756"/>
      <c r="N70" s="1756"/>
      <c r="O70" s="1756"/>
      <c r="P70" s="1756"/>
      <c r="Q70" s="1756"/>
      <c r="R70" s="1756"/>
      <c r="S70" s="1756"/>
      <c r="T70" s="1756"/>
      <c r="U70" s="1756"/>
      <c r="V70" s="1756"/>
      <c r="W70" s="1756"/>
      <c r="X70" s="1756"/>
      <c r="Y70" s="1756"/>
      <c r="Z70" s="1756"/>
    </row>
    <row r="71" spans="1:26" ht="12" customHeight="1">
      <c r="A71" s="1862"/>
      <c r="B71" s="1827"/>
      <c r="C71" s="1857" t="s">
        <v>388</v>
      </c>
      <c r="D71" s="1864"/>
      <c r="E71" s="1865">
        <v>847188</v>
      </c>
      <c r="F71" s="1860">
        <v>44334</v>
      </c>
      <c r="G71" s="1860">
        <v>44350</v>
      </c>
      <c r="H71" s="1756"/>
      <c r="I71" s="1756"/>
      <c r="J71" s="1756"/>
      <c r="K71" s="1756"/>
      <c r="L71" s="1756"/>
      <c r="M71" s="1756"/>
      <c r="N71" s="1756"/>
      <c r="O71" s="1756"/>
      <c r="P71" s="1756"/>
      <c r="Q71" s="1756"/>
      <c r="R71" s="1756"/>
      <c r="S71" s="1756"/>
      <c r="T71" s="1756"/>
      <c r="U71" s="1756"/>
      <c r="V71" s="1756"/>
      <c r="W71" s="1756"/>
      <c r="X71" s="1756"/>
      <c r="Y71" s="1756"/>
      <c r="Z71" s="1756"/>
    </row>
    <row r="72" spans="1:26" ht="12" customHeight="1">
      <c r="A72" s="1862"/>
      <c r="B72" s="1827"/>
      <c r="C72" s="1857" t="s">
        <v>376</v>
      </c>
      <c r="D72" s="1864"/>
      <c r="E72" s="1865">
        <v>200000</v>
      </c>
      <c r="F72" s="1860">
        <v>44334</v>
      </c>
      <c r="G72" s="1860">
        <v>44350</v>
      </c>
      <c r="H72" s="1756"/>
      <c r="I72" s="1756"/>
      <c r="J72" s="1756"/>
      <c r="K72" s="1756"/>
      <c r="L72" s="1756"/>
      <c r="M72" s="1756"/>
      <c r="N72" s="1756"/>
      <c r="O72" s="1756"/>
      <c r="P72" s="1756"/>
      <c r="Q72" s="1756"/>
      <c r="R72" s="1756"/>
      <c r="S72" s="1756"/>
      <c r="T72" s="1756"/>
      <c r="U72" s="1756"/>
      <c r="V72" s="1756"/>
      <c r="W72" s="1756"/>
      <c r="X72" s="1756"/>
      <c r="Y72" s="1756"/>
      <c r="Z72" s="1756"/>
    </row>
    <row r="73" spans="1:26" ht="12" customHeight="1">
      <c r="A73" s="1862"/>
      <c r="B73" s="1827"/>
      <c r="C73" s="1857" t="s">
        <v>383</v>
      </c>
      <c r="D73" s="1864"/>
      <c r="E73" s="1865">
        <v>460504</v>
      </c>
      <c r="F73" s="1860">
        <v>44334</v>
      </c>
      <c r="G73" s="1860">
        <v>44350</v>
      </c>
      <c r="H73" s="1756"/>
      <c r="I73" s="1756"/>
      <c r="J73" s="1756"/>
      <c r="K73" s="1756"/>
      <c r="L73" s="1756"/>
      <c r="M73" s="1756"/>
      <c r="N73" s="1756"/>
      <c r="O73" s="1756"/>
      <c r="P73" s="1756"/>
      <c r="Q73" s="1756"/>
      <c r="R73" s="1756"/>
      <c r="S73" s="1756"/>
      <c r="T73" s="1756"/>
      <c r="U73" s="1756"/>
      <c r="V73" s="1756"/>
      <c r="W73" s="1756"/>
      <c r="X73" s="1756"/>
      <c r="Y73" s="1756"/>
      <c r="Z73" s="1756"/>
    </row>
    <row r="74" spans="1:26" ht="12" customHeight="1">
      <c r="A74" s="1862"/>
      <c r="B74" s="1827"/>
      <c r="C74" s="1857" t="s">
        <v>378</v>
      </c>
      <c r="D74" s="1864"/>
      <c r="E74" s="1865">
        <v>1574200</v>
      </c>
      <c r="F74" s="1860">
        <v>44334</v>
      </c>
      <c r="G74" s="1860">
        <v>44350</v>
      </c>
      <c r="H74" s="1756"/>
      <c r="I74" s="1756"/>
      <c r="J74" s="1756"/>
      <c r="K74" s="1756"/>
      <c r="L74" s="1756"/>
      <c r="M74" s="1756"/>
      <c r="N74" s="1756"/>
      <c r="O74" s="1756"/>
      <c r="P74" s="1756"/>
      <c r="Q74" s="1756"/>
      <c r="R74" s="1756"/>
      <c r="S74" s="1756"/>
      <c r="T74" s="1756"/>
      <c r="U74" s="1756"/>
      <c r="V74" s="1756"/>
      <c r="W74" s="1756"/>
      <c r="X74" s="1756"/>
      <c r="Y74" s="1756"/>
      <c r="Z74" s="1756"/>
    </row>
    <row r="75" spans="1:26" ht="12" customHeight="1">
      <c r="A75" s="1862"/>
      <c r="B75" s="1827"/>
      <c r="C75" s="1857" t="s">
        <v>379</v>
      </c>
      <c r="D75" s="1864"/>
      <c r="E75" s="1865">
        <v>503400</v>
      </c>
      <c r="F75" s="1860">
        <v>44334</v>
      </c>
      <c r="G75" s="1860">
        <v>44350</v>
      </c>
      <c r="H75" s="1756"/>
      <c r="I75" s="1756"/>
      <c r="J75" s="1756"/>
      <c r="K75" s="1756"/>
      <c r="L75" s="1756"/>
      <c r="M75" s="1756"/>
      <c r="N75" s="1756"/>
      <c r="O75" s="1756"/>
      <c r="P75" s="1756"/>
      <c r="Q75" s="1756"/>
      <c r="R75" s="1756"/>
      <c r="S75" s="1756"/>
      <c r="T75" s="1756"/>
      <c r="U75" s="1756"/>
      <c r="V75" s="1756"/>
      <c r="W75" s="1756"/>
      <c r="X75" s="1756"/>
      <c r="Y75" s="1756"/>
      <c r="Z75" s="1756"/>
    </row>
    <row r="76" spans="1:26" ht="12" customHeight="1">
      <c r="A76" s="1862"/>
      <c r="B76" s="1827"/>
      <c r="C76" s="1857" t="s">
        <v>380</v>
      </c>
      <c r="D76" s="1864"/>
      <c r="E76" s="1865">
        <v>6600</v>
      </c>
      <c r="F76" s="1860">
        <v>44334</v>
      </c>
      <c r="G76" s="1860">
        <v>44350</v>
      </c>
      <c r="H76" s="1756"/>
      <c r="I76" s="1756"/>
      <c r="J76" s="1756"/>
      <c r="K76" s="1756"/>
      <c r="L76" s="1756"/>
      <c r="M76" s="1756"/>
      <c r="N76" s="1756"/>
      <c r="O76" s="1756"/>
      <c r="P76" s="1756"/>
      <c r="Q76" s="1756"/>
      <c r="R76" s="1756"/>
      <c r="S76" s="1756"/>
      <c r="T76" s="1756"/>
      <c r="U76" s="1756"/>
      <c r="V76" s="1756"/>
      <c r="W76" s="1756"/>
      <c r="X76" s="1756"/>
      <c r="Y76" s="1756"/>
      <c r="Z76" s="1756"/>
    </row>
    <row r="77" spans="1:26" ht="12" customHeight="1">
      <c r="A77" s="1862"/>
      <c r="B77" s="1827"/>
      <c r="C77" s="1857" t="s">
        <v>381</v>
      </c>
      <c r="D77" s="1858"/>
      <c r="E77" s="1865">
        <v>71000</v>
      </c>
      <c r="F77" s="1860">
        <v>44334</v>
      </c>
      <c r="G77" s="1860">
        <v>44350</v>
      </c>
      <c r="H77" s="1756"/>
      <c r="I77" s="1756"/>
      <c r="J77" s="1756"/>
      <c r="K77" s="1756"/>
      <c r="L77" s="1756"/>
      <c r="M77" s="1756"/>
      <c r="N77" s="1756"/>
      <c r="O77" s="1756"/>
      <c r="P77" s="1756"/>
      <c r="Q77" s="1756"/>
      <c r="R77" s="1756"/>
      <c r="S77" s="1756"/>
      <c r="T77" s="1756"/>
      <c r="U77" s="1756"/>
      <c r="V77" s="1756"/>
      <c r="W77" s="1756"/>
      <c r="X77" s="1756"/>
      <c r="Y77" s="1756"/>
      <c r="Z77" s="1756"/>
    </row>
    <row r="78" spans="1:26" ht="12" customHeight="1">
      <c r="A78" s="1862"/>
      <c r="B78" s="1827"/>
      <c r="C78" s="1857" t="s">
        <v>1332</v>
      </c>
      <c r="D78" s="1858"/>
      <c r="E78" s="1865">
        <v>100000</v>
      </c>
      <c r="F78" s="1860">
        <v>44334</v>
      </c>
      <c r="G78" s="1860">
        <v>44350</v>
      </c>
      <c r="H78" s="1756"/>
      <c r="I78" s="1756"/>
      <c r="J78" s="1756"/>
      <c r="K78" s="1756"/>
      <c r="L78" s="1756"/>
      <c r="M78" s="1756"/>
      <c r="N78" s="1756"/>
      <c r="O78" s="1756"/>
      <c r="P78" s="1756"/>
      <c r="Q78" s="1756"/>
      <c r="R78" s="1756"/>
      <c r="S78" s="1756"/>
      <c r="T78" s="1756"/>
      <c r="U78" s="1756"/>
      <c r="V78" s="1756"/>
      <c r="W78" s="1756"/>
      <c r="X78" s="1756"/>
      <c r="Y78" s="1756"/>
      <c r="Z78" s="1756"/>
    </row>
    <row r="79" spans="1:26" ht="12" customHeight="1">
      <c r="A79" s="1862"/>
      <c r="B79" s="1827"/>
      <c r="C79" s="1857" t="s">
        <v>384</v>
      </c>
      <c r="D79" s="1867"/>
      <c r="E79" s="1859">
        <v>61000</v>
      </c>
      <c r="F79" s="1860">
        <v>44334</v>
      </c>
      <c r="G79" s="1860">
        <v>44350</v>
      </c>
      <c r="H79" s="1756"/>
      <c r="I79" s="1756"/>
      <c r="J79" s="1756"/>
      <c r="K79" s="1756"/>
      <c r="L79" s="1756"/>
      <c r="M79" s="1756"/>
      <c r="N79" s="1756"/>
      <c r="O79" s="1756"/>
      <c r="P79" s="1756"/>
      <c r="Q79" s="1756"/>
      <c r="R79" s="1756"/>
      <c r="S79" s="1756"/>
      <c r="T79" s="1756"/>
      <c r="U79" s="1756"/>
      <c r="V79" s="1756"/>
      <c r="W79" s="1756"/>
      <c r="X79" s="1756"/>
      <c r="Y79" s="1756"/>
      <c r="Z79" s="1756"/>
    </row>
    <row r="80" spans="1:26" ht="12" customHeight="1">
      <c r="A80" s="1861"/>
      <c r="B80" s="1833"/>
      <c r="C80" s="1857" t="s">
        <v>377</v>
      </c>
      <c r="D80" s="1867">
        <v>3873892</v>
      </c>
      <c r="E80" s="1859"/>
      <c r="F80" s="1860">
        <v>44334</v>
      </c>
      <c r="G80" s="1860">
        <v>44350</v>
      </c>
      <c r="H80" s="1756"/>
      <c r="I80" s="1756"/>
      <c r="J80" s="1756"/>
      <c r="K80" s="1756"/>
      <c r="L80" s="1756"/>
      <c r="M80" s="1756"/>
      <c r="N80" s="1756"/>
      <c r="O80" s="1756"/>
      <c r="P80" s="1756"/>
      <c r="Q80" s="1756"/>
      <c r="R80" s="1756"/>
      <c r="S80" s="1756"/>
      <c r="T80" s="1756"/>
      <c r="U80" s="1756"/>
      <c r="V80" s="1756"/>
      <c r="W80" s="1756"/>
      <c r="X80" s="1756"/>
      <c r="Y80" s="1756"/>
      <c r="Z80" s="1756"/>
    </row>
    <row r="81" spans="1:26" ht="12" customHeight="1">
      <c r="A81" s="1856" t="s">
        <v>1333</v>
      </c>
      <c r="B81" s="1766"/>
      <c r="C81" s="1857" t="s">
        <v>378</v>
      </c>
      <c r="D81" s="1867"/>
      <c r="E81" s="1859">
        <v>109900</v>
      </c>
      <c r="F81" s="1860">
        <v>44334</v>
      </c>
      <c r="G81" s="1860">
        <v>44350</v>
      </c>
      <c r="H81" s="1756"/>
      <c r="I81" s="1756"/>
      <c r="J81" s="1756"/>
      <c r="K81" s="1756"/>
      <c r="L81" s="1756"/>
      <c r="M81" s="1756"/>
      <c r="N81" s="1756"/>
      <c r="O81" s="1756"/>
      <c r="P81" s="1756"/>
      <c r="Q81" s="1756"/>
      <c r="R81" s="1756"/>
      <c r="S81" s="1756"/>
      <c r="T81" s="1756"/>
      <c r="U81" s="1756"/>
      <c r="V81" s="1756"/>
      <c r="W81" s="1756"/>
      <c r="X81" s="1756"/>
      <c r="Y81" s="1756"/>
      <c r="Z81" s="1756"/>
    </row>
    <row r="82" spans="1:26" ht="12" customHeight="1">
      <c r="A82" s="1862"/>
      <c r="B82" s="1827"/>
      <c r="C82" s="1857" t="s">
        <v>379</v>
      </c>
      <c r="D82" s="1867"/>
      <c r="E82" s="1859">
        <v>37240</v>
      </c>
      <c r="F82" s="1860">
        <v>44334</v>
      </c>
      <c r="G82" s="1860">
        <v>44350</v>
      </c>
      <c r="H82" s="1756"/>
      <c r="I82" s="1756"/>
      <c r="J82" s="1756"/>
      <c r="K82" s="1756"/>
      <c r="L82" s="1756"/>
      <c r="M82" s="1756"/>
      <c r="N82" s="1756"/>
      <c r="O82" s="1756"/>
      <c r="P82" s="1756"/>
      <c r="Q82" s="1756"/>
      <c r="R82" s="1756"/>
      <c r="S82" s="1756"/>
      <c r="T82" s="1756"/>
      <c r="U82" s="1756"/>
      <c r="V82" s="1756"/>
      <c r="W82" s="1756"/>
      <c r="X82" s="1756"/>
      <c r="Y82" s="1756"/>
      <c r="Z82" s="1756"/>
    </row>
    <row r="83" spans="1:26" ht="12" customHeight="1">
      <c r="A83" s="1862"/>
      <c r="B83" s="1827"/>
      <c r="C83" s="1857" t="s">
        <v>380</v>
      </c>
      <c r="D83" s="1867"/>
      <c r="E83" s="1859">
        <v>460</v>
      </c>
      <c r="F83" s="1860">
        <v>44334</v>
      </c>
      <c r="G83" s="1860">
        <v>44350</v>
      </c>
      <c r="H83" s="1756"/>
      <c r="I83" s="1756"/>
      <c r="J83" s="1756"/>
      <c r="K83" s="1756"/>
      <c r="L83" s="1756"/>
      <c r="M83" s="1756"/>
      <c r="N83" s="1756"/>
      <c r="O83" s="1756"/>
      <c r="P83" s="1756"/>
      <c r="Q83" s="1756"/>
      <c r="R83" s="1756"/>
      <c r="S83" s="1756"/>
      <c r="T83" s="1756"/>
      <c r="U83" s="1756"/>
      <c r="V83" s="1756"/>
      <c r="W83" s="1756"/>
      <c r="X83" s="1756"/>
      <c r="Y83" s="1756"/>
      <c r="Z83" s="1756"/>
    </row>
    <row r="84" spans="1:26" ht="12" customHeight="1">
      <c r="A84" s="1862"/>
      <c r="B84" s="1827"/>
      <c r="C84" s="1857" t="s">
        <v>381</v>
      </c>
      <c r="D84" s="1867"/>
      <c r="E84" s="1859">
        <v>2200</v>
      </c>
      <c r="F84" s="1860">
        <v>44334</v>
      </c>
      <c r="G84" s="1860">
        <v>44350</v>
      </c>
      <c r="H84" s="1756"/>
      <c r="I84" s="1756"/>
      <c r="J84" s="1756"/>
      <c r="K84" s="1756"/>
      <c r="L84" s="1756"/>
      <c r="M84" s="1756"/>
      <c r="N84" s="1756"/>
      <c r="O84" s="1756"/>
      <c r="P84" s="1756"/>
      <c r="Q84" s="1756"/>
      <c r="R84" s="1756"/>
      <c r="S84" s="1756"/>
      <c r="T84" s="1756"/>
      <c r="U84" s="1756"/>
      <c r="V84" s="1756"/>
      <c r="W84" s="1756"/>
      <c r="X84" s="1756"/>
      <c r="Y84" s="1756"/>
      <c r="Z84" s="1756"/>
    </row>
    <row r="85" spans="1:26" ht="12" customHeight="1">
      <c r="A85" s="1862"/>
      <c r="B85" s="1827"/>
      <c r="C85" s="1857" t="s">
        <v>383</v>
      </c>
      <c r="D85" s="1867"/>
      <c r="E85" s="1859">
        <v>58358</v>
      </c>
      <c r="F85" s="1860">
        <v>44334</v>
      </c>
      <c r="G85" s="1860">
        <v>44350</v>
      </c>
      <c r="H85" s="1756"/>
      <c r="I85" s="1756"/>
      <c r="J85" s="1756"/>
      <c r="K85" s="1756"/>
      <c r="L85" s="1756"/>
      <c r="M85" s="1756"/>
      <c r="N85" s="1756"/>
      <c r="O85" s="1756"/>
      <c r="P85" s="1756"/>
      <c r="Q85" s="1756"/>
      <c r="R85" s="1756"/>
      <c r="S85" s="1756"/>
      <c r="T85" s="1756"/>
      <c r="U85" s="1756"/>
      <c r="V85" s="1756"/>
      <c r="W85" s="1756"/>
      <c r="X85" s="1756"/>
      <c r="Y85" s="1756"/>
      <c r="Z85" s="1756"/>
    </row>
    <row r="86" spans="1:26" ht="12" customHeight="1">
      <c r="A86" s="1861"/>
      <c r="B86" s="1833"/>
      <c r="C86" s="1857" t="s">
        <v>377</v>
      </c>
      <c r="D86" s="1867">
        <v>208158</v>
      </c>
      <c r="E86" s="1859"/>
      <c r="F86" s="1860">
        <v>44334</v>
      </c>
      <c r="G86" s="1860">
        <v>44350</v>
      </c>
      <c r="H86" s="1756"/>
      <c r="I86" s="1756"/>
      <c r="J86" s="1756"/>
      <c r="K86" s="1756"/>
      <c r="L86" s="1756"/>
      <c r="M86" s="1756"/>
      <c r="N86" s="1756"/>
      <c r="O86" s="1756"/>
      <c r="P86" s="1756"/>
      <c r="Q86" s="1756"/>
      <c r="R86" s="1756"/>
      <c r="S86" s="1756"/>
      <c r="T86" s="1756"/>
      <c r="U86" s="1756"/>
      <c r="V86" s="1756"/>
      <c r="W86" s="1756"/>
      <c r="X86" s="1756"/>
      <c r="Y86" s="1756"/>
      <c r="Z86" s="1756"/>
    </row>
    <row r="87" spans="1:26" ht="12" customHeight="1">
      <c r="A87" s="1856" t="s">
        <v>1334</v>
      </c>
      <c r="B87" s="1766"/>
      <c r="C87" s="1857" t="s">
        <v>1335</v>
      </c>
      <c r="D87" s="1858">
        <v>850</v>
      </c>
      <c r="E87" s="1859"/>
      <c r="F87" s="1860">
        <v>44363</v>
      </c>
      <c r="G87" s="1860">
        <v>44363</v>
      </c>
      <c r="H87" s="1756"/>
      <c r="I87" s="1756"/>
      <c r="J87" s="1756"/>
      <c r="K87" s="1756"/>
      <c r="L87" s="1756"/>
      <c r="M87" s="1756"/>
      <c r="N87" s="1756"/>
      <c r="O87" s="1756"/>
      <c r="P87" s="1756"/>
      <c r="Q87" s="1756"/>
      <c r="R87" s="1756"/>
      <c r="S87" s="1756"/>
      <c r="T87" s="1756"/>
      <c r="U87" s="1756"/>
      <c r="V87" s="1756"/>
      <c r="W87" s="1756"/>
      <c r="X87" s="1756"/>
      <c r="Y87" s="1756"/>
      <c r="Z87" s="1756"/>
    </row>
    <row r="88" spans="1:26" ht="12" customHeight="1">
      <c r="A88" s="1861"/>
      <c r="B88" s="1833"/>
      <c r="C88" s="1857" t="s">
        <v>1336</v>
      </c>
      <c r="D88" s="1866"/>
      <c r="E88" s="1859">
        <v>850</v>
      </c>
      <c r="F88" s="1860">
        <v>44363</v>
      </c>
      <c r="G88" s="1860">
        <v>44363</v>
      </c>
      <c r="H88" s="1756"/>
      <c r="I88" s="1756"/>
      <c r="J88" s="1756"/>
      <c r="K88" s="1756"/>
      <c r="L88" s="1756"/>
      <c r="M88" s="1756"/>
      <c r="N88" s="1756"/>
      <c r="O88" s="1756"/>
      <c r="P88" s="1756"/>
      <c r="Q88" s="1756"/>
      <c r="R88" s="1756"/>
      <c r="S88" s="1756"/>
      <c r="T88" s="1756"/>
      <c r="U88" s="1756"/>
      <c r="V88" s="1756"/>
      <c r="W88" s="1756"/>
      <c r="X88" s="1756"/>
      <c r="Y88" s="1756"/>
      <c r="Z88" s="1756"/>
    </row>
    <row r="89" spans="1:26" ht="12" customHeight="1">
      <c r="A89" s="1856" t="s">
        <v>1337</v>
      </c>
      <c r="B89" s="1766"/>
      <c r="C89" s="1857" t="s">
        <v>382</v>
      </c>
      <c r="D89" s="1858">
        <v>54450</v>
      </c>
      <c r="E89" s="1859"/>
      <c r="F89" s="1860">
        <v>44371</v>
      </c>
      <c r="G89" s="1860">
        <v>44371</v>
      </c>
      <c r="H89" s="1756"/>
      <c r="I89" s="1756"/>
      <c r="J89" s="1756"/>
      <c r="K89" s="1756"/>
      <c r="L89" s="1756"/>
      <c r="M89" s="1756"/>
      <c r="N89" s="1756"/>
      <c r="O89" s="1756"/>
      <c r="P89" s="1756"/>
      <c r="Q89" s="1756"/>
      <c r="R89" s="1756"/>
      <c r="S89" s="1756"/>
      <c r="T89" s="1756"/>
      <c r="U89" s="1756"/>
      <c r="V89" s="1756"/>
      <c r="W89" s="1756"/>
      <c r="X89" s="1756"/>
      <c r="Y89" s="1756"/>
      <c r="Z89" s="1756"/>
    </row>
    <row r="90" spans="1:26" ht="12" customHeight="1">
      <c r="A90" s="1861"/>
      <c r="B90" s="1833"/>
      <c r="C90" s="1857" t="s">
        <v>383</v>
      </c>
      <c r="D90" s="1866"/>
      <c r="E90" s="1859">
        <v>54450</v>
      </c>
      <c r="F90" s="1860">
        <v>44371</v>
      </c>
      <c r="G90" s="1860">
        <v>44371</v>
      </c>
      <c r="H90" s="1756"/>
      <c r="I90" s="1756"/>
      <c r="J90" s="1756"/>
      <c r="K90" s="1756"/>
      <c r="L90" s="1756"/>
      <c r="M90" s="1756"/>
      <c r="N90" s="1756"/>
      <c r="O90" s="1756"/>
      <c r="P90" s="1756"/>
      <c r="Q90" s="1756"/>
      <c r="R90" s="1756"/>
      <c r="S90" s="1756"/>
      <c r="T90" s="1756"/>
      <c r="U90" s="1756"/>
      <c r="V90" s="1756"/>
      <c r="W90" s="1756"/>
      <c r="X90" s="1756"/>
      <c r="Y90" s="1756"/>
      <c r="Z90" s="1756"/>
    </row>
    <row r="91" spans="1:26" ht="12" customHeight="1">
      <c r="A91" s="1856" t="s">
        <v>1338</v>
      </c>
      <c r="B91" s="1766"/>
      <c r="C91" s="1857" t="s">
        <v>386</v>
      </c>
      <c r="D91" s="1858"/>
      <c r="E91" s="1859">
        <v>-18258</v>
      </c>
      <c r="F91" s="1860">
        <v>44320</v>
      </c>
      <c r="G91" s="1860">
        <v>44378</v>
      </c>
      <c r="H91" s="1756"/>
      <c r="I91" s="1756"/>
      <c r="J91" s="1756"/>
      <c r="K91" s="1756"/>
      <c r="L91" s="1756"/>
      <c r="M91" s="1756"/>
      <c r="N91" s="1756"/>
      <c r="O91" s="1756"/>
      <c r="P91" s="1756"/>
      <c r="Q91" s="1756"/>
      <c r="R91" s="1756"/>
      <c r="S91" s="1756"/>
      <c r="T91" s="1756"/>
      <c r="U91" s="1756"/>
      <c r="V91" s="1756"/>
      <c r="W91" s="1756"/>
      <c r="X91" s="1756"/>
      <c r="Y91" s="1756"/>
      <c r="Z91" s="1756"/>
    </row>
    <row r="92" spans="1:26" ht="12" customHeight="1">
      <c r="A92" s="1861"/>
      <c r="B92" s="1833"/>
      <c r="C92" s="1857" t="s">
        <v>384</v>
      </c>
      <c r="D92" s="1866"/>
      <c r="E92" s="1859">
        <v>18258</v>
      </c>
      <c r="F92" s="1860">
        <v>44320</v>
      </c>
      <c r="G92" s="1860">
        <v>44378</v>
      </c>
      <c r="H92" s="1756"/>
      <c r="I92" s="1756"/>
      <c r="J92" s="1756"/>
      <c r="K92" s="1756"/>
      <c r="L92" s="1756"/>
      <c r="M92" s="1756"/>
      <c r="N92" s="1756"/>
      <c r="O92" s="1756"/>
      <c r="P92" s="1756"/>
      <c r="Q92" s="1756"/>
      <c r="R92" s="1756"/>
      <c r="S92" s="1756"/>
      <c r="T92" s="1756"/>
      <c r="U92" s="1756"/>
      <c r="V92" s="1756"/>
      <c r="W92" s="1756"/>
      <c r="X92" s="1756"/>
      <c r="Y92" s="1756"/>
      <c r="Z92" s="1756"/>
    </row>
    <row r="93" spans="1:26" ht="12" customHeight="1">
      <c r="A93" s="1856" t="s">
        <v>1339</v>
      </c>
      <c r="B93" s="1766"/>
      <c r="C93" s="1857" t="s">
        <v>381</v>
      </c>
      <c r="D93" s="1858"/>
      <c r="E93" s="1859">
        <v>40000</v>
      </c>
      <c r="F93" s="1860">
        <v>44378</v>
      </c>
      <c r="G93" s="1860">
        <v>44378</v>
      </c>
      <c r="H93" s="1756"/>
      <c r="I93" s="1756"/>
      <c r="J93" s="1756"/>
      <c r="K93" s="1756"/>
      <c r="L93" s="1756"/>
      <c r="M93" s="1756"/>
      <c r="N93" s="1756"/>
      <c r="O93" s="1756"/>
      <c r="P93" s="1756"/>
      <c r="Q93" s="1756"/>
      <c r="R93" s="1756"/>
      <c r="S93" s="1756"/>
      <c r="T93" s="1756"/>
      <c r="U93" s="1756"/>
      <c r="V93" s="1756"/>
      <c r="W93" s="1756"/>
      <c r="X93" s="1756"/>
      <c r="Y93" s="1756"/>
      <c r="Z93" s="1756"/>
    </row>
    <row r="94" spans="1:26" ht="12" customHeight="1">
      <c r="A94" s="1861"/>
      <c r="B94" s="1833"/>
      <c r="C94" s="1857" t="s">
        <v>379</v>
      </c>
      <c r="D94" s="1866"/>
      <c r="E94" s="1859">
        <v>-40000</v>
      </c>
      <c r="F94" s="1860">
        <v>44378</v>
      </c>
      <c r="G94" s="1860">
        <v>44378</v>
      </c>
      <c r="H94" s="1756"/>
      <c r="I94" s="1756"/>
      <c r="J94" s="1756"/>
      <c r="K94" s="1756"/>
      <c r="L94" s="1756"/>
      <c r="M94" s="1756"/>
      <c r="N94" s="1756"/>
      <c r="O94" s="1756"/>
      <c r="P94" s="1756"/>
      <c r="Q94" s="1756"/>
      <c r="R94" s="1756"/>
      <c r="S94" s="1756"/>
      <c r="T94" s="1756"/>
      <c r="U94" s="1756"/>
      <c r="V94" s="1756"/>
      <c r="W94" s="1756"/>
      <c r="X94" s="1756"/>
      <c r="Y94" s="1756"/>
      <c r="Z94" s="1756"/>
    </row>
    <row r="95" spans="1:26" ht="12" customHeight="1">
      <c r="A95" s="1856" t="s">
        <v>1340</v>
      </c>
      <c r="B95" s="1766"/>
      <c r="C95" s="1857" t="s">
        <v>376</v>
      </c>
      <c r="D95" s="1858"/>
      <c r="E95" s="1859">
        <v>147178</v>
      </c>
      <c r="F95" s="1860">
        <v>44411</v>
      </c>
      <c r="G95" s="1860">
        <v>44411</v>
      </c>
      <c r="H95" s="1756"/>
      <c r="I95" s="1756"/>
      <c r="J95" s="1756"/>
      <c r="K95" s="1756"/>
      <c r="L95" s="1756"/>
      <c r="M95" s="1756"/>
      <c r="N95" s="1756"/>
      <c r="O95" s="1756"/>
      <c r="P95" s="1756"/>
      <c r="Q95" s="1756"/>
      <c r="R95" s="1756"/>
      <c r="S95" s="1756"/>
      <c r="T95" s="1756"/>
      <c r="U95" s="1756"/>
      <c r="V95" s="1756"/>
      <c r="W95" s="1756"/>
      <c r="X95" s="1756"/>
      <c r="Y95" s="1756"/>
      <c r="Z95" s="1756"/>
    </row>
    <row r="96" spans="1:26" ht="12" customHeight="1">
      <c r="A96" s="1861"/>
      <c r="B96" s="1833"/>
      <c r="C96" s="1857" t="s">
        <v>382</v>
      </c>
      <c r="D96" s="1858">
        <v>147178</v>
      </c>
      <c r="E96" s="1868"/>
      <c r="F96" s="1860">
        <v>44411</v>
      </c>
      <c r="G96" s="1860">
        <v>44411</v>
      </c>
      <c r="H96" s="1756"/>
      <c r="I96" s="1756"/>
      <c r="J96" s="1756"/>
      <c r="K96" s="1756"/>
      <c r="L96" s="1756"/>
      <c r="M96" s="1756"/>
      <c r="N96" s="1756"/>
      <c r="O96" s="1756"/>
      <c r="P96" s="1756"/>
      <c r="Q96" s="1756"/>
      <c r="R96" s="1756"/>
      <c r="S96" s="1756"/>
      <c r="T96" s="1756"/>
      <c r="U96" s="1756"/>
      <c r="V96" s="1756"/>
      <c r="W96" s="1756"/>
      <c r="X96" s="1756"/>
      <c r="Y96" s="1756"/>
      <c r="Z96" s="1756"/>
    </row>
    <row r="97" spans="1:26" ht="12" customHeight="1">
      <c r="A97" s="1856" t="s">
        <v>1341</v>
      </c>
      <c r="B97" s="1766"/>
      <c r="C97" s="1857" t="s">
        <v>377</v>
      </c>
      <c r="D97" s="1858">
        <f>1116668+425054</f>
        <v>1541722</v>
      </c>
      <c r="E97" s="1859"/>
      <c r="F97" s="1860">
        <v>44425</v>
      </c>
      <c r="G97" s="1860">
        <v>44449</v>
      </c>
      <c r="H97" s="1756"/>
      <c r="I97" s="1756"/>
      <c r="J97" s="1756"/>
      <c r="K97" s="1756"/>
      <c r="L97" s="1756"/>
      <c r="M97" s="1756"/>
      <c r="N97" s="1756"/>
      <c r="O97" s="1756"/>
      <c r="P97" s="1756"/>
      <c r="Q97" s="1756"/>
      <c r="R97" s="1756"/>
      <c r="S97" s="1756"/>
      <c r="T97" s="1756"/>
      <c r="U97" s="1756"/>
      <c r="V97" s="1756"/>
      <c r="W97" s="1756"/>
      <c r="X97" s="1756"/>
      <c r="Y97" s="1756"/>
      <c r="Z97" s="1756"/>
    </row>
    <row r="98" spans="1:26" ht="12" customHeight="1">
      <c r="A98" s="1862"/>
      <c r="B98" s="1827"/>
      <c r="C98" s="1857" t="s">
        <v>384</v>
      </c>
      <c r="D98" s="1866"/>
      <c r="E98" s="1859">
        <f>1543464</f>
        <v>1543464</v>
      </c>
      <c r="F98" s="1860">
        <v>44425</v>
      </c>
      <c r="G98" s="1860">
        <v>44449</v>
      </c>
      <c r="H98" s="1756"/>
      <c r="I98" s="1756"/>
      <c r="J98" s="1756"/>
      <c r="K98" s="1756"/>
      <c r="L98" s="1756"/>
      <c r="M98" s="1756"/>
      <c r="N98" s="1756"/>
      <c r="O98" s="1756"/>
      <c r="P98" s="1756"/>
      <c r="Q98" s="1756"/>
      <c r="R98" s="1756"/>
      <c r="S98" s="1756"/>
      <c r="T98" s="1756"/>
      <c r="U98" s="1756"/>
      <c r="V98" s="1756"/>
      <c r="W98" s="1756"/>
      <c r="X98" s="1756"/>
      <c r="Y98" s="1756"/>
      <c r="Z98" s="1756"/>
    </row>
    <row r="99" spans="1:26" ht="12" customHeight="1">
      <c r="A99" s="1861"/>
      <c r="B99" s="1833"/>
      <c r="C99" s="1857" t="s">
        <v>386</v>
      </c>
      <c r="D99" s="1866"/>
      <c r="E99" s="1859">
        <v>-1742</v>
      </c>
      <c r="F99" s="1860">
        <v>44425</v>
      </c>
      <c r="G99" s="1860">
        <v>44449</v>
      </c>
      <c r="H99" s="1756"/>
      <c r="I99" s="1756"/>
      <c r="J99" s="1756"/>
      <c r="K99" s="1756"/>
      <c r="L99" s="1756"/>
      <c r="M99" s="1756"/>
      <c r="N99" s="1756"/>
      <c r="O99" s="1756"/>
      <c r="P99" s="1756"/>
      <c r="Q99" s="1756"/>
      <c r="R99" s="1756"/>
      <c r="S99" s="1756"/>
      <c r="T99" s="1756"/>
      <c r="U99" s="1756"/>
      <c r="V99" s="1756"/>
      <c r="W99" s="1756"/>
      <c r="X99" s="1756"/>
      <c r="Y99" s="1756"/>
      <c r="Z99" s="1756"/>
    </row>
    <row r="100" spans="1:26" ht="12" customHeight="1">
      <c r="A100" s="1856" t="s">
        <v>1342</v>
      </c>
      <c r="B100" s="1766"/>
      <c r="C100" s="1857" t="s">
        <v>382</v>
      </c>
      <c r="D100" s="1858">
        <v>255569</v>
      </c>
      <c r="E100" s="1859"/>
      <c r="F100" s="1860">
        <v>44470</v>
      </c>
      <c r="G100" s="1860">
        <v>44470</v>
      </c>
      <c r="H100" s="1756"/>
      <c r="I100" s="1756"/>
      <c r="J100" s="1756"/>
      <c r="K100" s="1756"/>
      <c r="L100" s="1756"/>
      <c r="M100" s="1756"/>
      <c r="N100" s="1756"/>
      <c r="O100" s="1756"/>
      <c r="P100" s="1756"/>
      <c r="Q100" s="1756"/>
      <c r="R100" s="1756"/>
      <c r="S100" s="1756"/>
      <c r="T100" s="1756"/>
      <c r="U100" s="1756"/>
      <c r="V100" s="1756"/>
      <c r="W100" s="1756"/>
      <c r="X100" s="1756"/>
      <c r="Y100" s="1756"/>
      <c r="Z100" s="1756"/>
    </row>
    <row r="101" spans="1:26" ht="12" customHeight="1">
      <c r="A101" s="1862"/>
      <c r="B101" s="1827"/>
      <c r="C101" s="1857" t="s">
        <v>1343</v>
      </c>
      <c r="D101" s="1858">
        <v>200000</v>
      </c>
      <c r="E101" s="1859"/>
      <c r="F101" s="1860">
        <v>44470</v>
      </c>
      <c r="G101" s="1860">
        <v>44470</v>
      </c>
      <c r="H101" s="1756"/>
      <c r="I101" s="1756"/>
      <c r="J101" s="1756"/>
      <c r="K101" s="1756"/>
      <c r="L101" s="1756"/>
      <c r="M101" s="1756"/>
      <c r="N101" s="1756"/>
      <c r="O101" s="1756"/>
      <c r="P101" s="1756"/>
      <c r="Q101" s="1756"/>
      <c r="R101" s="1756"/>
      <c r="S101" s="1756"/>
      <c r="T101" s="1756"/>
      <c r="U101" s="1756"/>
      <c r="V101" s="1756"/>
      <c r="W101" s="1756"/>
      <c r="X101" s="1756"/>
      <c r="Y101" s="1756"/>
      <c r="Z101" s="1756"/>
    </row>
    <row r="102" spans="1:26" ht="12" customHeight="1">
      <c r="A102" s="1862"/>
      <c r="B102" s="1827"/>
      <c r="C102" s="1857" t="s">
        <v>386</v>
      </c>
      <c r="D102" s="1866"/>
      <c r="E102" s="1859">
        <v>36799</v>
      </c>
      <c r="F102" s="1860">
        <v>44470</v>
      </c>
      <c r="G102" s="1860">
        <v>44470</v>
      </c>
      <c r="H102" s="1756"/>
      <c r="I102" s="1756"/>
      <c r="J102" s="1756"/>
      <c r="K102" s="1756"/>
      <c r="L102" s="1756"/>
      <c r="M102" s="1756"/>
      <c r="N102" s="1756"/>
      <c r="O102" s="1756"/>
      <c r="P102" s="1756"/>
      <c r="Q102" s="1756"/>
      <c r="R102" s="1756"/>
      <c r="S102" s="1756"/>
      <c r="T102" s="1756"/>
      <c r="U102" s="1756"/>
      <c r="V102" s="1756"/>
      <c r="W102" s="1756"/>
      <c r="X102" s="1756"/>
      <c r="Y102" s="1756"/>
      <c r="Z102" s="1756"/>
    </row>
    <row r="103" spans="1:26" ht="12" customHeight="1">
      <c r="A103" s="1862"/>
      <c r="B103" s="1827"/>
      <c r="C103" s="1857" t="s">
        <v>376</v>
      </c>
      <c r="D103" s="1866"/>
      <c r="E103" s="1859">
        <v>335000</v>
      </c>
      <c r="F103" s="1860">
        <v>44470</v>
      </c>
      <c r="G103" s="1860">
        <v>44470</v>
      </c>
      <c r="H103" s="1756"/>
      <c r="I103" s="1756"/>
      <c r="J103" s="1756"/>
      <c r="K103" s="1756"/>
      <c r="L103" s="1756"/>
      <c r="M103" s="1756"/>
      <c r="N103" s="1756"/>
      <c r="O103" s="1756"/>
      <c r="P103" s="1756"/>
      <c r="Q103" s="1756"/>
      <c r="R103" s="1756"/>
      <c r="S103" s="1756"/>
      <c r="T103" s="1756"/>
      <c r="U103" s="1756"/>
      <c r="V103" s="1756"/>
      <c r="W103" s="1756"/>
      <c r="X103" s="1756"/>
      <c r="Y103" s="1756"/>
      <c r="Z103" s="1756"/>
    </row>
    <row r="104" spans="1:26" ht="12" customHeight="1">
      <c r="A104" s="1862"/>
      <c r="B104" s="1827"/>
      <c r="C104" s="1857" t="s">
        <v>383</v>
      </c>
      <c r="D104" s="1866"/>
      <c r="E104" s="1859">
        <v>30000</v>
      </c>
      <c r="F104" s="1860">
        <v>44470</v>
      </c>
      <c r="G104" s="1860">
        <v>44470</v>
      </c>
      <c r="H104" s="1756"/>
      <c r="I104" s="1756"/>
      <c r="J104" s="1756"/>
      <c r="K104" s="1756"/>
      <c r="L104" s="1756"/>
      <c r="M104" s="1756"/>
      <c r="N104" s="1756"/>
      <c r="O104" s="1756"/>
      <c r="P104" s="1756"/>
      <c r="Q104" s="1756"/>
      <c r="R104" s="1756"/>
      <c r="S104" s="1756"/>
      <c r="T104" s="1756"/>
      <c r="U104" s="1756"/>
      <c r="V104" s="1756"/>
      <c r="W104" s="1756"/>
      <c r="X104" s="1756"/>
      <c r="Y104" s="1756"/>
      <c r="Z104" s="1756"/>
    </row>
    <row r="105" spans="1:26" ht="12" customHeight="1">
      <c r="A105" s="1861"/>
      <c r="B105" s="1833"/>
      <c r="C105" s="1857" t="s">
        <v>385</v>
      </c>
      <c r="D105" s="1866"/>
      <c r="E105" s="1859">
        <v>53770</v>
      </c>
      <c r="F105" s="1860">
        <v>44470</v>
      </c>
      <c r="G105" s="1860">
        <v>44470</v>
      </c>
      <c r="H105" s="1756"/>
      <c r="I105" s="1756"/>
      <c r="J105" s="1756"/>
      <c r="K105" s="1756"/>
      <c r="L105" s="1756"/>
      <c r="M105" s="1756"/>
      <c r="N105" s="1756"/>
      <c r="O105" s="1756"/>
      <c r="P105" s="1756"/>
      <c r="Q105" s="1756"/>
      <c r="R105" s="1756"/>
      <c r="S105" s="1756"/>
      <c r="T105" s="1756"/>
      <c r="U105" s="1756"/>
      <c r="V105" s="1756"/>
      <c r="W105" s="1756"/>
      <c r="X105" s="1756"/>
      <c r="Y105" s="1756"/>
      <c r="Z105" s="1756"/>
    </row>
    <row r="106" spans="1:26" ht="12" customHeight="1">
      <c r="A106" s="1856" t="s">
        <v>1344</v>
      </c>
      <c r="B106" s="1766"/>
      <c r="C106" s="1857" t="s">
        <v>386</v>
      </c>
      <c r="D106" s="1869"/>
      <c r="E106" s="1859">
        <v>-114164</v>
      </c>
      <c r="F106" s="1860">
        <v>44470</v>
      </c>
      <c r="G106" s="1860">
        <v>44470</v>
      </c>
      <c r="H106" s="1756"/>
      <c r="I106" s="1756"/>
      <c r="J106" s="1756"/>
      <c r="K106" s="1756"/>
      <c r="L106" s="1756"/>
      <c r="M106" s="1756"/>
      <c r="N106" s="1756"/>
      <c r="O106" s="1756"/>
      <c r="P106" s="1756"/>
      <c r="Q106" s="1756"/>
      <c r="R106" s="1756"/>
      <c r="S106" s="1756"/>
      <c r="T106" s="1756"/>
      <c r="U106" s="1756"/>
      <c r="V106" s="1756"/>
      <c r="W106" s="1756"/>
      <c r="X106" s="1756"/>
      <c r="Y106" s="1756"/>
      <c r="Z106" s="1756"/>
    </row>
    <row r="107" spans="1:26" ht="12" customHeight="1">
      <c r="A107" s="1862"/>
      <c r="B107" s="1827"/>
      <c r="C107" s="1857" t="s">
        <v>376</v>
      </c>
      <c r="D107" s="1869"/>
      <c r="E107" s="1859">
        <v>33000</v>
      </c>
      <c r="F107" s="1860">
        <v>44470</v>
      </c>
      <c r="G107" s="1860">
        <v>44470</v>
      </c>
      <c r="H107" s="1756"/>
      <c r="I107" s="1756"/>
      <c r="J107" s="1756"/>
      <c r="K107" s="1756"/>
      <c r="L107" s="1756"/>
      <c r="M107" s="1756"/>
      <c r="N107" s="1756"/>
      <c r="O107" s="1756"/>
      <c r="P107" s="1756"/>
      <c r="Q107" s="1756"/>
      <c r="R107" s="1756"/>
      <c r="S107" s="1756"/>
      <c r="T107" s="1756"/>
      <c r="U107" s="1756"/>
      <c r="V107" s="1756"/>
      <c r="W107" s="1756"/>
      <c r="X107" s="1756"/>
      <c r="Y107" s="1756"/>
      <c r="Z107" s="1756"/>
    </row>
    <row r="108" spans="1:26" ht="12" customHeight="1">
      <c r="A108" s="1862"/>
      <c r="B108" s="1827"/>
      <c r="C108" s="1857" t="s">
        <v>1345</v>
      </c>
      <c r="D108" s="1869"/>
      <c r="E108" s="1859">
        <v>-7000</v>
      </c>
      <c r="F108" s="1860">
        <v>44470</v>
      </c>
      <c r="G108" s="1860">
        <v>44470</v>
      </c>
      <c r="H108" s="1756"/>
      <c r="I108" s="1756"/>
      <c r="J108" s="1756"/>
      <c r="K108" s="1756"/>
      <c r="L108" s="1756"/>
      <c r="M108" s="1756"/>
      <c r="N108" s="1756"/>
      <c r="O108" s="1756"/>
      <c r="P108" s="1756"/>
      <c r="Q108" s="1756"/>
      <c r="R108" s="1756"/>
      <c r="S108" s="1756"/>
      <c r="T108" s="1756"/>
      <c r="U108" s="1756"/>
      <c r="V108" s="1756"/>
      <c r="W108" s="1756"/>
      <c r="X108" s="1756"/>
      <c r="Y108" s="1756"/>
      <c r="Z108" s="1756"/>
    </row>
    <row r="109" spans="1:26" ht="12" customHeight="1">
      <c r="A109" s="1862"/>
      <c r="B109" s="1827"/>
      <c r="C109" s="1857" t="s">
        <v>387</v>
      </c>
      <c r="D109" s="1869"/>
      <c r="E109" s="1859">
        <v>7000</v>
      </c>
      <c r="F109" s="1860">
        <v>44470</v>
      </c>
      <c r="G109" s="1860">
        <v>44470</v>
      </c>
      <c r="H109" s="1756"/>
      <c r="I109" s="1756"/>
      <c r="J109" s="1756"/>
      <c r="K109" s="1756"/>
      <c r="L109" s="1756"/>
      <c r="M109" s="1756"/>
      <c r="N109" s="1756"/>
      <c r="O109" s="1756"/>
      <c r="P109" s="1756"/>
      <c r="Q109" s="1756"/>
      <c r="R109" s="1756"/>
      <c r="S109" s="1756"/>
      <c r="T109" s="1756"/>
      <c r="U109" s="1756"/>
      <c r="V109" s="1756"/>
      <c r="W109" s="1756"/>
      <c r="X109" s="1756"/>
      <c r="Y109" s="1756"/>
      <c r="Z109" s="1756"/>
    </row>
    <row r="110" spans="1:26" ht="12" customHeight="1">
      <c r="A110" s="1862"/>
      <c r="B110" s="1827"/>
      <c r="C110" s="1857" t="s">
        <v>383</v>
      </c>
      <c r="D110" s="1869"/>
      <c r="E110" s="1859">
        <v>-344446</v>
      </c>
      <c r="F110" s="1860">
        <v>44470</v>
      </c>
      <c r="G110" s="1860">
        <v>44470</v>
      </c>
      <c r="H110" s="1756"/>
      <c r="I110" s="1756"/>
      <c r="J110" s="1756"/>
      <c r="K110" s="1756"/>
      <c r="L110" s="1756"/>
      <c r="M110" s="1756"/>
      <c r="N110" s="1756"/>
      <c r="O110" s="1756"/>
      <c r="P110" s="1756"/>
      <c r="Q110" s="1756"/>
      <c r="R110" s="1756"/>
      <c r="S110" s="1756"/>
      <c r="T110" s="1756"/>
      <c r="U110" s="1756"/>
      <c r="V110" s="1756"/>
      <c r="W110" s="1756"/>
      <c r="X110" s="1756"/>
      <c r="Y110" s="1756"/>
      <c r="Z110" s="1756"/>
    </row>
    <row r="111" spans="1:26" ht="12" customHeight="1">
      <c r="A111" s="1862"/>
      <c r="B111" s="1827"/>
      <c r="C111" s="1857" t="s">
        <v>378</v>
      </c>
      <c r="D111" s="1858"/>
      <c r="E111" s="1859">
        <v>-126600</v>
      </c>
      <c r="F111" s="1860">
        <v>44470</v>
      </c>
      <c r="G111" s="1860">
        <v>44470</v>
      </c>
      <c r="H111" s="1756"/>
      <c r="I111" s="1756"/>
      <c r="J111" s="1756"/>
      <c r="K111" s="1756"/>
      <c r="L111" s="1756"/>
      <c r="M111" s="1756"/>
      <c r="N111" s="1756"/>
      <c r="O111" s="1756"/>
      <c r="P111" s="1756"/>
      <c r="Q111" s="1756"/>
      <c r="R111" s="1756"/>
      <c r="S111" s="1756"/>
      <c r="T111" s="1756"/>
      <c r="U111" s="1756"/>
      <c r="V111" s="1756"/>
      <c r="W111" s="1756"/>
      <c r="X111" s="1756"/>
      <c r="Y111" s="1756"/>
      <c r="Z111" s="1756"/>
    </row>
    <row r="112" spans="1:26" ht="12" customHeight="1">
      <c r="A112" s="1862"/>
      <c r="B112" s="1827"/>
      <c r="C112" s="1857" t="s">
        <v>379</v>
      </c>
      <c r="D112" s="1866"/>
      <c r="E112" s="1859">
        <v>-23900</v>
      </c>
      <c r="F112" s="1860">
        <v>44470</v>
      </c>
      <c r="G112" s="1860">
        <v>44470</v>
      </c>
      <c r="H112" s="1756"/>
      <c r="I112" s="1756"/>
      <c r="J112" s="1756"/>
      <c r="K112" s="1756"/>
      <c r="L112" s="1756"/>
      <c r="M112" s="1756"/>
      <c r="N112" s="1756"/>
      <c r="O112" s="1756"/>
      <c r="P112" s="1756"/>
      <c r="Q112" s="1756"/>
      <c r="R112" s="1756"/>
      <c r="S112" s="1756"/>
      <c r="T112" s="1756"/>
      <c r="U112" s="1756"/>
      <c r="V112" s="1756"/>
      <c r="W112" s="1756"/>
      <c r="X112" s="1756"/>
      <c r="Y112" s="1756"/>
      <c r="Z112" s="1756"/>
    </row>
    <row r="113" spans="1:26" ht="12" customHeight="1">
      <c r="A113" s="1862"/>
      <c r="B113" s="1827"/>
      <c r="C113" s="1857" t="s">
        <v>381</v>
      </c>
      <c r="D113" s="1866"/>
      <c r="E113" s="1859">
        <v>110500</v>
      </c>
      <c r="F113" s="1860">
        <v>44470</v>
      </c>
      <c r="G113" s="1860">
        <v>44470</v>
      </c>
      <c r="H113" s="1756"/>
      <c r="I113" s="1756"/>
      <c r="J113" s="1756"/>
      <c r="K113" s="1756"/>
      <c r="L113" s="1756"/>
      <c r="M113" s="1756"/>
      <c r="N113" s="1756"/>
      <c r="O113" s="1756"/>
      <c r="P113" s="1756"/>
      <c r="Q113" s="1756"/>
      <c r="R113" s="1756"/>
      <c r="S113" s="1756"/>
      <c r="T113" s="1756"/>
      <c r="U113" s="1756"/>
      <c r="V113" s="1756"/>
      <c r="W113" s="1756"/>
      <c r="X113" s="1756"/>
      <c r="Y113" s="1756"/>
      <c r="Z113" s="1756"/>
    </row>
    <row r="114" spans="1:26" ht="12" customHeight="1">
      <c r="A114" s="1862"/>
      <c r="B114" s="1827"/>
      <c r="C114" s="1857" t="s">
        <v>1346</v>
      </c>
      <c r="D114" s="1866"/>
      <c r="E114" s="1859">
        <v>-6690</v>
      </c>
      <c r="F114" s="1860">
        <v>44470</v>
      </c>
      <c r="G114" s="1860">
        <v>44470</v>
      </c>
      <c r="H114" s="1756"/>
      <c r="I114" s="1756"/>
      <c r="J114" s="1756"/>
      <c r="K114" s="1756"/>
      <c r="L114" s="1756"/>
      <c r="M114" s="1756"/>
      <c r="N114" s="1756"/>
      <c r="O114" s="1756"/>
      <c r="P114" s="1756"/>
      <c r="Q114" s="1756"/>
      <c r="R114" s="1756"/>
      <c r="S114" s="1756"/>
      <c r="T114" s="1756"/>
      <c r="U114" s="1756"/>
      <c r="V114" s="1756"/>
      <c r="W114" s="1756"/>
      <c r="X114" s="1756"/>
      <c r="Y114" s="1756"/>
      <c r="Z114" s="1756"/>
    </row>
    <row r="115" spans="1:26" ht="12" customHeight="1">
      <c r="A115" s="1862"/>
      <c r="B115" s="1827"/>
      <c r="C115" s="1857" t="s">
        <v>1347</v>
      </c>
      <c r="D115" s="1866"/>
      <c r="E115" s="1859">
        <v>2300</v>
      </c>
      <c r="F115" s="1860">
        <v>44470</v>
      </c>
      <c r="G115" s="1860">
        <v>44470</v>
      </c>
      <c r="H115" s="1756"/>
      <c r="I115" s="1756"/>
      <c r="J115" s="1756"/>
      <c r="K115" s="1756"/>
      <c r="L115" s="1756"/>
      <c r="M115" s="1756"/>
      <c r="N115" s="1756"/>
      <c r="O115" s="1756"/>
      <c r="P115" s="1756"/>
      <c r="Q115" s="1756"/>
      <c r="R115" s="1756"/>
      <c r="S115" s="1756"/>
      <c r="T115" s="1756"/>
      <c r="U115" s="1756"/>
      <c r="V115" s="1756"/>
      <c r="W115" s="1756"/>
      <c r="X115" s="1756"/>
      <c r="Y115" s="1756"/>
      <c r="Z115" s="1756"/>
    </row>
    <row r="116" spans="1:26" ht="12" customHeight="1">
      <c r="A116" s="1862"/>
      <c r="B116" s="1827"/>
      <c r="C116" s="1857" t="s">
        <v>385</v>
      </c>
      <c r="D116" s="1866"/>
      <c r="E116" s="1859">
        <v>459000</v>
      </c>
      <c r="F116" s="1860">
        <v>44470</v>
      </c>
      <c r="G116" s="1860">
        <v>44470</v>
      </c>
      <c r="H116" s="1756"/>
      <c r="I116" s="1756"/>
      <c r="J116" s="1756"/>
      <c r="K116" s="1756"/>
      <c r="L116" s="1756"/>
      <c r="M116" s="1756"/>
      <c r="N116" s="1756"/>
      <c r="O116" s="1756"/>
      <c r="P116" s="1756"/>
      <c r="Q116" s="1756"/>
      <c r="R116" s="1756"/>
      <c r="S116" s="1756"/>
      <c r="T116" s="1756"/>
      <c r="U116" s="1756"/>
      <c r="V116" s="1756"/>
      <c r="W116" s="1756"/>
      <c r="X116" s="1756"/>
      <c r="Y116" s="1756"/>
      <c r="Z116" s="1756"/>
    </row>
    <row r="117" spans="1:26" ht="12" customHeight="1">
      <c r="A117" s="1861"/>
      <c r="B117" s="1833"/>
      <c r="C117" s="1857" t="s">
        <v>1332</v>
      </c>
      <c r="D117" s="1866"/>
      <c r="E117" s="1859">
        <v>11000</v>
      </c>
      <c r="F117" s="1860">
        <v>44470</v>
      </c>
      <c r="G117" s="1860">
        <v>44470</v>
      </c>
      <c r="H117" s="1756"/>
      <c r="I117" s="1756"/>
      <c r="J117" s="1756"/>
      <c r="K117" s="1756"/>
      <c r="L117" s="1756"/>
      <c r="M117" s="1756"/>
      <c r="N117" s="1756"/>
      <c r="O117" s="1756"/>
      <c r="P117" s="1756"/>
      <c r="Q117" s="1756"/>
      <c r="R117" s="1756"/>
      <c r="S117" s="1756"/>
      <c r="T117" s="1756"/>
      <c r="U117" s="1756"/>
      <c r="V117" s="1756"/>
      <c r="W117" s="1756"/>
      <c r="X117" s="1756"/>
      <c r="Y117" s="1756"/>
      <c r="Z117" s="1756"/>
    </row>
    <row r="118" spans="1:26" ht="12" customHeight="1">
      <c r="A118" s="1856" t="s">
        <v>1348</v>
      </c>
      <c r="B118" s="1766"/>
      <c r="C118" s="1857" t="s">
        <v>377</v>
      </c>
      <c r="D118" s="1870">
        <v>-1558620</v>
      </c>
      <c r="E118" s="1871"/>
      <c r="F118" s="1860">
        <v>44540</v>
      </c>
      <c r="G118" s="1860">
        <v>44540</v>
      </c>
      <c r="H118" s="1756"/>
      <c r="I118" s="1756"/>
      <c r="J118" s="1756"/>
      <c r="K118" s="1756"/>
      <c r="L118" s="1756"/>
      <c r="M118" s="1756"/>
      <c r="N118" s="1756"/>
      <c r="O118" s="1756"/>
      <c r="P118" s="1756"/>
      <c r="Q118" s="1756"/>
      <c r="R118" s="1756"/>
      <c r="S118" s="1756"/>
      <c r="T118" s="1756"/>
      <c r="U118" s="1756"/>
      <c r="V118" s="1756"/>
      <c r="W118" s="1756"/>
      <c r="X118" s="1756"/>
      <c r="Y118" s="1756"/>
      <c r="Z118" s="1756"/>
    </row>
    <row r="119" spans="1:26" ht="12" customHeight="1">
      <c r="A119" s="1862"/>
      <c r="B119" s="1827"/>
      <c r="C119" s="1857" t="s">
        <v>386</v>
      </c>
      <c r="D119" s="1870"/>
      <c r="E119" s="1871">
        <v>460742</v>
      </c>
      <c r="F119" s="1860">
        <v>44540</v>
      </c>
      <c r="G119" s="1860">
        <v>44540</v>
      </c>
      <c r="H119" s="1756"/>
      <c r="I119" s="1756"/>
      <c r="J119" s="1756"/>
      <c r="K119" s="1756"/>
      <c r="L119" s="1756"/>
      <c r="M119" s="1756"/>
      <c r="N119" s="1756"/>
      <c r="O119" s="1756"/>
      <c r="P119" s="1756"/>
      <c r="Q119" s="1756"/>
      <c r="R119" s="1756"/>
      <c r="S119" s="1756"/>
      <c r="T119" s="1756"/>
      <c r="U119" s="1756"/>
      <c r="V119" s="1756"/>
      <c r="W119" s="1756"/>
      <c r="X119" s="1756"/>
      <c r="Y119" s="1756"/>
      <c r="Z119" s="1756"/>
    </row>
    <row r="120" spans="1:26" ht="12" customHeight="1">
      <c r="A120" s="1862"/>
      <c r="B120" s="1827"/>
      <c r="C120" s="1857" t="s">
        <v>376</v>
      </c>
      <c r="D120" s="1870"/>
      <c r="E120" s="1871">
        <v>105000</v>
      </c>
      <c r="F120" s="1860">
        <v>44540</v>
      </c>
      <c r="G120" s="1860">
        <v>44540</v>
      </c>
      <c r="H120" s="1756"/>
      <c r="I120" s="1756"/>
      <c r="J120" s="1756"/>
      <c r="K120" s="1756"/>
      <c r="L120" s="1756"/>
      <c r="M120" s="1756"/>
      <c r="N120" s="1756"/>
      <c r="O120" s="1756"/>
      <c r="P120" s="1756"/>
      <c r="Q120" s="1756"/>
      <c r="R120" s="1756"/>
      <c r="S120" s="1756"/>
      <c r="T120" s="1756"/>
      <c r="U120" s="1756"/>
      <c r="V120" s="1756"/>
      <c r="W120" s="1756"/>
      <c r="X120" s="1756"/>
      <c r="Y120" s="1756"/>
      <c r="Z120" s="1756"/>
    </row>
    <row r="121" spans="1:26" ht="12" customHeight="1">
      <c r="A121" s="1862"/>
      <c r="B121" s="1827"/>
      <c r="C121" s="1857" t="s">
        <v>387</v>
      </c>
      <c r="D121" s="1870"/>
      <c r="E121" s="1871">
        <v>2500</v>
      </c>
      <c r="F121" s="1860">
        <v>44540</v>
      </c>
      <c r="G121" s="1860">
        <v>44540</v>
      </c>
      <c r="H121" s="1756"/>
      <c r="I121" s="1756"/>
      <c r="J121" s="1756"/>
      <c r="K121" s="1756"/>
      <c r="L121" s="1756"/>
      <c r="M121" s="1756"/>
      <c r="N121" s="1756"/>
      <c r="O121" s="1756"/>
      <c r="P121" s="1756"/>
      <c r="Q121" s="1756"/>
      <c r="R121" s="1756"/>
      <c r="S121" s="1756"/>
      <c r="T121" s="1756"/>
      <c r="U121" s="1756"/>
      <c r="V121" s="1756"/>
      <c r="W121" s="1756"/>
      <c r="X121" s="1756"/>
      <c r="Y121" s="1756"/>
      <c r="Z121" s="1756"/>
    </row>
    <row r="122" spans="1:26" ht="12" customHeight="1">
      <c r="A122" s="1862"/>
      <c r="B122" s="1827"/>
      <c r="C122" s="1857" t="s">
        <v>383</v>
      </c>
      <c r="D122" s="1870"/>
      <c r="E122" s="1871">
        <v>167138</v>
      </c>
      <c r="F122" s="1860">
        <v>44540</v>
      </c>
      <c r="G122" s="1860">
        <v>44540</v>
      </c>
      <c r="H122" s="1756"/>
      <c r="I122" s="1756"/>
      <c r="J122" s="1756"/>
      <c r="K122" s="1756"/>
      <c r="L122" s="1756"/>
      <c r="M122" s="1756"/>
      <c r="N122" s="1756"/>
      <c r="O122" s="1756"/>
      <c r="P122" s="1756"/>
      <c r="Q122" s="1756"/>
      <c r="R122" s="1756"/>
      <c r="S122" s="1756"/>
      <c r="T122" s="1756"/>
      <c r="U122" s="1756"/>
      <c r="V122" s="1756"/>
      <c r="W122" s="1756"/>
      <c r="X122" s="1756"/>
      <c r="Y122" s="1756"/>
      <c r="Z122" s="1756"/>
    </row>
    <row r="123" spans="1:26" ht="12" customHeight="1">
      <c r="A123" s="1862"/>
      <c r="B123" s="1827"/>
      <c r="C123" s="1857" t="s">
        <v>378</v>
      </c>
      <c r="D123" s="1870"/>
      <c r="E123" s="1871">
        <v>-1644100</v>
      </c>
      <c r="F123" s="1860">
        <v>44540</v>
      </c>
      <c r="G123" s="1860">
        <v>44540</v>
      </c>
      <c r="H123" s="1756"/>
      <c r="I123" s="1756"/>
      <c r="J123" s="1756"/>
      <c r="K123" s="1756"/>
      <c r="L123" s="1756"/>
      <c r="M123" s="1756"/>
      <c r="N123" s="1756"/>
      <c r="O123" s="1756"/>
      <c r="P123" s="1756"/>
      <c r="Q123" s="1756"/>
      <c r="R123" s="1756"/>
      <c r="S123" s="1756"/>
      <c r="T123" s="1756"/>
      <c r="U123" s="1756"/>
      <c r="V123" s="1756"/>
      <c r="W123" s="1756"/>
      <c r="X123" s="1756"/>
      <c r="Y123" s="1756"/>
      <c r="Z123" s="1756"/>
    </row>
    <row r="124" spans="1:26" ht="12" customHeight="1">
      <c r="A124" s="1862"/>
      <c r="B124" s="1827"/>
      <c r="C124" s="1857" t="s">
        <v>379</v>
      </c>
      <c r="D124" s="1870"/>
      <c r="E124" s="1871">
        <v>-547700</v>
      </c>
      <c r="F124" s="1860">
        <v>44540</v>
      </c>
      <c r="G124" s="1860">
        <v>44540</v>
      </c>
      <c r="H124" s="1756"/>
      <c r="I124" s="1756"/>
      <c r="J124" s="1756"/>
      <c r="K124" s="1756"/>
      <c r="L124" s="1756"/>
      <c r="M124" s="1756"/>
      <c r="N124" s="1756"/>
      <c r="O124" s="1756"/>
      <c r="P124" s="1756"/>
      <c r="Q124" s="1756"/>
      <c r="R124" s="1756"/>
      <c r="S124" s="1756"/>
      <c r="T124" s="1756"/>
      <c r="U124" s="1756"/>
      <c r="V124" s="1756"/>
      <c r="W124" s="1756"/>
      <c r="X124" s="1756"/>
      <c r="Y124" s="1756"/>
      <c r="Z124" s="1756"/>
    </row>
    <row r="125" spans="1:26" ht="12" customHeight="1">
      <c r="A125" s="1862"/>
      <c r="B125" s="1827"/>
      <c r="C125" s="1857" t="s">
        <v>381</v>
      </c>
      <c r="D125" s="1866"/>
      <c r="E125" s="1871">
        <v>-73200</v>
      </c>
      <c r="F125" s="1860">
        <v>44540</v>
      </c>
      <c r="G125" s="1860">
        <v>44540</v>
      </c>
      <c r="H125" s="1756"/>
      <c r="I125" s="1756"/>
      <c r="J125" s="1756"/>
      <c r="K125" s="1756"/>
      <c r="L125" s="1756"/>
      <c r="M125" s="1756"/>
      <c r="N125" s="1756"/>
      <c r="O125" s="1756"/>
      <c r="P125" s="1756"/>
      <c r="Q125" s="1756"/>
      <c r="R125" s="1756"/>
      <c r="S125" s="1756"/>
      <c r="T125" s="1756"/>
      <c r="U125" s="1756"/>
      <c r="V125" s="1756"/>
      <c r="W125" s="1756"/>
      <c r="X125" s="1756"/>
      <c r="Y125" s="1756"/>
      <c r="Z125" s="1756"/>
    </row>
    <row r="126" spans="1:26" ht="12" customHeight="1">
      <c r="A126" s="1862"/>
      <c r="B126" s="1827"/>
      <c r="C126" s="1857" t="s">
        <v>1346</v>
      </c>
      <c r="D126" s="1866"/>
      <c r="E126" s="1871">
        <v>1000</v>
      </c>
      <c r="F126" s="1860">
        <v>44540</v>
      </c>
      <c r="G126" s="1860">
        <v>44540</v>
      </c>
      <c r="H126" s="1756"/>
      <c r="I126" s="1756"/>
      <c r="J126" s="1756"/>
      <c r="K126" s="1756"/>
      <c r="L126" s="1756"/>
      <c r="M126" s="1756"/>
      <c r="N126" s="1756"/>
      <c r="O126" s="1756"/>
      <c r="P126" s="1756"/>
      <c r="Q126" s="1756"/>
      <c r="R126" s="1756"/>
      <c r="S126" s="1756"/>
      <c r="T126" s="1756"/>
      <c r="U126" s="1756"/>
      <c r="V126" s="1756"/>
      <c r="W126" s="1756"/>
      <c r="X126" s="1756"/>
      <c r="Y126" s="1756"/>
      <c r="Z126" s="1756"/>
    </row>
    <row r="127" spans="1:26" ht="12" customHeight="1">
      <c r="A127" s="1862"/>
      <c r="B127" s="1827"/>
      <c r="C127" s="1857" t="s">
        <v>385</v>
      </c>
      <c r="D127" s="1866"/>
      <c r="E127" s="1871">
        <v>70000</v>
      </c>
      <c r="F127" s="1860">
        <v>44540</v>
      </c>
      <c r="G127" s="1860">
        <v>44540</v>
      </c>
      <c r="H127" s="1756"/>
      <c r="I127" s="1756"/>
      <c r="J127" s="1756"/>
      <c r="K127" s="1756"/>
      <c r="L127" s="1756"/>
      <c r="M127" s="1756"/>
      <c r="N127" s="1756"/>
      <c r="O127" s="1756"/>
      <c r="P127" s="1756"/>
      <c r="Q127" s="1756"/>
      <c r="R127" s="1756"/>
      <c r="S127" s="1756"/>
      <c r="T127" s="1756"/>
      <c r="U127" s="1756"/>
      <c r="V127" s="1756"/>
      <c r="W127" s="1756"/>
      <c r="X127" s="1756"/>
      <c r="Y127" s="1756"/>
      <c r="Z127" s="1756"/>
    </row>
    <row r="128" spans="1:26" ht="12" customHeight="1">
      <c r="A128" s="1861"/>
      <c r="B128" s="1833"/>
      <c r="C128" s="1857" t="s">
        <v>1332</v>
      </c>
      <c r="D128" s="1866"/>
      <c r="E128" s="1871">
        <v>-100000</v>
      </c>
      <c r="F128" s="1860">
        <v>44540</v>
      </c>
      <c r="G128" s="1860">
        <v>44540</v>
      </c>
      <c r="H128" s="1756"/>
      <c r="I128" s="1756"/>
      <c r="J128" s="1756"/>
      <c r="K128" s="1756"/>
      <c r="L128" s="1756"/>
      <c r="M128" s="1756"/>
      <c r="N128" s="1756"/>
      <c r="O128" s="1756"/>
      <c r="P128" s="1756"/>
      <c r="Q128" s="1756"/>
      <c r="R128" s="1756"/>
      <c r="S128" s="1756"/>
      <c r="T128" s="1756"/>
      <c r="U128" s="1756"/>
      <c r="V128" s="1756"/>
      <c r="W128" s="1756"/>
      <c r="X128" s="1756"/>
      <c r="Y128" s="1756"/>
      <c r="Z128" s="1756"/>
    </row>
    <row r="129" spans="1:26" ht="12" customHeight="1">
      <c r="A129" s="1856" t="s">
        <v>1349</v>
      </c>
      <c r="B129" s="1766"/>
      <c r="C129" s="1857" t="s">
        <v>1343</v>
      </c>
      <c r="D129" s="1858">
        <v>1352631</v>
      </c>
      <c r="E129" s="1859"/>
      <c r="F129" s="1860">
        <v>44530</v>
      </c>
      <c r="G129" s="1860">
        <v>44540</v>
      </c>
      <c r="H129" s="1756"/>
      <c r="I129" s="1756"/>
      <c r="J129" s="1756"/>
      <c r="K129" s="1756"/>
      <c r="L129" s="1756"/>
      <c r="M129" s="1756"/>
      <c r="N129" s="1756"/>
      <c r="O129" s="1756"/>
      <c r="P129" s="1756"/>
      <c r="Q129" s="1756"/>
      <c r="R129" s="1756"/>
      <c r="S129" s="1756"/>
      <c r="T129" s="1756"/>
      <c r="U129" s="1756"/>
      <c r="V129" s="1756"/>
      <c r="W129" s="1756"/>
      <c r="X129" s="1756"/>
      <c r="Y129" s="1756"/>
      <c r="Z129" s="1756"/>
    </row>
    <row r="130" spans="1:26" ht="12" customHeight="1">
      <c r="A130" s="1862"/>
      <c r="B130" s="1827"/>
      <c r="C130" s="1857" t="s">
        <v>1343</v>
      </c>
      <c r="D130" s="1858">
        <v>-178200</v>
      </c>
      <c r="E130" s="1859"/>
      <c r="F130" s="1860">
        <v>44530</v>
      </c>
      <c r="G130" s="1860">
        <v>44540</v>
      </c>
      <c r="H130" s="1756"/>
      <c r="I130" s="1756"/>
      <c r="J130" s="1756"/>
      <c r="K130" s="1756"/>
      <c r="L130" s="1756"/>
      <c r="M130" s="1756"/>
      <c r="N130" s="1756"/>
      <c r="O130" s="1756"/>
      <c r="P130" s="1756"/>
      <c r="Q130" s="1756"/>
      <c r="R130" s="1756"/>
      <c r="S130" s="1756"/>
      <c r="T130" s="1756"/>
      <c r="U130" s="1756"/>
      <c r="V130" s="1756"/>
      <c r="W130" s="1756"/>
      <c r="X130" s="1756"/>
      <c r="Y130" s="1756"/>
      <c r="Z130" s="1756"/>
    </row>
    <row r="131" spans="1:26" ht="12" customHeight="1">
      <c r="A131" s="1862"/>
      <c r="B131" s="1827"/>
      <c r="C131" s="1857" t="s">
        <v>1343</v>
      </c>
      <c r="D131" s="1858">
        <v>178200</v>
      </c>
      <c r="E131" s="1859"/>
      <c r="F131" s="1860">
        <v>44530</v>
      </c>
      <c r="G131" s="1860">
        <v>44540</v>
      </c>
      <c r="H131" s="1756"/>
      <c r="I131" s="1756"/>
      <c r="J131" s="1756"/>
      <c r="K131" s="1756"/>
      <c r="L131" s="1756"/>
      <c r="M131" s="1756"/>
      <c r="N131" s="1756"/>
      <c r="O131" s="1756"/>
      <c r="P131" s="1756"/>
      <c r="Q131" s="1756"/>
      <c r="R131" s="1756"/>
      <c r="S131" s="1756"/>
      <c r="T131" s="1756"/>
      <c r="U131" s="1756"/>
      <c r="V131" s="1756"/>
      <c r="W131" s="1756"/>
      <c r="X131" s="1756"/>
      <c r="Y131" s="1756"/>
      <c r="Z131" s="1756"/>
    </row>
    <row r="132" spans="1:26" ht="12" customHeight="1">
      <c r="A132" s="1862"/>
      <c r="B132" s="1827"/>
      <c r="C132" s="1857" t="s">
        <v>377</v>
      </c>
      <c r="D132" s="1867">
        <v>1558620</v>
      </c>
      <c r="E132" s="1859"/>
      <c r="F132" s="1860">
        <v>44530</v>
      </c>
      <c r="G132" s="1860">
        <v>44540</v>
      </c>
      <c r="H132" s="1756"/>
      <c r="I132" s="1756"/>
      <c r="J132" s="1756"/>
      <c r="K132" s="1756"/>
      <c r="L132" s="1756"/>
      <c r="M132" s="1756"/>
      <c r="N132" s="1756"/>
      <c r="O132" s="1756"/>
      <c r="P132" s="1756"/>
      <c r="Q132" s="1756"/>
      <c r="R132" s="1756"/>
      <c r="S132" s="1756"/>
      <c r="T132" s="1756"/>
      <c r="U132" s="1756"/>
      <c r="V132" s="1756"/>
      <c r="W132" s="1756"/>
      <c r="X132" s="1756"/>
      <c r="Y132" s="1756"/>
      <c r="Z132" s="1756"/>
    </row>
    <row r="133" spans="1:26" ht="12" customHeight="1">
      <c r="A133" s="1862"/>
      <c r="B133" s="1827"/>
      <c r="C133" s="1857" t="s">
        <v>378</v>
      </c>
      <c r="D133" s="1867"/>
      <c r="E133" s="1859">
        <v>2240741</v>
      </c>
      <c r="F133" s="1860">
        <v>44530</v>
      </c>
      <c r="G133" s="1860">
        <v>44540</v>
      </c>
      <c r="H133" s="1756"/>
      <c r="I133" s="1756"/>
      <c r="J133" s="1756"/>
      <c r="K133" s="1756"/>
      <c r="L133" s="1756"/>
      <c r="M133" s="1756"/>
      <c r="N133" s="1756"/>
      <c r="O133" s="1756"/>
      <c r="P133" s="1756"/>
      <c r="Q133" s="1756"/>
      <c r="R133" s="1756"/>
      <c r="S133" s="1756"/>
      <c r="T133" s="1756"/>
      <c r="U133" s="1756"/>
      <c r="V133" s="1756"/>
      <c r="W133" s="1756"/>
      <c r="X133" s="1756"/>
      <c r="Y133" s="1756"/>
      <c r="Z133" s="1756"/>
    </row>
    <row r="134" spans="1:26" ht="12" customHeight="1">
      <c r="A134" s="1862"/>
      <c r="B134" s="1827"/>
      <c r="C134" s="1857" t="s">
        <v>379</v>
      </c>
      <c r="D134" s="1867"/>
      <c r="E134" s="1859">
        <v>715570</v>
      </c>
      <c r="F134" s="1860">
        <v>44530</v>
      </c>
      <c r="G134" s="1860">
        <v>44540</v>
      </c>
      <c r="H134" s="1756"/>
      <c r="I134" s="1756"/>
      <c r="J134" s="1756"/>
      <c r="K134" s="1756"/>
      <c r="L134" s="1756"/>
      <c r="M134" s="1756"/>
      <c r="N134" s="1756"/>
      <c r="O134" s="1756"/>
      <c r="P134" s="1756"/>
      <c r="Q134" s="1756"/>
      <c r="R134" s="1756"/>
      <c r="S134" s="1756"/>
      <c r="T134" s="1756"/>
      <c r="U134" s="1756"/>
      <c r="V134" s="1756"/>
      <c r="W134" s="1756"/>
      <c r="X134" s="1756"/>
      <c r="Y134" s="1756"/>
      <c r="Z134" s="1756"/>
    </row>
    <row r="135" spans="1:26" ht="12" customHeight="1">
      <c r="A135" s="1862"/>
      <c r="B135" s="1827"/>
      <c r="C135" s="1857" t="s">
        <v>380</v>
      </c>
      <c r="D135" s="1867"/>
      <c r="E135" s="1859">
        <v>4340</v>
      </c>
      <c r="F135" s="1860">
        <v>44530</v>
      </c>
      <c r="G135" s="1860">
        <v>44540</v>
      </c>
      <c r="H135" s="1756"/>
      <c r="I135" s="1756"/>
      <c r="J135" s="1756"/>
      <c r="K135" s="1756"/>
      <c r="L135" s="1756"/>
      <c r="M135" s="1756"/>
      <c r="N135" s="1756"/>
      <c r="O135" s="1756"/>
      <c r="P135" s="1756"/>
      <c r="Q135" s="1756"/>
      <c r="R135" s="1756"/>
      <c r="S135" s="1756"/>
      <c r="T135" s="1756"/>
      <c r="U135" s="1756"/>
      <c r="V135" s="1756"/>
      <c r="W135" s="1756"/>
      <c r="X135" s="1756"/>
      <c r="Y135" s="1756"/>
      <c r="Z135" s="1756"/>
    </row>
    <row r="136" spans="1:26" ht="12" customHeight="1">
      <c r="A136" s="1862"/>
      <c r="B136" s="1827"/>
      <c r="C136" s="1857" t="s">
        <v>381</v>
      </c>
      <c r="D136" s="1867"/>
      <c r="E136" s="1859">
        <v>128800</v>
      </c>
      <c r="F136" s="1860">
        <v>44530</v>
      </c>
      <c r="G136" s="1860">
        <v>44540</v>
      </c>
      <c r="H136" s="1756"/>
      <c r="I136" s="1756"/>
      <c r="J136" s="1756"/>
      <c r="K136" s="1756"/>
      <c r="L136" s="1756"/>
      <c r="M136" s="1756"/>
      <c r="N136" s="1756"/>
      <c r="O136" s="1756"/>
      <c r="P136" s="1756"/>
      <c r="Q136" s="1756"/>
      <c r="R136" s="1756"/>
      <c r="S136" s="1756"/>
      <c r="T136" s="1756"/>
      <c r="U136" s="1756"/>
      <c r="V136" s="1756"/>
      <c r="W136" s="1756"/>
      <c r="X136" s="1756"/>
      <c r="Y136" s="1756"/>
      <c r="Z136" s="1756"/>
    </row>
    <row r="137" spans="1:26" ht="12" customHeight="1">
      <c r="A137" s="1861"/>
      <c r="B137" s="1833"/>
      <c r="C137" s="1857" t="s">
        <v>381</v>
      </c>
      <c r="D137" s="1866"/>
      <c r="E137" s="1859">
        <v>-178200</v>
      </c>
      <c r="F137" s="1860">
        <v>44530</v>
      </c>
      <c r="G137" s="1860">
        <v>44540</v>
      </c>
      <c r="H137" s="1756"/>
      <c r="I137" s="1756"/>
      <c r="J137" s="1756"/>
      <c r="K137" s="1756"/>
      <c r="L137" s="1756"/>
      <c r="M137" s="1756"/>
      <c r="N137" s="1756"/>
      <c r="O137" s="1756"/>
      <c r="P137" s="1756"/>
      <c r="Q137" s="1756"/>
      <c r="R137" s="1756"/>
      <c r="S137" s="1756"/>
      <c r="T137" s="1756"/>
      <c r="U137" s="1756"/>
      <c r="V137" s="1756"/>
      <c r="W137" s="1756"/>
      <c r="X137" s="1756"/>
      <c r="Y137" s="1756"/>
      <c r="Z137" s="1756"/>
    </row>
    <row r="138" spans="1:26" ht="12" customHeight="1">
      <c r="A138" s="1856" t="s">
        <v>1350</v>
      </c>
      <c r="B138" s="1766"/>
      <c r="C138" s="1857" t="s">
        <v>377</v>
      </c>
      <c r="D138" s="1858">
        <v>300000</v>
      </c>
      <c r="E138" s="1859"/>
      <c r="F138" s="1860">
        <v>44530</v>
      </c>
      <c r="G138" s="1860">
        <v>44545</v>
      </c>
      <c r="H138" s="1756"/>
      <c r="I138" s="1756"/>
      <c r="J138" s="1756"/>
      <c r="K138" s="1756"/>
      <c r="L138" s="1756"/>
      <c r="M138" s="1756"/>
      <c r="N138" s="1756"/>
      <c r="O138" s="1756"/>
      <c r="P138" s="1756"/>
      <c r="Q138" s="1756"/>
      <c r="R138" s="1756"/>
      <c r="S138" s="1756"/>
      <c r="T138" s="1756"/>
      <c r="U138" s="1756"/>
      <c r="V138" s="1756"/>
      <c r="W138" s="1756"/>
      <c r="X138" s="1756"/>
      <c r="Y138" s="1756"/>
      <c r="Z138" s="1756"/>
    </row>
    <row r="139" spans="1:26" ht="12" customHeight="1">
      <c r="A139" s="1862"/>
      <c r="B139" s="1827"/>
      <c r="C139" s="1857" t="s">
        <v>385</v>
      </c>
      <c r="D139" s="1866"/>
      <c r="E139" s="1859">
        <v>300000</v>
      </c>
      <c r="F139" s="1860">
        <v>44530</v>
      </c>
      <c r="G139" s="1860">
        <v>44545</v>
      </c>
      <c r="H139" s="1756"/>
      <c r="I139" s="1756"/>
      <c r="J139" s="1756"/>
      <c r="K139" s="1756"/>
      <c r="L139" s="1756"/>
      <c r="M139" s="1756"/>
      <c r="N139" s="1756"/>
      <c r="O139" s="1756"/>
      <c r="P139" s="1756"/>
      <c r="Q139" s="1756"/>
      <c r="R139" s="1756"/>
      <c r="S139" s="1756"/>
      <c r="T139" s="1756"/>
      <c r="U139" s="1756"/>
      <c r="V139" s="1756"/>
      <c r="W139" s="1756"/>
      <c r="X139" s="1756"/>
      <c r="Y139" s="1756"/>
      <c r="Z139" s="1756"/>
    </row>
    <row r="140" spans="1:26" ht="12" customHeight="1">
      <c r="A140" s="1862"/>
      <c r="B140" s="1827"/>
      <c r="C140" s="1857" t="s">
        <v>377</v>
      </c>
      <c r="D140" s="1858">
        <v>44671</v>
      </c>
      <c r="E140" s="1859"/>
      <c r="F140" s="1860">
        <v>44530</v>
      </c>
      <c r="G140" s="1860">
        <v>44545</v>
      </c>
      <c r="H140" s="1756"/>
      <c r="I140" s="1756"/>
      <c r="J140" s="1756"/>
      <c r="K140" s="1756"/>
      <c r="L140" s="1756"/>
      <c r="M140" s="1756"/>
      <c r="N140" s="1756"/>
      <c r="O140" s="1756"/>
      <c r="P140" s="1756"/>
      <c r="Q140" s="1756"/>
      <c r="R140" s="1756"/>
      <c r="S140" s="1756"/>
      <c r="T140" s="1756"/>
      <c r="U140" s="1756"/>
      <c r="V140" s="1756"/>
      <c r="W140" s="1756"/>
      <c r="X140" s="1756"/>
      <c r="Y140" s="1756"/>
      <c r="Z140" s="1756"/>
    </row>
    <row r="141" spans="1:26" ht="12" customHeight="1">
      <c r="A141" s="1862"/>
      <c r="B141" s="1827"/>
      <c r="C141" s="1857" t="s">
        <v>385</v>
      </c>
      <c r="D141" s="1866"/>
      <c r="E141" s="1859">
        <v>44671</v>
      </c>
      <c r="F141" s="1860">
        <v>44530</v>
      </c>
      <c r="G141" s="1860">
        <v>44545</v>
      </c>
      <c r="H141" s="1756"/>
      <c r="I141" s="1756"/>
      <c r="J141" s="1756"/>
      <c r="K141" s="1756"/>
      <c r="L141" s="1756"/>
      <c r="M141" s="1756"/>
      <c r="N141" s="1756"/>
      <c r="O141" s="1756"/>
      <c r="P141" s="1756"/>
      <c r="Q141" s="1756"/>
      <c r="R141" s="1756"/>
      <c r="S141" s="1756"/>
      <c r="T141" s="1756"/>
      <c r="U141" s="1756"/>
      <c r="V141" s="1756"/>
      <c r="W141" s="1756"/>
      <c r="X141" s="1756"/>
      <c r="Y141" s="1756"/>
      <c r="Z141" s="1756"/>
    </row>
    <row r="142" spans="1:26" ht="12" customHeight="1">
      <c r="A142" s="1862"/>
      <c r="B142" s="1827"/>
      <c r="C142" s="1857" t="s">
        <v>377</v>
      </c>
      <c r="D142" s="1858">
        <v>225449</v>
      </c>
      <c r="E142" s="1859"/>
      <c r="F142" s="1860">
        <v>44530</v>
      </c>
      <c r="G142" s="1860">
        <v>44545</v>
      </c>
      <c r="H142" s="1756"/>
      <c r="I142" s="1756"/>
      <c r="J142" s="1756"/>
      <c r="K142" s="1756"/>
      <c r="L142" s="1756"/>
      <c r="M142" s="1756"/>
      <c r="N142" s="1756"/>
      <c r="O142" s="1756"/>
      <c r="P142" s="1756"/>
      <c r="Q142" s="1756"/>
      <c r="R142" s="1756"/>
      <c r="S142" s="1756"/>
      <c r="T142" s="1756"/>
      <c r="U142" s="1756"/>
      <c r="V142" s="1756"/>
      <c r="W142" s="1756"/>
      <c r="X142" s="1756"/>
      <c r="Y142" s="1756"/>
      <c r="Z142" s="1756"/>
    </row>
    <row r="143" spans="1:26" ht="12" customHeight="1">
      <c r="A143" s="1861"/>
      <c r="B143" s="1833"/>
      <c r="C143" s="1857" t="s">
        <v>381</v>
      </c>
      <c r="D143" s="1866"/>
      <c r="E143" s="1859">
        <v>225449</v>
      </c>
      <c r="F143" s="1860">
        <v>44530</v>
      </c>
      <c r="G143" s="1860">
        <v>44545</v>
      </c>
      <c r="H143" s="1756"/>
      <c r="I143" s="1756"/>
      <c r="J143" s="1756"/>
      <c r="K143" s="1756"/>
      <c r="L143" s="1756"/>
      <c r="M143" s="1756"/>
      <c r="N143" s="1756"/>
      <c r="O143" s="1756"/>
      <c r="P143" s="1756"/>
      <c r="Q143" s="1756"/>
      <c r="R143" s="1756"/>
      <c r="S143" s="1756"/>
      <c r="T143" s="1756"/>
      <c r="U143" s="1756"/>
      <c r="V143" s="1756"/>
      <c r="W143" s="1756"/>
      <c r="X143" s="1756"/>
      <c r="Y143" s="1756"/>
      <c r="Z143" s="1756"/>
    </row>
    <row r="144" spans="1:26" ht="12" customHeight="1">
      <c r="A144" s="1856" t="s">
        <v>1351</v>
      </c>
      <c r="B144" s="1766"/>
      <c r="C144" s="1857" t="s">
        <v>377</v>
      </c>
      <c r="D144" s="1858">
        <v>20822</v>
      </c>
      <c r="E144" s="1859"/>
      <c r="F144" s="1860">
        <v>44530</v>
      </c>
      <c r="G144" s="1860">
        <v>44545</v>
      </c>
      <c r="H144" s="1756"/>
      <c r="I144" s="1756"/>
      <c r="J144" s="1756"/>
      <c r="K144" s="1756"/>
      <c r="L144" s="1756"/>
      <c r="M144" s="1756"/>
      <c r="N144" s="1756"/>
      <c r="O144" s="1756"/>
      <c r="P144" s="1756"/>
      <c r="Q144" s="1756"/>
      <c r="R144" s="1756"/>
      <c r="S144" s="1756"/>
      <c r="T144" s="1756"/>
      <c r="U144" s="1756"/>
      <c r="V144" s="1756"/>
      <c r="W144" s="1756"/>
      <c r="X144" s="1756"/>
      <c r="Y144" s="1756"/>
      <c r="Z144" s="1756"/>
    </row>
    <row r="145" spans="1:26" ht="12" customHeight="1">
      <c r="A145" s="1862"/>
      <c r="B145" s="1827"/>
      <c r="C145" s="1857" t="s">
        <v>1352</v>
      </c>
      <c r="D145" s="1858">
        <v>2360</v>
      </c>
      <c r="E145" s="1859"/>
      <c r="F145" s="1860">
        <v>44530</v>
      </c>
      <c r="G145" s="1860">
        <v>44545</v>
      </c>
      <c r="H145" s="1756"/>
      <c r="I145" s="1756"/>
      <c r="J145" s="1756"/>
      <c r="K145" s="1756"/>
      <c r="L145" s="1756"/>
      <c r="M145" s="1756"/>
      <c r="N145" s="1756"/>
      <c r="O145" s="1756"/>
      <c r="P145" s="1756"/>
      <c r="Q145" s="1756"/>
      <c r="R145" s="1756"/>
      <c r="S145" s="1756"/>
      <c r="T145" s="1756"/>
      <c r="U145" s="1756"/>
      <c r="V145" s="1756"/>
      <c r="W145" s="1756"/>
      <c r="X145" s="1756"/>
      <c r="Y145" s="1756"/>
      <c r="Z145" s="1756"/>
    </row>
    <row r="146" spans="1:26" ht="12" customHeight="1">
      <c r="A146" s="1861"/>
      <c r="B146" s="1833"/>
      <c r="C146" s="1857" t="s">
        <v>384</v>
      </c>
      <c r="D146" s="1866"/>
      <c r="E146" s="1859">
        <v>23182</v>
      </c>
      <c r="F146" s="1860">
        <v>44530</v>
      </c>
      <c r="G146" s="1860">
        <v>44545</v>
      </c>
      <c r="H146" s="1756"/>
      <c r="I146" s="1756"/>
      <c r="J146" s="1756"/>
      <c r="K146" s="1756"/>
      <c r="L146" s="1756"/>
      <c r="M146" s="1756"/>
      <c r="N146" s="1756"/>
      <c r="O146" s="1756"/>
      <c r="P146" s="1756"/>
      <c r="Q146" s="1756"/>
      <c r="R146" s="1756"/>
      <c r="S146" s="1756"/>
      <c r="T146" s="1756"/>
      <c r="U146" s="1756"/>
      <c r="V146" s="1756"/>
      <c r="W146" s="1756"/>
      <c r="X146" s="1756"/>
      <c r="Y146" s="1756"/>
      <c r="Z146" s="1756"/>
    </row>
    <row r="147" spans="1:26" ht="12" customHeight="1">
      <c r="A147" s="1856" t="s">
        <v>1353</v>
      </c>
      <c r="B147" s="1766"/>
      <c r="C147" s="1857" t="s">
        <v>383</v>
      </c>
      <c r="D147" s="1858"/>
      <c r="E147" s="1859">
        <v>-6916</v>
      </c>
      <c r="F147" s="1860">
        <v>44530</v>
      </c>
      <c r="G147" s="1860">
        <v>44545</v>
      </c>
      <c r="H147" s="1756"/>
      <c r="I147" s="1756"/>
      <c r="J147" s="1756"/>
      <c r="K147" s="1756"/>
      <c r="L147" s="1756"/>
      <c r="M147" s="1756"/>
      <c r="N147" s="1756"/>
      <c r="O147" s="1756"/>
      <c r="P147" s="1756"/>
      <c r="Q147" s="1756"/>
      <c r="R147" s="1756"/>
      <c r="S147" s="1756"/>
      <c r="T147" s="1756"/>
      <c r="U147" s="1756"/>
      <c r="V147" s="1756"/>
      <c r="W147" s="1756"/>
      <c r="X147" s="1756"/>
      <c r="Y147" s="1756"/>
      <c r="Z147" s="1756"/>
    </row>
    <row r="148" spans="1:26" ht="12" customHeight="1">
      <c r="A148" s="1861"/>
      <c r="B148" s="1833"/>
      <c r="C148" s="1857" t="s">
        <v>384</v>
      </c>
      <c r="D148" s="1866"/>
      <c r="E148" s="1859">
        <v>6916</v>
      </c>
      <c r="F148" s="1860">
        <v>44530</v>
      </c>
      <c r="G148" s="1860">
        <v>44545</v>
      </c>
      <c r="H148" s="1756"/>
      <c r="I148" s="1756"/>
      <c r="J148" s="1756"/>
      <c r="K148" s="1756"/>
      <c r="L148" s="1756"/>
      <c r="M148" s="1756"/>
      <c r="N148" s="1756"/>
      <c r="O148" s="1756"/>
      <c r="P148" s="1756"/>
      <c r="Q148" s="1756"/>
      <c r="R148" s="1756"/>
      <c r="S148" s="1756"/>
      <c r="T148" s="1756"/>
      <c r="U148" s="1756"/>
      <c r="V148" s="1756"/>
      <c r="W148" s="1756"/>
      <c r="X148" s="1756"/>
      <c r="Y148" s="1756"/>
      <c r="Z148" s="1756"/>
    </row>
    <row r="149" spans="1:26" ht="12" customHeight="1">
      <c r="A149" s="1856" t="s">
        <v>1354</v>
      </c>
      <c r="B149" s="1766"/>
      <c r="C149" s="1857" t="s">
        <v>382</v>
      </c>
      <c r="D149" s="1858">
        <v>40000</v>
      </c>
      <c r="E149" s="1859"/>
      <c r="F149" s="1860">
        <v>44561</v>
      </c>
      <c r="G149" s="1860">
        <v>44561</v>
      </c>
      <c r="H149" s="1756"/>
      <c r="I149" s="1756"/>
      <c r="J149" s="1756"/>
      <c r="K149" s="1756"/>
      <c r="L149" s="1756"/>
      <c r="M149" s="1756"/>
      <c r="N149" s="1756"/>
      <c r="O149" s="1756"/>
      <c r="P149" s="1756"/>
      <c r="Q149" s="1756"/>
      <c r="R149" s="1756"/>
      <c r="S149" s="1756"/>
      <c r="T149" s="1756"/>
      <c r="U149" s="1756"/>
      <c r="V149" s="1756"/>
      <c r="W149" s="1756"/>
      <c r="X149" s="1756"/>
      <c r="Y149" s="1756"/>
      <c r="Z149" s="1756"/>
    </row>
    <row r="150" spans="1:26" ht="12" customHeight="1">
      <c r="A150" s="1861"/>
      <c r="B150" s="1833"/>
      <c r="C150" s="1857" t="s">
        <v>378</v>
      </c>
      <c r="D150" s="1866"/>
      <c r="E150" s="1859">
        <v>40000</v>
      </c>
      <c r="F150" s="1860">
        <v>44561</v>
      </c>
      <c r="G150" s="1860">
        <v>44561</v>
      </c>
      <c r="H150" s="1756"/>
      <c r="I150" s="1756"/>
      <c r="J150" s="1756"/>
      <c r="K150" s="1756"/>
      <c r="L150" s="1756"/>
      <c r="M150" s="1756"/>
      <c r="N150" s="1756"/>
      <c r="O150" s="1756"/>
      <c r="P150" s="1756"/>
      <c r="Q150" s="1756"/>
      <c r="R150" s="1756"/>
      <c r="S150" s="1756"/>
      <c r="T150" s="1756"/>
      <c r="U150" s="1756"/>
      <c r="V150" s="1756"/>
      <c r="W150" s="1756"/>
      <c r="X150" s="1756"/>
      <c r="Y150" s="1756"/>
      <c r="Z150" s="1756"/>
    </row>
    <row r="151" spans="1:26" ht="12" customHeight="1">
      <c r="A151" s="1856" t="s">
        <v>1355</v>
      </c>
      <c r="B151" s="1766"/>
      <c r="C151" s="1857" t="s">
        <v>1343</v>
      </c>
      <c r="D151" s="1858">
        <v>-571000</v>
      </c>
      <c r="E151" s="1859"/>
      <c r="F151" s="1860">
        <v>44561</v>
      </c>
      <c r="G151" s="1860">
        <v>44561</v>
      </c>
      <c r="H151" s="1756"/>
      <c r="I151" s="1756"/>
      <c r="J151" s="1756"/>
      <c r="K151" s="1756"/>
      <c r="L151" s="1756"/>
      <c r="M151" s="1756"/>
      <c r="N151" s="1756"/>
      <c r="O151" s="1756"/>
      <c r="P151" s="1756"/>
      <c r="Q151" s="1756"/>
      <c r="R151" s="1756"/>
      <c r="S151" s="1756"/>
      <c r="T151" s="1756"/>
      <c r="U151" s="1756"/>
      <c r="V151" s="1756"/>
      <c r="W151" s="1756"/>
      <c r="X151" s="1756"/>
      <c r="Y151" s="1756"/>
      <c r="Z151" s="1756"/>
    </row>
    <row r="152" spans="1:26" ht="12" customHeight="1">
      <c r="A152" s="1862"/>
      <c r="B152" s="1827"/>
      <c r="C152" s="1857" t="s">
        <v>386</v>
      </c>
      <c r="D152" s="1867"/>
      <c r="E152" s="1859">
        <v>-133000</v>
      </c>
      <c r="F152" s="1860">
        <v>44561</v>
      </c>
      <c r="G152" s="1860">
        <v>44561</v>
      </c>
      <c r="H152" s="1756"/>
      <c r="I152" s="1756"/>
      <c r="J152" s="1756"/>
      <c r="K152" s="1756"/>
      <c r="L152" s="1756"/>
      <c r="M152" s="1756"/>
      <c r="N152" s="1756"/>
      <c r="O152" s="1756"/>
      <c r="P152" s="1756"/>
      <c r="Q152" s="1756"/>
      <c r="R152" s="1756"/>
      <c r="S152" s="1756"/>
      <c r="T152" s="1756"/>
      <c r="U152" s="1756"/>
      <c r="V152" s="1756"/>
      <c r="W152" s="1756"/>
      <c r="X152" s="1756"/>
      <c r="Y152" s="1756"/>
      <c r="Z152" s="1756"/>
    </row>
    <row r="153" spans="1:26" ht="12" customHeight="1">
      <c r="A153" s="1861"/>
      <c r="B153" s="1833"/>
      <c r="C153" s="1857" t="s">
        <v>383</v>
      </c>
      <c r="D153" s="1867"/>
      <c r="E153" s="1859">
        <v>-438000</v>
      </c>
      <c r="F153" s="1860">
        <v>44561</v>
      </c>
      <c r="G153" s="1860">
        <v>44561</v>
      </c>
      <c r="H153" s="1756"/>
      <c r="I153" s="1756"/>
      <c r="J153" s="1756"/>
      <c r="K153" s="1756"/>
      <c r="L153" s="1756"/>
      <c r="M153" s="1756"/>
      <c r="N153" s="1756"/>
      <c r="O153" s="1756"/>
      <c r="P153" s="1756"/>
      <c r="Q153" s="1756"/>
      <c r="R153" s="1756"/>
      <c r="S153" s="1756"/>
      <c r="T153" s="1756"/>
      <c r="U153" s="1756"/>
      <c r="V153" s="1756"/>
      <c r="W153" s="1756"/>
      <c r="X153" s="1756"/>
      <c r="Y153" s="1756"/>
      <c r="Z153" s="1756"/>
    </row>
    <row r="154" spans="1:26" ht="21" customHeight="1">
      <c r="A154" s="1856" t="s">
        <v>1356</v>
      </c>
      <c r="B154" s="1766"/>
      <c r="C154" s="1857" t="s">
        <v>388</v>
      </c>
      <c r="D154" s="1858"/>
      <c r="E154" s="1859">
        <v>-258000</v>
      </c>
      <c r="F154" s="1860">
        <v>44595</v>
      </c>
      <c r="G154" s="1860">
        <v>44561</v>
      </c>
      <c r="H154" s="1756"/>
      <c r="I154" s="1756"/>
      <c r="J154" s="1756"/>
      <c r="K154" s="1756"/>
      <c r="L154" s="1756"/>
      <c r="M154" s="1756"/>
      <c r="N154" s="1756"/>
      <c r="O154" s="1756"/>
      <c r="P154" s="1756"/>
      <c r="Q154" s="1756"/>
      <c r="R154" s="1756"/>
      <c r="S154" s="1756"/>
      <c r="T154" s="1756"/>
      <c r="U154" s="1756"/>
      <c r="V154" s="1756"/>
      <c r="W154" s="1756"/>
      <c r="X154" s="1756"/>
      <c r="Y154" s="1756"/>
      <c r="Z154" s="1756"/>
    </row>
    <row r="155" spans="1:26" ht="21" customHeight="1">
      <c r="A155" s="1861"/>
      <c r="B155" s="1833"/>
      <c r="C155" s="1857" t="s">
        <v>376</v>
      </c>
      <c r="D155" s="1866"/>
      <c r="E155" s="1859">
        <v>258000</v>
      </c>
      <c r="F155" s="1860">
        <v>44595</v>
      </c>
      <c r="G155" s="1860">
        <v>44561</v>
      </c>
      <c r="H155" s="1756"/>
      <c r="I155" s="1756"/>
      <c r="J155" s="1756"/>
      <c r="K155" s="1756"/>
      <c r="L155" s="1756"/>
      <c r="M155" s="1756"/>
      <c r="N155" s="1756"/>
      <c r="O155" s="1756"/>
      <c r="P155" s="1756"/>
      <c r="Q155" s="1756"/>
      <c r="R155" s="1756"/>
      <c r="S155" s="1756"/>
      <c r="T155" s="1756"/>
      <c r="U155" s="1756"/>
      <c r="V155" s="1756"/>
      <c r="W155" s="1756"/>
      <c r="X155" s="1756"/>
      <c r="Y155" s="1756"/>
      <c r="Z155" s="1756"/>
    </row>
    <row r="156" spans="1:26" ht="9.75" customHeight="1">
      <c r="A156" s="1872" t="s">
        <v>458</v>
      </c>
      <c r="B156" s="1832"/>
      <c r="C156" s="1873"/>
      <c r="D156" s="1874">
        <f t="shared" ref="D156:E156" si="3">SUM(D56:D155)</f>
        <v>8607754</v>
      </c>
      <c r="E156" s="1874">
        <f t="shared" si="3"/>
        <v>8607754</v>
      </c>
      <c r="F156" s="1875"/>
      <c r="G156" s="1833"/>
      <c r="H156" s="1756"/>
      <c r="I156" s="1756"/>
      <c r="J156" s="1756"/>
      <c r="K156" s="1756"/>
      <c r="L156" s="1756"/>
      <c r="M156" s="1756"/>
      <c r="N156" s="1756"/>
      <c r="O156" s="1756"/>
      <c r="P156" s="1756"/>
      <c r="Q156" s="1756"/>
      <c r="R156" s="1756"/>
      <c r="S156" s="1756"/>
      <c r="T156" s="1756"/>
      <c r="U156" s="1756"/>
      <c r="V156" s="1756"/>
      <c r="W156" s="1756"/>
      <c r="X156" s="1756"/>
      <c r="Y156" s="1756"/>
      <c r="Z156" s="1756"/>
    </row>
    <row r="157" spans="1:26" ht="12.75" customHeight="1">
      <c r="A157" s="1876"/>
      <c r="B157" s="1876"/>
      <c r="C157" s="1877"/>
      <c r="D157" s="1877"/>
      <c r="E157" s="1878"/>
      <c r="F157" s="1756"/>
      <c r="G157" s="1756"/>
      <c r="H157" s="1756"/>
      <c r="I157" s="1756"/>
      <c r="J157" s="1756"/>
      <c r="K157" s="1756"/>
      <c r="L157" s="1756"/>
      <c r="M157" s="1756"/>
      <c r="N157" s="1756"/>
      <c r="O157" s="1756"/>
      <c r="P157" s="1756"/>
      <c r="Q157" s="1756"/>
      <c r="R157" s="1756"/>
      <c r="S157" s="1756"/>
      <c r="T157" s="1756"/>
      <c r="U157" s="1756"/>
      <c r="V157" s="1756"/>
      <c r="W157" s="1756"/>
      <c r="X157" s="1756"/>
      <c r="Y157" s="1756"/>
      <c r="Z157" s="1756"/>
    </row>
    <row r="158" spans="1:26" ht="12.75" customHeight="1">
      <c r="A158" s="1753" t="s">
        <v>459</v>
      </c>
      <c r="B158" s="1754"/>
      <c r="C158" s="1754"/>
      <c r="D158" s="1754"/>
      <c r="E158" s="1754"/>
      <c r="F158" s="1754"/>
      <c r="G158" s="1754"/>
      <c r="H158" s="1754"/>
      <c r="I158" s="1754"/>
      <c r="J158" s="1756"/>
      <c r="K158" s="1756"/>
      <c r="L158" s="1756"/>
      <c r="M158" s="1756"/>
      <c r="N158" s="1756"/>
      <c r="O158" s="1756"/>
      <c r="P158" s="1756"/>
      <c r="Q158" s="1756"/>
      <c r="R158" s="1756"/>
      <c r="S158" s="1756"/>
      <c r="T158" s="1756"/>
      <c r="U158" s="1756"/>
      <c r="V158" s="1756"/>
      <c r="W158" s="1756"/>
      <c r="X158" s="1756"/>
      <c r="Y158" s="1756"/>
      <c r="Z158" s="1756"/>
    </row>
    <row r="159" spans="1:26" ht="12.75" customHeight="1">
      <c r="A159" s="1756" t="s">
        <v>90</v>
      </c>
      <c r="B159" s="1756"/>
      <c r="C159" s="1756"/>
      <c r="D159" s="1756"/>
      <c r="E159" s="1756"/>
      <c r="F159" s="1756"/>
      <c r="G159" s="1756"/>
      <c r="H159" s="1756"/>
      <c r="I159" s="1756"/>
      <c r="J159" s="1756"/>
      <c r="K159" s="1756"/>
      <c r="L159" s="1756"/>
      <c r="M159" s="1756"/>
      <c r="N159" s="1756"/>
      <c r="O159" s="1756"/>
      <c r="P159" s="1756"/>
      <c r="Q159" s="1756"/>
      <c r="R159" s="1756"/>
      <c r="S159" s="1756"/>
      <c r="T159" s="1756"/>
      <c r="U159" s="1756"/>
      <c r="V159" s="1756"/>
      <c r="W159" s="1756"/>
      <c r="X159" s="1756"/>
      <c r="Y159" s="1756"/>
      <c r="Z159" s="1756"/>
    </row>
    <row r="160" spans="1:26" ht="12.75" customHeight="1">
      <c r="A160" s="1879" t="s">
        <v>1357</v>
      </c>
      <c r="B160" s="1777"/>
      <c r="C160" s="1777"/>
      <c r="D160" s="1777"/>
      <c r="E160" s="1777"/>
      <c r="F160" s="1777"/>
      <c r="G160" s="1777"/>
      <c r="H160" s="1777"/>
      <c r="I160" s="1774"/>
      <c r="J160" s="1756"/>
      <c r="K160" s="1756"/>
      <c r="L160" s="1756"/>
      <c r="M160" s="1756"/>
      <c r="N160" s="1756"/>
      <c r="O160" s="1756"/>
      <c r="P160" s="1756"/>
      <c r="Q160" s="1756"/>
      <c r="R160" s="1756"/>
      <c r="S160" s="1756"/>
      <c r="T160" s="1756"/>
      <c r="U160" s="1756"/>
      <c r="V160" s="1756"/>
      <c r="W160" s="1756"/>
      <c r="X160" s="1756"/>
      <c r="Y160" s="1756"/>
      <c r="Z160" s="1756"/>
    </row>
    <row r="161" spans="1:26" ht="12.75" customHeight="1">
      <c r="A161" s="1880"/>
      <c r="B161" s="1777"/>
      <c r="C161" s="1777"/>
      <c r="D161" s="1777"/>
      <c r="E161" s="1777"/>
      <c r="F161" s="1777"/>
      <c r="G161" s="1777"/>
      <c r="H161" s="1777"/>
      <c r="I161" s="1774"/>
      <c r="J161" s="1756"/>
      <c r="K161" s="1756"/>
      <c r="L161" s="1756"/>
      <c r="M161" s="1756"/>
      <c r="N161" s="1756"/>
      <c r="O161" s="1756"/>
      <c r="P161" s="1756"/>
      <c r="Q161" s="1756"/>
      <c r="R161" s="1756"/>
      <c r="S161" s="1756"/>
      <c r="T161" s="1756"/>
      <c r="U161" s="1756"/>
      <c r="V161" s="1756"/>
      <c r="W161" s="1756"/>
      <c r="X161" s="1756"/>
      <c r="Y161" s="1756"/>
      <c r="Z161" s="1756"/>
    </row>
    <row r="162" spans="1:26" ht="0.75" customHeight="1">
      <c r="A162" s="1880"/>
      <c r="B162" s="1777"/>
      <c r="C162" s="1777"/>
      <c r="D162" s="1777"/>
      <c r="E162" s="1777"/>
      <c r="F162" s="1777"/>
      <c r="G162" s="1777"/>
      <c r="H162" s="1777"/>
      <c r="I162" s="1774"/>
      <c r="J162" s="1756"/>
      <c r="K162" s="1756"/>
      <c r="L162" s="1756"/>
      <c r="M162" s="1756"/>
      <c r="N162" s="1756"/>
      <c r="O162" s="1756"/>
      <c r="P162" s="1756"/>
      <c r="Q162" s="1756"/>
      <c r="R162" s="1756"/>
      <c r="S162" s="1756"/>
      <c r="T162" s="1756"/>
      <c r="U162" s="1756"/>
      <c r="V162" s="1756"/>
      <c r="W162" s="1756"/>
      <c r="X162" s="1756"/>
      <c r="Y162" s="1756"/>
      <c r="Z162" s="1756"/>
    </row>
    <row r="163" spans="1:26" ht="12.75" hidden="1" customHeight="1">
      <c r="A163" s="1756"/>
      <c r="B163" s="1756"/>
      <c r="C163" s="1756"/>
      <c r="D163" s="1756"/>
      <c r="E163" s="1756"/>
      <c r="F163" s="1756"/>
      <c r="G163" s="1756"/>
      <c r="H163" s="1756"/>
      <c r="I163" s="1756"/>
      <c r="J163" s="1756"/>
      <c r="K163" s="1756"/>
      <c r="L163" s="1756"/>
      <c r="M163" s="1756"/>
      <c r="N163" s="1756"/>
      <c r="O163" s="1756"/>
      <c r="P163" s="1756"/>
      <c r="Q163" s="1756"/>
      <c r="R163" s="1756"/>
      <c r="S163" s="1756"/>
      <c r="T163" s="1756"/>
      <c r="U163" s="1756"/>
      <c r="V163" s="1756"/>
      <c r="W163" s="1756"/>
      <c r="X163" s="1756"/>
      <c r="Y163" s="1756"/>
      <c r="Z163" s="1756"/>
    </row>
    <row r="164" spans="1:26" ht="12.75" customHeight="1">
      <c r="A164" s="1753" t="s">
        <v>461</v>
      </c>
      <c r="B164" s="1754"/>
      <c r="C164" s="1754"/>
      <c r="D164" s="1754"/>
      <c r="E164" s="1754"/>
      <c r="F164" s="1754"/>
      <c r="G164" s="1754"/>
      <c r="H164" s="1754"/>
      <c r="I164" s="1754"/>
      <c r="J164" s="1755"/>
      <c r="K164" s="1755"/>
      <c r="L164" s="1755"/>
      <c r="M164" s="1755"/>
      <c r="N164" s="1755"/>
      <c r="O164" s="1755"/>
      <c r="P164" s="1755"/>
      <c r="Q164" s="1755"/>
      <c r="R164" s="1755"/>
      <c r="S164" s="1755"/>
      <c r="T164" s="1755"/>
      <c r="U164" s="1755"/>
      <c r="V164" s="1755"/>
      <c r="W164" s="1755"/>
      <c r="X164" s="1755"/>
      <c r="Y164" s="1755"/>
      <c r="Z164" s="1755"/>
    </row>
    <row r="165" spans="1:26" ht="12.75" customHeight="1">
      <c r="A165" s="1756" t="s">
        <v>90</v>
      </c>
      <c r="B165" s="1756"/>
      <c r="C165" s="1756"/>
      <c r="D165" s="1756"/>
      <c r="E165" s="1756"/>
      <c r="F165" s="1756"/>
      <c r="G165" s="1756"/>
      <c r="H165" s="1756"/>
      <c r="I165" s="1756"/>
      <c r="J165" s="1756"/>
      <c r="K165" s="1756"/>
      <c r="L165" s="1756"/>
      <c r="M165" s="1756"/>
      <c r="N165" s="1756"/>
      <c r="O165" s="1756"/>
      <c r="P165" s="1756"/>
      <c r="Q165" s="1756"/>
      <c r="R165" s="1756"/>
      <c r="S165" s="1756"/>
      <c r="T165" s="1756"/>
      <c r="U165" s="1756"/>
      <c r="V165" s="1756"/>
      <c r="W165" s="1756"/>
      <c r="X165" s="1756"/>
      <c r="Y165" s="1756"/>
      <c r="Z165" s="1756"/>
    </row>
    <row r="166" spans="1:26" ht="48" customHeight="1">
      <c r="A166" s="1776" t="s">
        <v>1358</v>
      </c>
      <c r="B166" s="1777"/>
      <c r="C166" s="1777"/>
      <c r="D166" s="1777"/>
      <c r="E166" s="1777"/>
      <c r="F166" s="1777"/>
      <c r="G166" s="1777"/>
      <c r="H166" s="1777"/>
      <c r="I166" s="1774"/>
      <c r="J166" s="1756"/>
      <c r="K166" s="1756"/>
      <c r="L166" s="1756"/>
      <c r="M166" s="1756"/>
      <c r="N166" s="1756"/>
      <c r="O166" s="1756"/>
      <c r="P166" s="1756"/>
      <c r="Q166" s="1756"/>
      <c r="R166" s="1756"/>
      <c r="S166" s="1756"/>
      <c r="T166" s="1756"/>
      <c r="U166" s="1756"/>
      <c r="V166" s="1756"/>
      <c r="W166" s="1756"/>
      <c r="X166" s="1756"/>
      <c r="Y166" s="1756"/>
      <c r="Z166" s="1756"/>
    </row>
    <row r="167" spans="1:26" ht="15.75" customHeight="1">
      <c r="A167" s="1880"/>
      <c r="B167" s="1777"/>
      <c r="C167" s="1777"/>
      <c r="D167" s="1777"/>
      <c r="E167" s="1777"/>
      <c r="F167" s="1777"/>
      <c r="G167" s="1777"/>
      <c r="H167" s="1777"/>
      <c r="I167" s="1774"/>
      <c r="J167" s="1756"/>
      <c r="K167" s="1756"/>
      <c r="L167" s="1756"/>
      <c r="M167" s="1756"/>
      <c r="N167" s="1756"/>
      <c r="O167" s="1756"/>
      <c r="P167" s="1756"/>
      <c r="Q167" s="1756"/>
      <c r="R167" s="1756"/>
      <c r="S167" s="1756"/>
      <c r="T167" s="1756"/>
      <c r="U167" s="1756"/>
      <c r="V167" s="1756"/>
      <c r="W167" s="1756"/>
      <c r="X167" s="1756"/>
      <c r="Y167" s="1756"/>
      <c r="Z167" s="1756"/>
    </row>
    <row r="168" spans="1:26" ht="15.75" customHeight="1">
      <c r="A168" s="1876"/>
      <c r="B168" s="1876"/>
      <c r="C168" s="1876"/>
      <c r="D168" s="1876"/>
      <c r="E168" s="1876"/>
      <c r="F168" s="1876"/>
      <c r="G168" s="1876"/>
      <c r="H168" s="1876"/>
      <c r="I168" s="1876"/>
      <c r="J168" s="1756"/>
      <c r="K168" s="1756"/>
      <c r="L168" s="1756"/>
      <c r="M168" s="1756"/>
      <c r="N168" s="1756"/>
      <c r="O168" s="1756"/>
      <c r="P168" s="1756"/>
      <c r="Q168" s="1756"/>
      <c r="R168" s="1756"/>
      <c r="S168" s="1756"/>
      <c r="T168" s="1756"/>
      <c r="U168" s="1756"/>
      <c r="V168" s="1756"/>
      <c r="W168" s="1756"/>
      <c r="X168" s="1756"/>
      <c r="Y168" s="1756"/>
      <c r="Z168" s="1756"/>
    </row>
    <row r="169" spans="1:26" ht="12.75" customHeight="1">
      <c r="A169" s="1756" t="s">
        <v>389</v>
      </c>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2.75" customHeight="1">
      <c r="A170" s="1756" t="s">
        <v>1359</v>
      </c>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2.75" customHeight="1">
      <c r="A171" s="1756"/>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2.75" customHeight="1">
      <c r="A172" s="1756" t="s">
        <v>1360</v>
      </c>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2.75"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2.75"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2.75"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2.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2.75"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2.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2.75"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2.75"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2.75"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2.75"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2.75"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2.75"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2.75"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2.75"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2.75"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2.75"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2.75"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2.7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2.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2.7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2.7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2.7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2.75"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2.75"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2.75"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2.75"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2.75"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2.75"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2.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2.75"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2.75"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2.75"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2.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2.7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2.7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2.7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2.75"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2.75"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2.75"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2.75"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1:26" ht="12.75" customHeight="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1:26" ht="12.75" customHeight="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1:26" ht="12.75" customHeight="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1:26" ht="12.75" customHeight="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1:26" ht="12.7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1:26" ht="12.75" customHeight="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1:26" ht="12.75" customHeight="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1:26" ht="12.7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1:26" ht="12.75" customHeight="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1:26" ht="12.75" customHeight="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1:26"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1:26" ht="12.75" customHeight="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1:26" ht="12.75" customHeight="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1:26" ht="12.7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1:26"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1:26" ht="12.7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1:26" ht="12.75"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1:26" ht="12.7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1:26" ht="12.75" customHeight="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1:26" ht="12.75" customHeight="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1:26" ht="12.75" customHeight="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1:26" ht="12.75" customHeight="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1:26" ht="12.75" customHeight="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1:26" ht="12.75" customHeight="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1:26" ht="12.75" customHeight="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1:26" ht="12.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1:26" ht="12.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1:26" ht="12.75" customHeight="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1:26" ht="12.75" customHeight="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1:26" ht="12.75" customHeight="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1:26" ht="12.75" customHeight="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1:26" ht="12.75" customHeight="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1:26" ht="12.75" customHeight="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1:26" ht="12.75" customHeight="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1:26" ht="12.7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1:26" ht="12.75" customHeight="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1:26" ht="12.7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1:26" ht="12.7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1:26" ht="12.7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26" ht="12.7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1:26" ht="12.75" customHeight="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26" ht="12.75" customHeight="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1:26" ht="12.7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26" ht="12.75" customHeight="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1:26" ht="12.75" customHeight="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26" ht="12.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1:26" ht="12.75" customHeight="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26" ht="12.75" customHeight="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1:26" ht="12.75"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1:26" ht="12.75" customHeight="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1:26" ht="12.75" customHeight="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1:26" ht="12.75" customHeight="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1:26" ht="12.75" customHeight="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1:26" ht="12.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1:26" ht="12.75" customHeight="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1:26" ht="12.75" customHeight="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1:26" ht="12.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1:26" ht="12.75" customHeight="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1:26" ht="12.75" customHeight="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1:26" ht="12.75" customHeight="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1:26" ht="12.75" customHeight="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1:26" ht="12.7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1:26" ht="12.75" customHeight="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1:26" ht="12.75" customHeight="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1:26" ht="12.75" customHeight="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1:26" ht="12.7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1:26" ht="12.75" customHeight="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1:26" ht="12.75" customHeight="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1:26" ht="12.75" customHeight="1">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26" ht="12.75" customHeight="1">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1:26" ht="12.75" customHeight="1">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26" ht="12.75" customHeight="1">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1:26" ht="12.75" customHeight="1">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26" ht="12.75" customHeight="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1:26" ht="12.75" customHeight="1">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1:26" ht="12.75" customHeight="1">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1:26" ht="12.75" customHeight="1">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26" ht="12.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1:26" ht="12.75" customHeight="1">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26" ht="12.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1:26" ht="12.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1:26" ht="12.75" customHeight="1">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1:26" ht="12.75" customHeight="1">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1:26" ht="12.75" customHeight="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1:26" ht="12.75" customHeight="1">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1:26" ht="12.75" customHeight="1">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1:26" ht="12.75" customHeight="1">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1:26" ht="12.75" customHeight="1">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1:26" ht="12.75"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1:26" ht="12.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1:26" ht="12.75" customHeight="1">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1:26" ht="12.75" customHeight="1">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1:26" ht="12.75" customHeight="1">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1:26" ht="12.75" customHeight="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1:26" ht="12.75" customHeight="1">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1:26" ht="12.75" customHeight="1">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1:26" ht="12.75" customHeight="1">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1:26" ht="12.75"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1:26" ht="12.75" customHeight="1">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1:26" ht="12.75" customHeight="1">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1:26" ht="12.7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1:26" ht="12.75" customHeight="1">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1:26" ht="12.7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1:26" ht="12.7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1:26" ht="12.75" customHeight="1">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1:26" ht="12.75" customHeight="1">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1:26" ht="12.7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1:26" ht="12.75" customHeight="1">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1:26" ht="12.75" customHeight="1">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1:26" ht="12.75" customHeight="1">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1:26" ht="12.75" customHeight="1">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1:26" ht="12.75" customHeight="1">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1:26" ht="12.75" customHeight="1">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1:26" ht="12.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1:26" ht="12.75" customHeight="1">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1:26" ht="12.75"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1:26" ht="12.75"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1:26" ht="12.75" customHeight="1">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1:26" ht="12.75"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1:26" ht="12.75"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1:26" ht="12.75"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1:26" ht="12.75"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1:26" ht="12.7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1:26" ht="12.7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1:26" ht="12.75" customHeight="1">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1:26" ht="12.75" customHeight="1">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1:26" ht="12.75" customHeight="1">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1:26" ht="12.7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1:26" ht="12.75"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1:26" ht="12.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1:26" ht="12.75"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1:26" ht="12.75" customHeight="1">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1:26" ht="12.75"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1:26" ht="12.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1:26" ht="12.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1:26" ht="12.75" customHeight="1">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1:26" ht="12.75" customHeight="1">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1:26" ht="12.75" customHeight="1">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1:26" ht="12.75" customHeight="1">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1:26" ht="12.75" customHeight="1">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1:26" ht="12.75" customHeight="1">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1:26" ht="12.75" customHeight="1">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1:26" ht="12.75" customHeight="1">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1:26" ht="12.75" customHeight="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1:26" ht="12.75"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1:26" ht="12.75" customHeight="1">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1:26" ht="12.75" customHeight="1">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1:26" ht="12.75"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1:26" ht="12.75"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1:26" ht="12.75"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1:26" ht="12.75"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1:26" ht="12.75"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1:26" ht="12.75"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1:26" ht="12.75"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1:26" ht="12.7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1:26" ht="12.7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1:26" ht="12.75"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1:26" ht="12.75"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1:26" ht="12.7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1:26" ht="12.7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1:26" ht="12.7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1:26" ht="12.75"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1:26" ht="12.75"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1:26" ht="12.75"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1:26" ht="12.7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1:26" ht="12.7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1:26" ht="12.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1:26" ht="12.7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1:26" ht="12.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1:26" ht="12.75"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1:26" ht="12.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1:26" ht="12.7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1:26" ht="12.75" customHeight="1">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1:26" ht="12.75" customHeight="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1:26" ht="12.75" customHeight="1">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1:26" ht="12.75" customHeight="1">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1:26" ht="12.75" customHeight="1">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1:26" ht="12.7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1:26" ht="12.75" customHeight="1">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1:26" ht="12.75" customHeight="1">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1:26" ht="12.75" customHeight="1">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1:26" ht="12.75" customHeight="1">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1:26" ht="12.75" customHeight="1">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1:26" ht="12.75" customHeight="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1:26" ht="12.75" customHeight="1">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1:26" ht="12.75" customHeight="1">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1:26" ht="12.75" customHeight="1">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1:26" ht="12.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1:26" ht="12.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1:26" ht="12.75" customHeight="1">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1:26" ht="12.75" customHeight="1">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1:26" ht="12.75" customHeight="1">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1:26" ht="12.75" customHeight="1">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1:26" ht="12.75"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1:26" ht="12.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1:26" ht="12.75" customHeight="1">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1:26" ht="12.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1:26" ht="12.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1:26" ht="12.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1:26" ht="12.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1:26" ht="12.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1:26" ht="12.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1:26" ht="12.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1:26" ht="12.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1:26" ht="12.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1:26" ht="12.75"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1:26" ht="12.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1:26" ht="12.75" customHeight="1">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1:26" ht="12.75" customHeight="1">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1:26" ht="12.75" customHeight="1">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1:26" ht="12.75" customHeight="1">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1:26" ht="12.7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1:26" ht="12.7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1:26" ht="12.75" customHeight="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1:26" ht="12.75" customHeight="1">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1:26" ht="12.75" customHeight="1">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1:26" ht="12.75"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1:26" ht="12.75" customHeight="1">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1:26" ht="12.75" customHeight="1">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1:26" ht="12.75" customHeight="1">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1:26" ht="12.75" customHeight="1">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1:26" ht="12.75" customHeight="1">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1:26" ht="12.75" customHeight="1">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1:26" ht="12.75" customHeight="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1:26" ht="12.75" customHeight="1">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1:26" ht="12.75" customHeigh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1:26" ht="12.75" customHeight="1">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1:26" ht="12.75" customHeigh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1:26" ht="12.7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1:26" ht="12.7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1:26" ht="12.7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1:26" ht="12.7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1:26" ht="12.7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1:26" ht="12.7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1:26" ht="12.75" customHeight="1">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1:26" ht="12.75" customHeight="1">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1:26" ht="12.7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1:26" ht="12.75" customHeight="1">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1:26" ht="12.75" customHeight="1">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1:26" ht="12.75" customHeight="1">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1:26" ht="12.75" customHeight="1">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1:26" ht="12.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1:26" ht="12.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1:26" ht="12.75" customHeight="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1:26" ht="12.75" customHeight="1">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1:26" ht="12.75" customHeight="1">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1:26" ht="12.75" customHeight="1">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1:26" ht="12.75" customHeight="1">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1:26" ht="12.75" customHeight="1">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1:26" ht="12.75" customHeight="1">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1:26" ht="12.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1:26" ht="12.75"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1:26" ht="12.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1:26" ht="12.75" customHeight="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1:26" ht="12.75" customHeight="1">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1:26" ht="12.75" customHeight="1">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1:26" ht="12.75" customHeight="1">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1:26" ht="12.75" customHeight="1">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1:26" ht="12.75" customHeight="1">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1:26" ht="12.75" customHeight="1">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1:26" ht="12.75" customHeight="1">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1:26" ht="12.75" customHeight="1">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1:26" ht="12.75" customHeight="1">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1:26" ht="12.75" customHeight="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1:26" ht="12.75" customHeight="1">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1:26" ht="12.75" customHeight="1">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1:26" ht="12.75" customHeight="1">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1:26" ht="12.75" customHeight="1">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1:26" ht="12.75" customHeight="1">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1:26" ht="12.75" customHeight="1">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1:26" ht="12.75" customHeight="1">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1:26" ht="12.75" customHeight="1">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1:26" ht="12.75" customHeight="1">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1:26" ht="12.75" customHeight="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1:26" ht="12.75" customHeight="1">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1:26" ht="12.75" customHeight="1">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1:26" ht="12.75" customHeight="1">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1:26" ht="12.75" customHeight="1">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1:26" ht="12.75" customHeight="1">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1:26" ht="12.75" customHeight="1">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1:26" ht="12.75" customHeight="1">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1:26" ht="12.75" customHeight="1">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1:26" ht="12.75" customHeight="1">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1:26" ht="12.75" customHeight="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1:26" ht="12.75" customHeight="1">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1:26" ht="12.75" customHeight="1">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1:26" ht="12.75" customHeight="1">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1:26" ht="12.75" customHeight="1">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1:26" ht="12.7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1:26" ht="12.75" customHeight="1">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1:26" ht="12.7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1:26" ht="12.7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1:26" ht="12.7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1:26" ht="12.7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1:26" ht="12.7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1:26" ht="12.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1:26" ht="12.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1:26" ht="12.75" customHeight="1">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1:26" ht="12.75"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1:26" ht="12.75"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1:26" ht="12.75" customHeight="1">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1:26" ht="12.75" customHeight="1">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1:26" ht="12.75" customHeight="1">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1:26" ht="12.75" customHeight="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1:26" ht="12.75" customHeight="1">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1:26" ht="12.75" customHeight="1">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1:26" ht="12.75" customHeight="1">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1:26" ht="12.75" customHeight="1">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1:26" ht="12.75" customHeight="1">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1:26" ht="12.75" customHeight="1">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1:26" ht="12.75" customHeight="1">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1:26" ht="12.75" customHeight="1">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1:26" ht="12.75" customHeight="1">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1:26" ht="12.75"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1:26" ht="12.75"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1:26" ht="12.75" customHeight="1">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1:26" ht="12.75" customHeight="1">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1:26" ht="12.75" customHeight="1">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1:26" ht="12.75" customHeight="1">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1:26" ht="12.75" customHeight="1">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1:26" ht="12.75" customHeight="1">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1:26" ht="12.75" customHeight="1">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1:26" ht="12.75" customHeight="1">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1:26" ht="12.75" customHeight="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1:26" ht="12.75" customHeight="1">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1:26" ht="12.75" customHeight="1">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1:26" ht="12.75" customHeight="1">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1:26" ht="12.75" customHeight="1">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1:26" ht="12.75" customHeight="1">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1:26" ht="12.75" customHeight="1">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1:26" ht="12.75" customHeight="1">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1:26" ht="12.75" customHeight="1">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1:26" ht="12.75" customHeight="1">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1:26" ht="12.75" customHeight="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1:26" ht="12.75" customHeight="1">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1:26" ht="12.75" customHeight="1">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1:26" ht="12.75" customHeight="1">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1:26" ht="12.75" customHeight="1">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1:26" ht="12.75" customHeight="1">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1:26" ht="12.75" customHeight="1">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1:26" ht="12.75" customHeight="1">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1:26" ht="12.75" customHeight="1">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1:26" ht="12.75" customHeight="1">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1:26" ht="12.75" customHeight="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1:26" ht="12.75" customHeight="1">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1:26" ht="12.75" customHeight="1">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1:26" ht="12.75" customHeight="1">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1:26" ht="12.75" customHeight="1">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1:26" ht="12.75" customHeight="1">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1:26" ht="12.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1:26" ht="12.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1:26" ht="12.75" customHeight="1">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1:26" ht="12.75" customHeight="1">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1:26" ht="12.75" customHeight="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1:26" ht="12.75" customHeight="1">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1:26" ht="12.75" customHeight="1">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1:26" ht="12.75" customHeight="1">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1:26" ht="12.75" customHeight="1">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1:26" ht="12.75" customHeight="1">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1:26" ht="12.75" customHeight="1">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1:26" ht="12.75" customHeight="1">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1:26" ht="12.75" customHeight="1">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1:26" ht="12.75" customHeight="1">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1:26" ht="12.75" customHeight="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1:26" ht="12.75" customHeight="1">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1:26" ht="12.75" customHeight="1">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1:26" ht="12.75" customHeight="1">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1:26" ht="12.75" customHeight="1">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1:26" ht="12.75" customHeight="1">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1:26" ht="12.75" customHeight="1">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1:26" ht="12.75" customHeight="1">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1:26" ht="12.75" customHeight="1">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1:26" ht="12.75" customHeight="1">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1:26" ht="12.75" customHeight="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1:26" ht="12.75" customHeight="1">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1:26" ht="12.75" customHeight="1">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1:26" ht="12.75" customHeight="1">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1:26" ht="12.75" customHeight="1">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1:26" ht="12.75" customHeight="1">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1:26" ht="12.75" customHeight="1">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1:26" ht="12.75" customHeight="1">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1:26" ht="12.75" customHeight="1">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1:26" ht="12.75" customHeight="1">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1:26" ht="12.75" customHeight="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1:26" ht="12.75" customHeight="1">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1:26" ht="12.75" customHeight="1">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1:26" ht="12.75" customHeight="1">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1:26" ht="12.75" customHeight="1">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1:26" ht="12.75" customHeight="1">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1:26" ht="12.75" customHeight="1">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1:26" ht="12.75" customHeight="1">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1:26" ht="12.75" customHeight="1">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1:26" ht="12.75" customHeight="1">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1:26" ht="12.75" customHeight="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1:26" ht="12.75" customHeight="1">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1:26" ht="12.75" customHeight="1">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1:26" ht="12.75" customHeight="1">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1:26" ht="12.75" customHeight="1">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1:26" ht="12.75" customHeight="1">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1:26" ht="12.75" customHeight="1">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1:26" ht="12.75" customHeight="1">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1:26" ht="12.75" customHeight="1">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1:26" ht="12.75" customHeight="1">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1:26" ht="12.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1:26" ht="12.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1:26" ht="12.75" customHeight="1">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1:26" ht="12.75" customHeight="1">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1:26" ht="12.75" customHeight="1">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1:26" ht="12.75" customHeight="1">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1:26" ht="12.75" customHeight="1">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1:26" ht="12.75" customHeight="1">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1:26" ht="12.75" customHeight="1">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1:26" ht="12.75" customHeight="1">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1:26" ht="12.75" customHeight="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1:26" ht="12.75" customHeight="1">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1:26" ht="12.75" customHeight="1">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1:26" ht="12.75" customHeight="1">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1:26" ht="12.75" customHeight="1">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1:26" ht="12.75" customHeight="1">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1:26" ht="12.75" customHeight="1">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1:26" ht="12.75" customHeight="1">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1:26" ht="12.75"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1:26" ht="12.75"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1:26" ht="12.75" customHeight="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1:26" ht="12.75" customHeight="1">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1:26" ht="12.75" customHeight="1">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1:26" ht="12.75" customHeight="1">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1:26" ht="12.75" customHeight="1">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1:26" ht="12.75" customHeight="1">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1:26" ht="12.75" customHeight="1">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1:26" ht="12.75" customHeight="1">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1:26" ht="12.75" customHeight="1">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1:26" ht="12.75" customHeight="1">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1:26" ht="12.75" customHeight="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1:26" ht="12.75" customHeight="1">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1:26" ht="12.75" customHeight="1">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1:26" ht="12.75" customHeight="1">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1:26" ht="12.75" customHeight="1">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1:26" ht="12.75" customHeight="1">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1:26" ht="12.75" customHeight="1">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1:26" ht="12.75" customHeight="1">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1:26" ht="12.75" customHeight="1">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1:26" ht="12.75" customHeight="1">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1:26" ht="12.75" customHeight="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1:26" ht="12.75" customHeight="1">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1:26" ht="12.75" customHeight="1">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1:26" ht="12.75" customHeight="1">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1:26" ht="12.75" customHeight="1">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1:26" ht="12.75" customHeight="1">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1:26" ht="12.75" customHeight="1">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1:26" ht="12.75" customHeight="1">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1:26" ht="12.75" customHeight="1">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1:26" ht="12.75" customHeight="1">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1:26" ht="12.75" customHeight="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1:26" ht="12.75" customHeight="1">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1:26" ht="12.75" customHeight="1">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1:26" ht="12.75" customHeight="1">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1:26" ht="12.75" customHeight="1">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1:26" ht="12.75" customHeight="1">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1:26" ht="12.75" customHeight="1">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1:26" ht="12.75" customHeight="1">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1:26" ht="12.75" customHeight="1">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1:26" ht="12.75" customHeight="1">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1:26" ht="12.75" customHeight="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1:26" ht="12.75" customHeight="1">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1:26" ht="12.75" customHeight="1">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1:26" ht="12.75" customHeight="1">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1:26" ht="12.75" customHeight="1">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1:26" ht="12.75" customHeight="1">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1:26" ht="12.75" customHeight="1">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1:26" ht="12.75" customHeight="1">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1:26" ht="12.75" customHeight="1">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1:26" ht="12.75" customHeight="1">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1:26" ht="12.75" customHeight="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1:26" ht="12.75" customHeight="1">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1:26" ht="12.75" customHeight="1">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1:26" ht="12.75" customHeight="1">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1:26" ht="12.75" customHeight="1">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1:26" ht="12.75" customHeight="1">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1:26" ht="12.75" customHeight="1">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1:26" ht="12.75" customHeight="1">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1:26" ht="12.75" customHeight="1">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1:26" ht="12.75" customHeight="1">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1:26" ht="12.75" customHeight="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1:26" ht="12.75" customHeight="1">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1:26" ht="12.75" customHeight="1">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1:26" ht="12.75" customHeight="1">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1:26" ht="12.75" customHeight="1">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1:26" ht="12.75" customHeight="1">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1:26" ht="12.75" customHeight="1">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1:26" ht="12.75" customHeight="1">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1:26" ht="12.75" customHeight="1">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1:26" ht="12.75" customHeight="1">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1:26" ht="12.75" customHeight="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1:26" ht="12.75" customHeight="1">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1:26" ht="12.75" customHeight="1">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1:26" ht="12.75" customHeight="1">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1:26" ht="12.75" customHeight="1">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1:26" ht="12.75" customHeight="1">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1:26" ht="12.75" customHeight="1">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1:26" ht="12.75" customHeight="1">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1:26" ht="12.75" customHeight="1">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1:26" ht="12.75" customHeight="1">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1:26" ht="12.75" customHeight="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1:26" ht="12.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1:26" ht="12.75" customHeight="1">
      <c r="A743" s="75"/>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1:26" ht="12.75" customHeight="1">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1:26" ht="12.75" customHeight="1">
      <c r="A745" s="75"/>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1:26" ht="12.75" customHeight="1">
      <c r="A746" s="75"/>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1:26" ht="12.75" customHeight="1">
      <c r="A747" s="75"/>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1:26" ht="12.75" customHeight="1">
      <c r="A748" s="75"/>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1:26" ht="12.75" customHeight="1">
      <c r="A749" s="75"/>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1:26" ht="12.75" customHeight="1">
      <c r="A750" s="75"/>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1:26" ht="12.75" customHeight="1">
      <c r="A751" s="75"/>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1:26" ht="12.75" customHeight="1">
      <c r="A752" s="75"/>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1:26" ht="12.75" customHeight="1">
      <c r="A753" s="75"/>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1:26" ht="12.75" customHeight="1">
      <c r="A754" s="75"/>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1:26" ht="12.75" customHeight="1">
      <c r="A755" s="75"/>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1:26" ht="12.75" customHeight="1">
      <c r="A756" s="75"/>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1:26" ht="12.75" customHeight="1">
      <c r="A757" s="75"/>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1:26" ht="12.75" customHeight="1">
      <c r="A758" s="75"/>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1:26" ht="12.75" customHeight="1">
      <c r="A759" s="75"/>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1:26" ht="12.75" customHeight="1">
      <c r="A760" s="75"/>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1:26" ht="12.75" customHeight="1">
      <c r="A761" s="75"/>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1:26" ht="12.75" customHeight="1">
      <c r="A762" s="75"/>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1:26" ht="12.75" customHeight="1">
      <c r="A763" s="75"/>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1:26" ht="12.75" customHeight="1">
      <c r="A764" s="75"/>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1:26" ht="12.75" customHeight="1">
      <c r="A765" s="75"/>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1:26" ht="12.75" customHeight="1">
      <c r="A766" s="75"/>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1:26" ht="12.75" customHeight="1">
      <c r="A767" s="75"/>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1:26" ht="12.75" customHeight="1">
      <c r="A768" s="75"/>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1:26" ht="12.75" customHeight="1">
      <c r="A769" s="75"/>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1:26" ht="12.75" customHeight="1">
      <c r="A770" s="75"/>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1:26" ht="12.75" customHeight="1">
      <c r="A771" s="75"/>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1:26" ht="12.75" customHeight="1">
      <c r="A772" s="75"/>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1:26" ht="12.75" customHeight="1">
      <c r="A773" s="75"/>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1:26" ht="12.75" customHeight="1">
      <c r="A774" s="75"/>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1:26" ht="12.75" customHeight="1">
      <c r="A775" s="75"/>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1:26" ht="12.75" customHeight="1">
      <c r="A776" s="75"/>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1:26" ht="12.75" customHeight="1">
      <c r="A777" s="75"/>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1:26" ht="12.75" customHeight="1">
      <c r="A778" s="75"/>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1:26" ht="12.75" customHeight="1">
      <c r="A779" s="75"/>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1:26" ht="12.75" customHeight="1">
      <c r="A780" s="75"/>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1:26" ht="12.75" customHeight="1">
      <c r="A781" s="75"/>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1:26" ht="12.75" customHeight="1">
      <c r="A782" s="75"/>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1:26" ht="12.75" customHeight="1">
      <c r="A783" s="75"/>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1:26" ht="12.75" customHeight="1">
      <c r="A784" s="75"/>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1:26" ht="12.75" customHeight="1">
      <c r="A785" s="75"/>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1:26" ht="12.75" customHeight="1">
      <c r="A786" s="75"/>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1:26" ht="12.75" customHeight="1">
      <c r="A787" s="75"/>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1:26" ht="12.75" customHeight="1">
      <c r="A788" s="75"/>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1:26" ht="12.75" customHeight="1">
      <c r="A789" s="75"/>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1:26" ht="12.75" customHeight="1">
      <c r="A790" s="75"/>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1:26" ht="12.75" customHeight="1">
      <c r="A791" s="75"/>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1:26" ht="12.75" customHeight="1">
      <c r="A792" s="75"/>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1:26" ht="12.75" customHeight="1">
      <c r="A793" s="75"/>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1:26" ht="12.75" customHeight="1">
      <c r="A794" s="75"/>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1:26" ht="12.75" customHeight="1">
      <c r="A795" s="75"/>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1:26" ht="12.75" customHeight="1">
      <c r="A796" s="75"/>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1:26" ht="12.75" customHeight="1">
      <c r="A797" s="75"/>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1:26" ht="12.75" customHeight="1">
      <c r="A798" s="75"/>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1:26" ht="12.75" customHeight="1">
      <c r="A799" s="75"/>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1:26" ht="12.75" customHeight="1">
      <c r="A800" s="75"/>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1:26" ht="12.75" customHeight="1">
      <c r="A801" s="75"/>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1:26" ht="12.75" customHeight="1">
      <c r="A802" s="75"/>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1:26" ht="12.75" customHeight="1">
      <c r="A803" s="75"/>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1:26" ht="12.75" customHeight="1">
      <c r="A804" s="75"/>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1:26" ht="12.75" customHeight="1">
      <c r="A805" s="75"/>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1:26" ht="12.75" customHeight="1">
      <c r="A806" s="75"/>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1:26" ht="12.75" customHeight="1">
      <c r="A807" s="75"/>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1:26" ht="12.75" customHeight="1">
      <c r="A808" s="75"/>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1:26" ht="12.75" customHeight="1">
      <c r="A809" s="75"/>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1:26" ht="12.75" customHeight="1">
      <c r="A810" s="75"/>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1:26" ht="12.75" customHeight="1">
      <c r="A811" s="75"/>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1:26" ht="12.75" customHeight="1">
      <c r="A812" s="75"/>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1:26" ht="12.75" customHeight="1">
      <c r="A813" s="75"/>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1:26" ht="12.75" customHeight="1">
      <c r="A814" s="75"/>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1:26" ht="12.75" customHeight="1">
      <c r="A815" s="75"/>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1:26" ht="12.75" customHeight="1">
      <c r="A816" s="75"/>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1:26" ht="12.75" customHeight="1">
      <c r="A817" s="75"/>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1:26" ht="12.75" customHeight="1">
      <c r="A818" s="75"/>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1:26" ht="12.75" customHeight="1">
      <c r="A819" s="75"/>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1:26" ht="12.75" customHeight="1">
      <c r="A820" s="75"/>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1:26" ht="12.75" customHeight="1">
      <c r="A821" s="75"/>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1:26" ht="12.75" customHeight="1">
      <c r="A822" s="75"/>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1:26" ht="12.75" customHeight="1">
      <c r="A823" s="75"/>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1:26" ht="12.75" customHeight="1">
      <c r="A824" s="75"/>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1:26" ht="12.75" customHeight="1">
      <c r="A825" s="75"/>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1:26" ht="12.75" customHeight="1">
      <c r="A826" s="75"/>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1:26" ht="12.75" customHeight="1">
      <c r="A827" s="75"/>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1:26" ht="12.75" customHeight="1">
      <c r="A828" s="75"/>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1:26" ht="12.75" customHeight="1">
      <c r="A829" s="75"/>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1:26" ht="12.75" customHeight="1">
      <c r="A830" s="75"/>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1:26" ht="12.75" customHeight="1">
      <c r="A831" s="75"/>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1:26" ht="12.75" customHeight="1">
      <c r="A832" s="75"/>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1:26" ht="12.75" customHeight="1">
      <c r="A833" s="75"/>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1:26" ht="12.75" customHeight="1">
      <c r="A834" s="75"/>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1:26" ht="12.75" customHeight="1">
      <c r="A835" s="75"/>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1:26" ht="12.75" customHeight="1">
      <c r="A836" s="75"/>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1:26" ht="12.75" customHeight="1">
      <c r="A837" s="75"/>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1:26" ht="12.75" customHeight="1">
      <c r="A838" s="75"/>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1:26" ht="12.75" customHeight="1">
      <c r="A839" s="75"/>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1:26" ht="12.75" customHeight="1">
      <c r="A840" s="75"/>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1:26" ht="12.75" customHeight="1">
      <c r="A841" s="75"/>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1:26" ht="12.75" customHeight="1">
      <c r="A842" s="75"/>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1:26" ht="12.75" customHeight="1">
      <c r="A843" s="75"/>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1:26" ht="12.75" customHeight="1">
      <c r="A844" s="75"/>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1:26" ht="12.75" customHeight="1">
      <c r="A845" s="75"/>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1:26" ht="12.75" customHeight="1">
      <c r="A846" s="75"/>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1:26" ht="12.75" customHeight="1">
      <c r="A847" s="75"/>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1:26" ht="12.75" customHeight="1">
      <c r="A848" s="75"/>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1:26" ht="12.75" customHeight="1">
      <c r="A849" s="75"/>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1:26" ht="12.75" customHeight="1">
      <c r="A850" s="75"/>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1:26" ht="12.75" customHeight="1">
      <c r="A851" s="75"/>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1:26" ht="12.75" customHeight="1">
      <c r="A852" s="75"/>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1:26" ht="12.75" customHeight="1">
      <c r="A853" s="75"/>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1:26" ht="12.75" customHeight="1">
      <c r="A854" s="75"/>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1:26" ht="12.75" customHeight="1">
      <c r="A855" s="75"/>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1:26" ht="12.75" customHeight="1">
      <c r="A856" s="75"/>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1:26" ht="12.75" customHeight="1">
      <c r="A857" s="75"/>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1:26" ht="12.75" customHeight="1">
      <c r="A858" s="75"/>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1:26" ht="12.75" customHeight="1">
      <c r="A859" s="75"/>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1:26" ht="12.75" customHeight="1">
      <c r="A860" s="75"/>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1:26" ht="12.75" customHeight="1">
      <c r="A861" s="75"/>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1:26" ht="12.75" customHeight="1">
      <c r="A862" s="75"/>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1:26" ht="12.75" customHeight="1">
      <c r="A863" s="75"/>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1:26" ht="12.75" customHeight="1">
      <c r="A864" s="75"/>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1:26" ht="12.75" customHeight="1">
      <c r="A865" s="75"/>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1:26" ht="12.75" customHeight="1">
      <c r="A866" s="75"/>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1:26" ht="12.75" customHeight="1">
      <c r="A867" s="75"/>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1:26" ht="12.75" customHeight="1">
      <c r="A868" s="75"/>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1:26" ht="12.75" customHeight="1">
      <c r="A869" s="75"/>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1:26" ht="12.75" customHeight="1">
      <c r="A870" s="75"/>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1:26" ht="12.75" customHeight="1">
      <c r="A871" s="75"/>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1:26" ht="12.75" customHeight="1">
      <c r="A872" s="75"/>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1:26" ht="12.75" customHeight="1">
      <c r="A873" s="75"/>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1:26" ht="12.75" customHeight="1">
      <c r="A874" s="75"/>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1:26" ht="12.75" customHeight="1">
      <c r="A875" s="75"/>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1:26" ht="12.75" customHeight="1">
      <c r="A876" s="75"/>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1:26" ht="12.75" customHeight="1">
      <c r="A877" s="75"/>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1:26" ht="12.75" customHeight="1">
      <c r="A878" s="75"/>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1:26" ht="12.75" customHeight="1">
      <c r="A879" s="75"/>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1:26" ht="12.75" customHeight="1">
      <c r="A880" s="75"/>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1:26" ht="12.75" customHeight="1">
      <c r="A881" s="75"/>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1:26" ht="12.75" customHeight="1">
      <c r="A882" s="75"/>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1:26" ht="12.75" customHeight="1">
      <c r="A883" s="75"/>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1:26" ht="12.75" customHeight="1">
      <c r="A884" s="75"/>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1:26" ht="12.75" customHeight="1">
      <c r="A885" s="75"/>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1:26" ht="12.75" customHeight="1">
      <c r="A886" s="75"/>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1:26" ht="12.75" customHeight="1">
      <c r="A887" s="75"/>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1:26" ht="12.75" customHeight="1">
      <c r="A888" s="75"/>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1:26" ht="12.75" customHeight="1">
      <c r="A889" s="75"/>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1:26" ht="12.75" customHeight="1">
      <c r="A890" s="75"/>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1:26" ht="12.75" customHeight="1">
      <c r="A891" s="75"/>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1:26" ht="12.75" customHeight="1">
      <c r="A892" s="75"/>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1:26" ht="12.75" customHeight="1">
      <c r="A893" s="75"/>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1:26" ht="12.75" customHeight="1">
      <c r="A894" s="75"/>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1:26" ht="12.75" customHeight="1">
      <c r="A895" s="75"/>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1:26" ht="12.75" customHeight="1">
      <c r="A896" s="75"/>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1:26" ht="12.75" customHeight="1">
      <c r="A897" s="75"/>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1:26" ht="12.75" customHeight="1">
      <c r="A898" s="75"/>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1:26" ht="12.75" customHeight="1">
      <c r="A899" s="75"/>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1:26" ht="12.75" customHeight="1">
      <c r="A900" s="75"/>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1:26" ht="12.75" customHeight="1">
      <c r="A901" s="75"/>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1:26" ht="12.75" customHeight="1">
      <c r="A902" s="75"/>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1:26" ht="12.75" customHeight="1">
      <c r="A903" s="75"/>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1:26" ht="12.75" customHeight="1">
      <c r="A904" s="75"/>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1:26" ht="12.75" customHeight="1">
      <c r="A905" s="75"/>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1:26" ht="12.75" customHeight="1">
      <c r="A906" s="75"/>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1:26" ht="12.75" customHeight="1">
      <c r="A907" s="75"/>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1:26" ht="12.75" customHeight="1">
      <c r="A908" s="75"/>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1:26" ht="12.75" customHeight="1">
      <c r="A909" s="75"/>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1:26" ht="12.75" customHeight="1">
      <c r="A910" s="75"/>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1:26" ht="12.75" customHeight="1">
      <c r="A911" s="75"/>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1:26" ht="12.75" customHeight="1">
      <c r="A912" s="75"/>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1:26" ht="12.75" customHeight="1">
      <c r="A913" s="75"/>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1:26" ht="12.75" customHeight="1">
      <c r="A914" s="75"/>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1:26" ht="12.75" customHeight="1">
      <c r="A915" s="75"/>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1:26" ht="12.75" customHeight="1">
      <c r="A916" s="75"/>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1:26" ht="12.75" customHeight="1">
      <c r="A917" s="75"/>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1:26" ht="12.75" customHeight="1">
      <c r="A918" s="75"/>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1:26" ht="12.75" customHeight="1">
      <c r="A919" s="75"/>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1:26" ht="12.75" customHeight="1">
      <c r="A920" s="75"/>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1:26" ht="12.75" customHeight="1">
      <c r="A921" s="75"/>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1:26" ht="12.75" customHeight="1">
      <c r="A922" s="75"/>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1:26" ht="12.75" customHeight="1">
      <c r="A923" s="75"/>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1:26" ht="12.75" customHeight="1">
      <c r="A924" s="75"/>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1:26" ht="12.75" customHeight="1">
      <c r="A925" s="75"/>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1:26" ht="12.75" customHeight="1">
      <c r="A926" s="75"/>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1:26" ht="12.75" customHeight="1">
      <c r="A927" s="75"/>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1:26" ht="12.75" customHeight="1">
      <c r="A928" s="75"/>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1:26" ht="12.75" customHeight="1">
      <c r="A929" s="75"/>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1:26" ht="12.75" customHeight="1">
      <c r="A930" s="75"/>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1:26" ht="12.75" customHeight="1">
      <c r="A931" s="75"/>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1:26" ht="12.75" customHeight="1">
      <c r="A932" s="75"/>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1:26" ht="12.75" customHeight="1">
      <c r="A933" s="75"/>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1:26" ht="12.75" customHeight="1">
      <c r="A934" s="75"/>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1:26" ht="12.75" customHeight="1">
      <c r="A935" s="75"/>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1:26" ht="12.75" customHeight="1">
      <c r="A936" s="75"/>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1:26" ht="12.75" customHeight="1">
      <c r="A937" s="75"/>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1:26" ht="12.75" customHeight="1">
      <c r="A938" s="75"/>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1:26" ht="12.75" customHeight="1">
      <c r="A939" s="75"/>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1:26" ht="12.75" customHeight="1">
      <c r="A940" s="75"/>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1:26" ht="12.75" customHeight="1">
      <c r="A941" s="75"/>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1:26" ht="12.75" customHeight="1">
      <c r="A942" s="75"/>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1:26" ht="12.75" customHeight="1">
      <c r="A943" s="75"/>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1:26" ht="12.75" customHeight="1">
      <c r="A944" s="75"/>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1:26" ht="12.75" customHeight="1">
      <c r="A945" s="75"/>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1:26" ht="12.75" customHeight="1">
      <c r="A946" s="75"/>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1:26" ht="12.75" customHeight="1">
      <c r="A947" s="75"/>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1:26" ht="12.75" customHeight="1">
      <c r="A948" s="75"/>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1:26" ht="12.75" customHeight="1">
      <c r="A949" s="75"/>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1:26" ht="12.75" customHeight="1">
      <c r="A950" s="75"/>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1:26" ht="12.75" customHeight="1">
      <c r="A951" s="75"/>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1:26" ht="12.75" customHeight="1">
      <c r="A952" s="75"/>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1:26" ht="12.75" customHeight="1">
      <c r="A953" s="75"/>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1:26" ht="12.75" customHeight="1">
      <c r="A954" s="75"/>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1:26" ht="12.75" customHeight="1">
      <c r="A955" s="75"/>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1:26" ht="12.75" customHeight="1">
      <c r="A956" s="75"/>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1:26" ht="12.75" customHeight="1">
      <c r="A957" s="75"/>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1:26" ht="12.75" customHeight="1">
      <c r="A958" s="75"/>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1:26" ht="12.75" customHeight="1">
      <c r="A959" s="75"/>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1:26" ht="12.75" customHeight="1">
      <c r="A960" s="75"/>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1:26" ht="12.75" customHeight="1">
      <c r="A961" s="75"/>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1:26" ht="12.75" customHeight="1">
      <c r="A962" s="75"/>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1:26" ht="12.75" customHeight="1">
      <c r="A963" s="75"/>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1:26" ht="12.75" customHeight="1">
      <c r="A964" s="75"/>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1:26" ht="12.75" customHeight="1">
      <c r="A965" s="75"/>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1:26" ht="12.75" customHeight="1">
      <c r="A966" s="75"/>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1:26" ht="12.75" customHeight="1">
      <c r="A967" s="75"/>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1:26" ht="12.75" customHeight="1">
      <c r="A968" s="75"/>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1:26" ht="12.75" customHeight="1">
      <c r="A969" s="75"/>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1:26" ht="12.75" customHeight="1">
      <c r="A970" s="75"/>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1:26" ht="12.75" customHeight="1">
      <c r="A971" s="75"/>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1:26" ht="12.75" customHeight="1">
      <c r="A972" s="75"/>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1:26" ht="12.75" customHeight="1">
      <c r="A973" s="75"/>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1:26" ht="12.75" customHeight="1">
      <c r="A974" s="75"/>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1:26" ht="12.75" customHeight="1">
      <c r="A975" s="75"/>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1:26" ht="12.75" customHeight="1">
      <c r="A976" s="75"/>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1:26" ht="12.75" customHeight="1">
      <c r="A977" s="75"/>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1:26" ht="12.75" customHeight="1">
      <c r="A978" s="75"/>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1:26" ht="12.75" customHeight="1">
      <c r="A979" s="75"/>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1:26" ht="12.75" customHeight="1">
      <c r="A980" s="75"/>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1:26" ht="12.75" customHeight="1">
      <c r="A981" s="75"/>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1:26" ht="12.75" customHeight="1">
      <c r="A982" s="75"/>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1:26" ht="12.75" customHeight="1">
      <c r="A983" s="75"/>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1:26" ht="12.75" customHeight="1">
      <c r="A984" s="75"/>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1:26" ht="12.75" customHeight="1">
      <c r="A985" s="75"/>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1:26" ht="12.75" customHeight="1">
      <c r="A986" s="75"/>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1:26" ht="12.75" customHeight="1">
      <c r="A987" s="75"/>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1:26" ht="12.75" customHeight="1">
      <c r="A988" s="75"/>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1:26" ht="12.75" customHeight="1">
      <c r="A989" s="75"/>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1:26" ht="12.75" customHeight="1">
      <c r="A990" s="75"/>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1:26" ht="12.75" customHeight="1">
      <c r="A991" s="75"/>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1:26" ht="12.75" customHeight="1">
      <c r="A992" s="75"/>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1:26" ht="12.75" customHeight="1">
      <c r="A993" s="75"/>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spans="1:26" ht="12.75" customHeight="1">
      <c r="A994" s="75"/>
      <c r="B994" s="75"/>
      <c r="C994" s="7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spans="1:26" ht="12.75" customHeight="1">
      <c r="A995" s="75"/>
      <c r="B995" s="75"/>
      <c r="C995" s="7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spans="1:26" ht="12.75" customHeight="1">
      <c r="A996" s="75"/>
      <c r="B996" s="75"/>
      <c r="C996" s="75"/>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row r="997" spans="1:26" ht="12.75" customHeight="1">
      <c r="A997" s="75"/>
      <c r="B997" s="75"/>
      <c r="C997" s="75"/>
      <c r="D997" s="75"/>
      <c r="E997" s="75"/>
      <c r="F997" s="75"/>
      <c r="G997" s="75"/>
      <c r="H997" s="75"/>
      <c r="I997" s="75"/>
      <c r="J997" s="75"/>
      <c r="K997" s="75"/>
      <c r="L997" s="75"/>
      <c r="M997" s="75"/>
      <c r="N997" s="75"/>
      <c r="O997" s="75"/>
      <c r="P997" s="75"/>
      <c r="Q997" s="75"/>
      <c r="R997" s="75"/>
      <c r="S997" s="75"/>
      <c r="T997" s="75"/>
      <c r="U997" s="75"/>
      <c r="V997" s="75"/>
      <c r="W997" s="75"/>
      <c r="X997" s="75"/>
      <c r="Y997" s="75"/>
      <c r="Z997" s="75"/>
    </row>
    <row r="998" spans="1:26" ht="12.75" customHeight="1">
      <c r="A998" s="75"/>
      <c r="B998" s="75"/>
      <c r="C998" s="75"/>
      <c r="D998" s="75"/>
      <c r="E998" s="75"/>
      <c r="F998" s="75"/>
      <c r="G998" s="75"/>
      <c r="H998" s="75"/>
      <c r="I998" s="75"/>
      <c r="J998" s="75"/>
      <c r="K998" s="75"/>
      <c r="L998" s="75"/>
      <c r="M998" s="75"/>
      <c r="N998" s="75"/>
      <c r="O998" s="75"/>
      <c r="P998" s="75"/>
      <c r="Q998" s="75"/>
      <c r="R998" s="75"/>
      <c r="S998" s="75"/>
      <c r="T998" s="75"/>
      <c r="U998" s="75"/>
      <c r="V998" s="75"/>
      <c r="W998" s="75"/>
      <c r="X998" s="75"/>
      <c r="Y998" s="75"/>
      <c r="Z998" s="75"/>
    </row>
    <row r="999" spans="1:26" ht="12.75" customHeight="1">
      <c r="A999" s="75"/>
      <c r="B999" s="75"/>
      <c r="C999" s="75"/>
      <c r="D999" s="75"/>
      <c r="E999" s="75"/>
      <c r="F999" s="75"/>
      <c r="G999" s="75"/>
      <c r="H999" s="75"/>
      <c r="I999" s="75"/>
      <c r="J999" s="75"/>
      <c r="K999" s="75"/>
      <c r="L999" s="75"/>
      <c r="M999" s="75"/>
      <c r="N999" s="75"/>
      <c r="O999" s="75"/>
      <c r="P999" s="75"/>
      <c r="Q999" s="75"/>
      <c r="R999" s="75"/>
      <c r="S999" s="75"/>
      <c r="T999" s="75"/>
      <c r="U999" s="75"/>
      <c r="V999" s="75"/>
      <c r="W999" s="75"/>
      <c r="X999" s="75"/>
      <c r="Y999" s="75"/>
      <c r="Z999" s="75"/>
    </row>
    <row r="1000" spans="1:26" ht="12.75" customHeight="1">
      <c r="A1000" s="75"/>
      <c r="B1000" s="75"/>
      <c r="C1000" s="75"/>
      <c r="D1000" s="75"/>
      <c r="E1000" s="75"/>
      <c r="F1000" s="75"/>
      <c r="G1000" s="75"/>
      <c r="H1000" s="75"/>
      <c r="I1000" s="75"/>
      <c r="J1000" s="75"/>
      <c r="K1000" s="75"/>
      <c r="L1000" s="75"/>
      <c r="M1000" s="75"/>
      <c r="N1000" s="75"/>
      <c r="O1000" s="75"/>
      <c r="P1000" s="75"/>
      <c r="Q1000" s="75"/>
      <c r="R1000" s="75"/>
      <c r="S1000" s="75"/>
      <c r="T1000" s="75"/>
      <c r="U1000" s="75"/>
      <c r="V1000" s="75"/>
      <c r="W1000" s="75"/>
      <c r="X1000" s="75"/>
      <c r="Y1000" s="75"/>
      <c r="Z1000" s="75"/>
    </row>
  </sheetData>
  <mergeCells count="74">
    <mergeCell ref="A161:I161"/>
    <mergeCell ref="A162:I162"/>
    <mergeCell ref="A164:I164"/>
    <mergeCell ref="A166:I166"/>
    <mergeCell ref="A167:I167"/>
    <mergeCell ref="A154:B155"/>
    <mergeCell ref="A156:B156"/>
    <mergeCell ref="F156:G156"/>
    <mergeCell ref="A158:I158"/>
    <mergeCell ref="A160:I160"/>
    <mergeCell ref="A138:B143"/>
    <mergeCell ref="A144:B146"/>
    <mergeCell ref="A147:B148"/>
    <mergeCell ref="A149:B150"/>
    <mergeCell ref="A151:B153"/>
    <mergeCell ref="A70:B80"/>
    <mergeCell ref="A81:B86"/>
    <mergeCell ref="A87:B88"/>
    <mergeCell ref="A89:B90"/>
    <mergeCell ref="A91:B92"/>
    <mergeCell ref="A118:B128"/>
    <mergeCell ref="A129:B137"/>
    <mergeCell ref="A106:B117"/>
    <mergeCell ref="A97:B99"/>
    <mergeCell ref="A100:B105"/>
    <mergeCell ref="A93:B94"/>
    <mergeCell ref="A95:B96"/>
    <mergeCell ref="A15:A17"/>
    <mergeCell ref="A3:I3"/>
    <mergeCell ref="A5:B5"/>
    <mergeCell ref="D5:I5"/>
    <mergeCell ref="A6:B6"/>
    <mergeCell ref="D6:I6"/>
    <mergeCell ref="A7:B7"/>
    <mergeCell ref="D7:I7"/>
    <mergeCell ref="A8:B8"/>
    <mergeCell ref="D8:I8"/>
    <mergeCell ref="A9:B9"/>
    <mergeCell ref="D9:I9"/>
    <mergeCell ref="A11:I11"/>
    <mergeCell ref="A37:I37"/>
    <mergeCell ref="A20:I20"/>
    <mergeCell ref="F22:I22"/>
    <mergeCell ref="F23:I23"/>
    <mergeCell ref="F24:I24"/>
    <mergeCell ref="F25:I25"/>
    <mergeCell ref="F26:I26"/>
    <mergeCell ref="F27:I27"/>
    <mergeCell ref="A29:I29"/>
    <mergeCell ref="D31:I31"/>
    <mergeCell ref="D32:I34"/>
    <mergeCell ref="C35:I35"/>
    <mergeCell ref="A53:I53"/>
    <mergeCell ref="D39:I39"/>
    <mergeCell ref="D40:I40"/>
    <mergeCell ref="D41:I41"/>
    <mergeCell ref="D42:I42"/>
    <mergeCell ref="C43:I43"/>
    <mergeCell ref="A45:I45"/>
    <mergeCell ref="C47:I47"/>
    <mergeCell ref="C48:I48"/>
    <mergeCell ref="C49:I49"/>
    <mergeCell ref="C50:I50"/>
    <mergeCell ref="C51:I51"/>
    <mergeCell ref="A55:B55"/>
    <mergeCell ref="A56:B57"/>
    <mergeCell ref="A58:B59"/>
    <mergeCell ref="A60:B63"/>
    <mergeCell ref="A64:B64"/>
    <mergeCell ref="A65:B65"/>
    <mergeCell ref="A66:B66"/>
    <mergeCell ref="A67:B67"/>
    <mergeCell ref="A68:B68"/>
    <mergeCell ref="A69:B69"/>
  </mergeCells>
  <pageMargins left="0.23622047244094491" right="0.23622047244094491" top="0.74803149606299213" bottom="0.74803149606299213" header="0.31496062992125984" footer="0.31496062992125984"/>
  <pageSetup paperSize="9" scale="81" firstPageNumber="193" fitToHeight="4" orientation="landscape" useFirstPageNumber="1"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F15" sqref="F15"/>
    </sheetView>
  </sheetViews>
  <sheetFormatPr defaultColWidth="6.5" defaultRowHeight="8.25"/>
  <cols>
    <col min="1" max="1" width="5.5" style="649" customWidth="1"/>
    <col min="2" max="2" width="6.5" style="648" customWidth="1"/>
    <col min="3" max="3" width="45.5" style="648" customWidth="1"/>
    <col min="4" max="4" width="9.5" style="648" customWidth="1"/>
    <col min="5" max="5" width="11" style="648" customWidth="1"/>
    <col min="6" max="6" width="11.75" style="648" customWidth="1"/>
    <col min="7" max="7" width="11" style="648" customWidth="1"/>
    <col min="8" max="8" width="8.75" style="648" customWidth="1"/>
    <col min="9" max="10" width="11" style="648" customWidth="1"/>
    <col min="11" max="11" width="11.5" style="648" customWidth="1"/>
    <col min="12" max="12" width="11" style="648" customWidth="1"/>
    <col min="13" max="13" width="8.75" style="648" customWidth="1"/>
    <col min="14" max="15" width="11" style="648" customWidth="1"/>
    <col min="16" max="16" width="11.5" style="648" customWidth="1"/>
    <col min="17" max="17" width="11" style="648" customWidth="1"/>
    <col min="18" max="18" width="8.75" style="648" customWidth="1"/>
    <col min="19" max="20" width="11" style="648" customWidth="1"/>
    <col min="21" max="21" width="11.5" style="648" customWidth="1"/>
    <col min="22" max="22" width="11" style="648" customWidth="1"/>
    <col min="23" max="23" width="8.75" style="648" customWidth="1"/>
    <col min="24" max="24" width="11" style="648" customWidth="1"/>
    <col min="25" max="16384" width="6.5" style="648"/>
  </cols>
  <sheetData>
    <row r="1" spans="1:24" s="650" customFormat="1" ht="15.75">
      <c r="A1" s="1262" t="s">
        <v>390</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653"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651" customFormat="1" ht="9.75" customHeight="1">
      <c r="A6" s="247" t="s">
        <v>0</v>
      </c>
      <c r="B6" s="1172" t="s">
        <v>1</v>
      </c>
      <c r="C6" s="1172"/>
      <c r="D6" s="248" t="s">
        <v>25</v>
      </c>
      <c r="E6" s="249">
        <f>SUM(E7:E9)</f>
        <v>14090539</v>
      </c>
      <c r="F6" s="250">
        <f>SUM(F7:F9)</f>
        <v>14343639</v>
      </c>
      <c r="G6" s="250">
        <f>SUM(G7:G9)</f>
        <v>14342028</v>
      </c>
      <c r="H6" s="251">
        <f t="shared" ref="H6:H37" si="0">G6/F6*100</f>
        <v>99.988768540535631</v>
      </c>
      <c r="I6" s="252">
        <f>SUM(I7:I9)</f>
        <v>14239400</v>
      </c>
      <c r="J6" s="249">
        <f>SUM(J7:J9)</f>
        <v>11590000</v>
      </c>
      <c r="K6" s="250">
        <f t="shared" ref="K6:X6" si="1">SUM(K7:K9)</f>
        <v>11770100</v>
      </c>
      <c r="L6" s="250">
        <f t="shared" si="1"/>
        <v>11768489</v>
      </c>
      <c r="M6" s="251">
        <f t="shared" ref="M6:M37" si="2">L6/K6*100</f>
        <v>99.986312775592395</v>
      </c>
      <c r="N6" s="252">
        <f t="shared" si="1"/>
        <v>11759925</v>
      </c>
      <c r="O6" s="249">
        <f t="shared" si="1"/>
        <v>2500539</v>
      </c>
      <c r="P6" s="250">
        <f t="shared" si="1"/>
        <v>2573539</v>
      </c>
      <c r="Q6" s="250">
        <f t="shared" si="1"/>
        <v>2573539</v>
      </c>
      <c r="R6" s="251">
        <f t="shared" ref="R6:R37" si="3">Q6/P6*100</f>
        <v>100</v>
      </c>
      <c r="S6" s="252">
        <f t="shared" si="1"/>
        <v>2479475</v>
      </c>
      <c r="T6" s="249">
        <f t="shared" si="1"/>
        <v>0</v>
      </c>
      <c r="U6" s="250">
        <f t="shared" si="1"/>
        <v>0</v>
      </c>
      <c r="V6" s="250">
        <f t="shared" si="1"/>
        <v>0</v>
      </c>
      <c r="W6" s="251" t="e">
        <f t="shared" ref="W6:W37" si="4">V6/U6*100</f>
        <v>#DIV/0!</v>
      </c>
      <c r="X6" s="252">
        <f t="shared" si="1"/>
        <v>0</v>
      </c>
    </row>
    <row r="7" spans="1:24" s="651" customFormat="1" ht="9.75">
      <c r="A7" s="710" t="s">
        <v>2</v>
      </c>
      <c r="B7" s="1160" t="s">
        <v>44</v>
      </c>
      <c r="C7" s="1160"/>
      <c r="D7" s="245" t="s">
        <v>25</v>
      </c>
      <c r="E7" s="681">
        <f t="shared" ref="E7:G10" si="5">SUM(J7,O7)</f>
        <v>590000</v>
      </c>
      <c r="F7" s="663">
        <f t="shared" si="5"/>
        <v>520100</v>
      </c>
      <c r="G7" s="663">
        <f t="shared" si="5"/>
        <v>519952</v>
      </c>
      <c r="H7" s="664">
        <f t="shared" si="0"/>
        <v>99.971543933858868</v>
      </c>
      <c r="I7" s="682">
        <f>SUM(N7,S7)</f>
        <v>463627</v>
      </c>
      <c r="J7" s="702">
        <v>590000</v>
      </c>
      <c r="K7" s="665">
        <v>520100</v>
      </c>
      <c r="L7" s="665">
        <v>519952</v>
      </c>
      <c r="M7" s="664">
        <f t="shared" si="2"/>
        <v>99.971543933858868</v>
      </c>
      <c r="N7" s="680">
        <v>463627</v>
      </c>
      <c r="O7" s="679"/>
      <c r="P7" s="665"/>
      <c r="Q7" s="665"/>
      <c r="R7" s="664" t="e">
        <f t="shared" si="3"/>
        <v>#DIV/0!</v>
      </c>
      <c r="S7" s="680"/>
      <c r="T7" s="679"/>
      <c r="U7" s="665"/>
      <c r="V7" s="665"/>
      <c r="W7" s="664" t="e">
        <f t="shared" si="4"/>
        <v>#DIV/0!</v>
      </c>
      <c r="X7" s="680"/>
    </row>
    <row r="8" spans="1:24" s="651" customFormat="1" ht="9.75">
      <c r="A8" s="712" t="s">
        <v>3</v>
      </c>
      <c r="B8" s="1173" t="s">
        <v>45</v>
      </c>
      <c r="C8" s="1173"/>
      <c r="D8" s="245" t="s">
        <v>25</v>
      </c>
      <c r="E8" s="681">
        <f t="shared" si="5"/>
        <v>0</v>
      </c>
      <c r="F8" s="663">
        <f t="shared" si="5"/>
        <v>0</v>
      </c>
      <c r="G8" s="663">
        <f t="shared" si="5"/>
        <v>0</v>
      </c>
      <c r="H8" s="664" t="e">
        <f t="shared" si="0"/>
        <v>#DIV/0!</v>
      </c>
      <c r="I8" s="682">
        <f>SUM(N8,S8)</f>
        <v>0</v>
      </c>
      <c r="J8" s="703"/>
      <c r="K8" s="663"/>
      <c r="L8" s="663"/>
      <c r="M8" s="664" t="e">
        <f t="shared" si="2"/>
        <v>#DIV/0!</v>
      </c>
      <c r="N8" s="682"/>
      <c r="O8" s="681"/>
      <c r="P8" s="663"/>
      <c r="Q8" s="663"/>
      <c r="R8" s="664" t="e">
        <f t="shared" si="3"/>
        <v>#DIV/0!</v>
      </c>
      <c r="S8" s="682"/>
      <c r="T8" s="681"/>
      <c r="U8" s="663"/>
      <c r="V8" s="663"/>
      <c r="W8" s="664" t="e">
        <f t="shared" si="4"/>
        <v>#DIV/0!</v>
      </c>
      <c r="X8" s="682"/>
    </row>
    <row r="9" spans="1:24" s="651" customFormat="1" ht="9.75">
      <c r="A9" s="712" t="s">
        <v>4</v>
      </c>
      <c r="B9" s="187" t="s">
        <v>60</v>
      </c>
      <c r="C9" s="673"/>
      <c r="D9" s="245" t="s">
        <v>25</v>
      </c>
      <c r="E9" s="681">
        <f t="shared" si="5"/>
        <v>13500539</v>
      </c>
      <c r="F9" s="663">
        <f t="shared" si="5"/>
        <v>13823539</v>
      </c>
      <c r="G9" s="663">
        <f t="shared" si="5"/>
        <v>13822076</v>
      </c>
      <c r="H9" s="664">
        <f t="shared" si="0"/>
        <v>99.989416603085502</v>
      </c>
      <c r="I9" s="682">
        <f>SUM(N9,S9)</f>
        <v>13775773</v>
      </c>
      <c r="J9" s="703">
        <v>11000000</v>
      </c>
      <c r="K9" s="663">
        <v>11250000</v>
      </c>
      <c r="L9" s="663">
        <v>11248537</v>
      </c>
      <c r="M9" s="664">
        <f t="shared" si="2"/>
        <v>99.986995555555552</v>
      </c>
      <c r="N9" s="682">
        <v>11296298</v>
      </c>
      <c r="O9" s="681">
        <v>2500539</v>
      </c>
      <c r="P9" s="663">
        <v>2573539</v>
      </c>
      <c r="Q9" s="663">
        <v>2573539</v>
      </c>
      <c r="R9" s="664">
        <f t="shared" si="3"/>
        <v>100</v>
      </c>
      <c r="S9" s="682">
        <v>2479475</v>
      </c>
      <c r="T9" s="681"/>
      <c r="U9" s="663"/>
      <c r="V9" s="663"/>
      <c r="W9" s="664" t="e">
        <f t="shared" si="4"/>
        <v>#DIV/0!</v>
      </c>
      <c r="X9" s="682"/>
    </row>
    <row r="10" spans="1:24" s="651" customFormat="1" ht="9.75">
      <c r="A10" s="708" t="s">
        <v>5</v>
      </c>
      <c r="B10" s="1158" t="s">
        <v>7</v>
      </c>
      <c r="C10" s="1158"/>
      <c r="D10" s="245" t="s">
        <v>25</v>
      </c>
      <c r="E10" s="683">
        <f t="shared" si="5"/>
        <v>0</v>
      </c>
      <c r="F10" s="662">
        <f t="shared" si="5"/>
        <v>143631</v>
      </c>
      <c r="G10" s="662">
        <f t="shared" si="5"/>
        <v>143631</v>
      </c>
      <c r="H10" s="658">
        <f t="shared" si="0"/>
        <v>100</v>
      </c>
      <c r="I10" s="684">
        <f>SUM(N10,S10)</f>
        <v>0</v>
      </c>
      <c r="J10" s="704"/>
      <c r="K10" s="662"/>
      <c r="L10" s="662"/>
      <c r="M10" s="658" t="e">
        <f t="shared" si="2"/>
        <v>#DIV/0!</v>
      </c>
      <c r="N10" s="684"/>
      <c r="O10" s="683">
        <v>0</v>
      </c>
      <c r="P10" s="662">
        <v>143631</v>
      </c>
      <c r="Q10" s="662">
        <v>143631</v>
      </c>
      <c r="R10" s="658">
        <f t="shared" si="3"/>
        <v>100</v>
      </c>
      <c r="S10" s="684"/>
      <c r="T10" s="683"/>
      <c r="U10" s="662"/>
      <c r="V10" s="662"/>
      <c r="W10" s="658" t="e">
        <f t="shared" si="4"/>
        <v>#DIV/0!</v>
      </c>
      <c r="X10" s="684"/>
    </row>
    <row r="11" spans="1:24" s="651" customFormat="1" ht="9.75">
      <c r="A11" s="708" t="s">
        <v>6</v>
      </c>
      <c r="B11" s="1158" t="s">
        <v>9</v>
      </c>
      <c r="C11" s="1158"/>
      <c r="D11" s="245" t="s">
        <v>25</v>
      </c>
      <c r="E11" s="677">
        <f>SUM(E12:E31)</f>
        <v>14090539</v>
      </c>
      <c r="F11" s="661">
        <f>SUM(F12:F31)</f>
        <v>14343639</v>
      </c>
      <c r="G11" s="661">
        <f>SUM(G12:G31)</f>
        <v>14241276</v>
      </c>
      <c r="H11" s="658">
        <f t="shared" si="0"/>
        <v>99.28635264733029</v>
      </c>
      <c r="I11" s="678">
        <f>SUM(I12:I31)</f>
        <v>14170491</v>
      </c>
      <c r="J11" s="677">
        <f>SUM(J12:J31)</f>
        <v>11590000</v>
      </c>
      <c r="K11" s="661">
        <f>SUM(K12:K31)</f>
        <v>11770100</v>
      </c>
      <c r="L11" s="661">
        <f>SUM(L12:L31)</f>
        <v>11667737</v>
      </c>
      <c r="M11" s="658">
        <f t="shared" si="2"/>
        <v>99.130313251374247</v>
      </c>
      <c r="N11" s="678">
        <f>SUM(N12:N31)</f>
        <v>11691016</v>
      </c>
      <c r="O11" s="677">
        <f>SUM(O12:O31)</f>
        <v>2500539</v>
      </c>
      <c r="P11" s="661">
        <f>SUM(P12:P31)</f>
        <v>2573539</v>
      </c>
      <c r="Q11" s="661">
        <f>SUM(Q12:Q31)</f>
        <v>2573539</v>
      </c>
      <c r="R11" s="658">
        <f t="shared" si="3"/>
        <v>100</v>
      </c>
      <c r="S11" s="678">
        <f>SUM(S12:S31)</f>
        <v>2479475</v>
      </c>
      <c r="T11" s="677">
        <f>SUM(T12:T31)</f>
        <v>0</v>
      </c>
      <c r="U11" s="661">
        <f>SUM(U12:U31)</f>
        <v>0</v>
      </c>
      <c r="V11" s="661">
        <f>SUM(V12:V31)</f>
        <v>0</v>
      </c>
      <c r="W11" s="658" t="e">
        <f t="shared" si="4"/>
        <v>#DIV/0!</v>
      </c>
      <c r="X11" s="678">
        <f>SUM(X12:X31)</f>
        <v>0</v>
      </c>
    </row>
    <row r="12" spans="1:24" s="651" customFormat="1" ht="9.75">
      <c r="A12" s="232" t="s">
        <v>8</v>
      </c>
      <c r="B12" s="1159" t="s">
        <v>28</v>
      </c>
      <c r="C12" s="1159"/>
      <c r="D12" s="245" t="s">
        <v>25</v>
      </c>
      <c r="E12" s="681">
        <f>SUM(J12,O12)</f>
        <v>1479839</v>
      </c>
      <c r="F12" s="663">
        <f t="shared" ref="E12:I27" si="6">SUM(K12,P12)</f>
        <v>1494539</v>
      </c>
      <c r="G12" s="663">
        <f t="shared" si="6"/>
        <v>1493692</v>
      </c>
      <c r="H12" s="664">
        <f t="shared" si="0"/>
        <v>99.943327005852638</v>
      </c>
      <c r="I12" s="682">
        <f t="shared" si="6"/>
        <v>1788995</v>
      </c>
      <c r="J12" s="705">
        <v>1028000</v>
      </c>
      <c r="K12" s="666">
        <v>1033000</v>
      </c>
      <c r="L12" s="666">
        <v>1031889</v>
      </c>
      <c r="M12" s="664">
        <f t="shared" si="2"/>
        <v>99.892449177153921</v>
      </c>
      <c r="N12" s="686">
        <v>1345397</v>
      </c>
      <c r="O12" s="685">
        <v>451839</v>
      </c>
      <c r="P12" s="666">
        <v>461539</v>
      </c>
      <c r="Q12" s="666">
        <v>461803</v>
      </c>
      <c r="R12" s="664">
        <f t="shared" si="3"/>
        <v>100.05719993326674</v>
      </c>
      <c r="S12" s="689">
        <v>443598</v>
      </c>
      <c r="T12" s="685"/>
      <c r="U12" s="666"/>
      <c r="V12" s="666"/>
      <c r="W12" s="664" t="e">
        <f t="shared" si="4"/>
        <v>#DIV/0!</v>
      </c>
      <c r="X12" s="686"/>
    </row>
    <row r="13" spans="1:24" s="651" customFormat="1" ht="9.75">
      <c r="A13" s="710" t="s">
        <v>10</v>
      </c>
      <c r="B13" s="1160" t="s">
        <v>29</v>
      </c>
      <c r="C13" s="1160"/>
      <c r="D13" s="245" t="s">
        <v>25</v>
      </c>
      <c r="E13" s="681">
        <f t="shared" si="6"/>
        <v>595200</v>
      </c>
      <c r="F13" s="663">
        <f t="shared" si="6"/>
        <v>440900</v>
      </c>
      <c r="G13" s="663">
        <f t="shared" si="6"/>
        <v>413711</v>
      </c>
      <c r="H13" s="664">
        <f t="shared" si="0"/>
        <v>93.833295531866639</v>
      </c>
      <c r="I13" s="682">
        <f t="shared" si="6"/>
        <v>422163</v>
      </c>
      <c r="J13" s="705">
        <v>590000</v>
      </c>
      <c r="K13" s="663">
        <v>435000</v>
      </c>
      <c r="L13" s="663">
        <v>407811</v>
      </c>
      <c r="M13" s="664">
        <f t="shared" si="2"/>
        <v>93.749655172413796</v>
      </c>
      <c r="N13" s="682">
        <v>416963</v>
      </c>
      <c r="O13" s="681">
        <v>5200</v>
      </c>
      <c r="P13" s="663">
        <v>5900</v>
      </c>
      <c r="Q13" s="663">
        <v>5900</v>
      </c>
      <c r="R13" s="664">
        <f t="shared" si="3"/>
        <v>100</v>
      </c>
      <c r="S13" s="682">
        <v>5200</v>
      </c>
      <c r="T13" s="681"/>
      <c r="U13" s="663"/>
      <c r="V13" s="663"/>
      <c r="W13" s="664" t="e">
        <f t="shared" si="4"/>
        <v>#DIV/0!</v>
      </c>
      <c r="X13" s="682"/>
    </row>
    <row r="14" spans="1:24" s="651" customFormat="1" ht="9.75">
      <c r="A14" s="710" t="s">
        <v>11</v>
      </c>
      <c r="B14" s="672" t="s">
        <v>61</v>
      </c>
      <c r="C14" s="672"/>
      <c r="D14" s="245" t="s">
        <v>25</v>
      </c>
      <c r="E14" s="681">
        <f t="shared" si="6"/>
        <v>0</v>
      </c>
      <c r="F14" s="663">
        <f t="shared" si="6"/>
        <v>0</v>
      </c>
      <c r="G14" s="663">
        <f t="shared" si="6"/>
        <v>0</v>
      </c>
      <c r="H14" s="664" t="e">
        <f t="shared" si="0"/>
        <v>#DIV/0!</v>
      </c>
      <c r="I14" s="682">
        <f t="shared" si="6"/>
        <v>-200000</v>
      </c>
      <c r="J14" s="705"/>
      <c r="K14" s="663"/>
      <c r="L14" s="663"/>
      <c r="M14" s="664" t="e">
        <f t="shared" si="2"/>
        <v>#DIV/0!</v>
      </c>
      <c r="N14" s="682">
        <v>-200000</v>
      </c>
      <c r="O14" s="681"/>
      <c r="P14" s="663"/>
      <c r="Q14" s="663"/>
      <c r="R14" s="664" t="e">
        <f t="shared" si="3"/>
        <v>#DIV/0!</v>
      </c>
      <c r="S14" s="682"/>
      <c r="T14" s="681"/>
      <c r="U14" s="663"/>
      <c r="V14" s="663"/>
      <c r="W14" s="664" t="e">
        <f t="shared" si="4"/>
        <v>#DIV/0!</v>
      </c>
      <c r="X14" s="682"/>
    </row>
    <row r="15" spans="1:24" s="651" customFormat="1" ht="9.75">
      <c r="A15" s="710" t="s">
        <v>12</v>
      </c>
      <c r="B15" s="1160" t="s">
        <v>62</v>
      </c>
      <c r="C15" s="1160"/>
      <c r="D15" s="245" t="s">
        <v>25</v>
      </c>
      <c r="E15" s="681">
        <f t="shared" si="6"/>
        <v>120000</v>
      </c>
      <c r="F15" s="663">
        <f t="shared" si="6"/>
        <v>334000</v>
      </c>
      <c r="G15" s="663">
        <f t="shared" si="6"/>
        <v>331384</v>
      </c>
      <c r="H15" s="664">
        <f t="shared" si="0"/>
        <v>99.216766467065867</v>
      </c>
      <c r="I15" s="682">
        <f t="shared" si="6"/>
        <v>314740</v>
      </c>
      <c r="J15" s="705">
        <v>120000</v>
      </c>
      <c r="K15" s="663">
        <v>334000</v>
      </c>
      <c r="L15" s="663">
        <v>331384</v>
      </c>
      <c r="M15" s="664">
        <f t="shared" si="2"/>
        <v>99.216766467065867</v>
      </c>
      <c r="N15" s="682">
        <v>314740</v>
      </c>
      <c r="O15" s="681"/>
      <c r="P15" s="663"/>
      <c r="Q15" s="663"/>
      <c r="R15" s="664" t="e">
        <f t="shared" si="3"/>
        <v>#DIV/0!</v>
      </c>
      <c r="S15" s="682"/>
      <c r="T15" s="681"/>
      <c r="U15" s="663"/>
      <c r="V15" s="663"/>
      <c r="W15" s="664" t="e">
        <f t="shared" si="4"/>
        <v>#DIV/0!</v>
      </c>
      <c r="X15" s="682"/>
    </row>
    <row r="16" spans="1:24" s="651" customFormat="1" ht="9.75">
      <c r="A16" s="710" t="s">
        <v>13</v>
      </c>
      <c r="B16" s="1160" t="s">
        <v>30</v>
      </c>
      <c r="C16" s="1160"/>
      <c r="D16" s="245" t="s">
        <v>25</v>
      </c>
      <c r="E16" s="681">
        <f t="shared" si="6"/>
        <v>24000</v>
      </c>
      <c r="F16" s="663">
        <f t="shared" si="6"/>
        <v>21830</v>
      </c>
      <c r="G16" s="663">
        <f t="shared" si="6"/>
        <v>21337</v>
      </c>
      <c r="H16" s="664">
        <f t="shared" si="0"/>
        <v>97.741639945029775</v>
      </c>
      <c r="I16" s="682">
        <f t="shared" si="6"/>
        <v>17866</v>
      </c>
      <c r="J16" s="705">
        <v>12000</v>
      </c>
      <c r="K16" s="663">
        <v>5000</v>
      </c>
      <c r="L16" s="663">
        <v>4509</v>
      </c>
      <c r="M16" s="664">
        <f t="shared" si="2"/>
        <v>90.18</v>
      </c>
      <c r="N16" s="682">
        <v>3965</v>
      </c>
      <c r="O16" s="681">
        <v>12000</v>
      </c>
      <c r="P16" s="663">
        <v>16830</v>
      </c>
      <c r="Q16" s="663">
        <v>16828</v>
      </c>
      <c r="R16" s="664">
        <f t="shared" si="3"/>
        <v>99.988116458704695</v>
      </c>
      <c r="S16" s="682">
        <v>13901</v>
      </c>
      <c r="T16" s="681"/>
      <c r="U16" s="663"/>
      <c r="V16" s="663"/>
      <c r="W16" s="664" t="e">
        <f t="shared" si="4"/>
        <v>#DIV/0!</v>
      </c>
      <c r="X16" s="682"/>
    </row>
    <row r="17" spans="1:24" s="651" customFormat="1" ht="9.75">
      <c r="A17" s="710" t="s">
        <v>14</v>
      </c>
      <c r="B17" s="672" t="s">
        <v>46</v>
      </c>
      <c r="C17" s="672"/>
      <c r="D17" s="245" t="s">
        <v>25</v>
      </c>
      <c r="E17" s="681">
        <f t="shared" si="6"/>
        <v>4000</v>
      </c>
      <c r="F17" s="663">
        <f t="shared" si="6"/>
        <v>4000</v>
      </c>
      <c r="G17" s="663">
        <f t="shared" si="6"/>
        <v>3269</v>
      </c>
      <c r="H17" s="664">
        <f t="shared" si="0"/>
        <v>81.725000000000009</v>
      </c>
      <c r="I17" s="682">
        <f t="shared" si="6"/>
        <v>4813</v>
      </c>
      <c r="J17" s="705">
        <v>4000</v>
      </c>
      <c r="K17" s="663">
        <v>4000</v>
      </c>
      <c r="L17" s="663">
        <v>3269</v>
      </c>
      <c r="M17" s="664">
        <f t="shared" si="2"/>
        <v>81.725000000000009</v>
      </c>
      <c r="N17" s="682">
        <v>4813</v>
      </c>
      <c r="O17" s="681"/>
      <c r="P17" s="663"/>
      <c r="Q17" s="663"/>
      <c r="R17" s="664" t="e">
        <f t="shared" si="3"/>
        <v>#DIV/0!</v>
      </c>
      <c r="S17" s="682"/>
      <c r="T17" s="681"/>
      <c r="U17" s="663"/>
      <c r="V17" s="663"/>
      <c r="W17" s="664" t="e">
        <f t="shared" si="4"/>
        <v>#DIV/0!</v>
      </c>
      <c r="X17" s="682"/>
    </row>
    <row r="18" spans="1:24" s="651" customFormat="1" ht="9.75">
      <c r="A18" s="710" t="s">
        <v>15</v>
      </c>
      <c r="B18" s="1160" t="s">
        <v>31</v>
      </c>
      <c r="C18" s="1160"/>
      <c r="D18" s="245" t="s">
        <v>25</v>
      </c>
      <c r="E18" s="681">
        <f t="shared" si="6"/>
        <v>604500</v>
      </c>
      <c r="F18" s="663">
        <f t="shared" si="6"/>
        <v>583500</v>
      </c>
      <c r="G18" s="663">
        <f t="shared" si="6"/>
        <v>582372</v>
      </c>
      <c r="H18" s="664">
        <f t="shared" si="0"/>
        <v>99.806683804627255</v>
      </c>
      <c r="I18" s="682">
        <f t="shared" si="6"/>
        <v>616153</v>
      </c>
      <c r="J18" s="705">
        <v>595000</v>
      </c>
      <c r="K18" s="663">
        <v>574000</v>
      </c>
      <c r="L18" s="663">
        <v>572872</v>
      </c>
      <c r="M18" s="664">
        <f t="shared" si="2"/>
        <v>99.803484320557487</v>
      </c>
      <c r="N18" s="682">
        <v>602165</v>
      </c>
      <c r="O18" s="681">
        <v>9500</v>
      </c>
      <c r="P18" s="663">
        <v>9500</v>
      </c>
      <c r="Q18" s="663">
        <v>9500</v>
      </c>
      <c r="R18" s="664">
        <f t="shared" si="3"/>
        <v>100</v>
      </c>
      <c r="S18" s="682">
        <v>13988</v>
      </c>
      <c r="T18" s="681"/>
      <c r="U18" s="663"/>
      <c r="V18" s="663"/>
      <c r="W18" s="664" t="e">
        <f t="shared" si="4"/>
        <v>#DIV/0!</v>
      </c>
      <c r="X18" s="682"/>
    </row>
    <row r="19" spans="1:24" s="654" customFormat="1" ht="9.75">
      <c r="A19" s="710" t="s">
        <v>16</v>
      </c>
      <c r="B19" s="1160" t="s">
        <v>32</v>
      </c>
      <c r="C19" s="1160"/>
      <c r="D19" s="245" t="s">
        <v>25</v>
      </c>
      <c r="E19" s="681">
        <f t="shared" si="6"/>
        <v>7920000</v>
      </c>
      <c r="F19" s="663">
        <f t="shared" si="6"/>
        <v>7917200</v>
      </c>
      <c r="G19" s="663">
        <f t="shared" si="6"/>
        <v>7916473</v>
      </c>
      <c r="H19" s="664">
        <f t="shared" si="0"/>
        <v>99.990817460718446</v>
      </c>
      <c r="I19" s="682">
        <f t="shared" si="6"/>
        <v>7864368</v>
      </c>
      <c r="J19" s="706">
        <v>6440000</v>
      </c>
      <c r="K19" s="663">
        <v>6440000</v>
      </c>
      <c r="L19" s="663">
        <v>6439393</v>
      </c>
      <c r="M19" s="664">
        <f t="shared" si="2"/>
        <v>99.990574534161496</v>
      </c>
      <c r="N19" s="682">
        <v>6404378</v>
      </c>
      <c r="O19" s="681">
        <v>1480000</v>
      </c>
      <c r="P19" s="663">
        <v>1477200</v>
      </c>
      <c r="Q19" s="663">
        <v>1477080</v>
      </c>
      <c r="R19" s="664">
        <f t="shared" si="3"/>
        <v>99.991876523151916</v>
      </c>
      <c r="S19" s="682">
        <v>1459990</v>
      </c>
      <c r="T19" s="687"/>
      <c r="U19" s="668"/>
      <c r="V19" s="668"/>
      <c r="W19" s="664" t="e">
        <f t="shared" si="4"/>
        <v>#DIV/0!</v>
      </c>
      <c r="X19" s="688"/>
    </row>
    <row r="20" spans="1:24" s="651" customFormat="1" ht="9.75">
      <c r="A20" s="710" t="s">
        <v>17</v>
      </c>
      <c r="B20" s="1160" t="s">
        <v>47</v>
      </c>
      <c r="C20" s="1160"/>
      <c r="D20" s="245" t="s">
        <v>25</v>
      </c>
      <c r="E20" s="681">
        <f t="shared" si="6"/>
        <v>2692700</v>
      </c>
      <c r="F20" s="663">
        <f t="shared" si="6"/>
        <v>2688300</v>
      </c>
      <c r="G20" s="663">
        <f t="shared" si="6"/>
        <v>2625878</v>
      </c>
      <c r="H20" s="664">
        <f t="shared" si="0"/>
        <v>97.678012126622775</v>
      </c>
      <c r="I20" s="682">
        <f t="shared" si="6"/>
        <v>2638624</v>
      </c>
      <c r="J20" s="705">
        <v>2188000</v>
      </c>
      <c r="K20" s="663">
        <v>2188000</v>
      </c>
      <c r="L20" s="663">
        <v>2125650</v>
      </c>
      <c r="M20" s="664">
        <f t="shared" si="2"/>
        <v>97.150365630712969</v>
      </c>
      <c r="N20" s="682">
        <v>2141539</v>
      </c>
      <c r="O20" s="681">
        <v>504700</v>
      </c>
      <c r="P20" s="663">
        <v>500300</v>
      </c>
      <c r="Q20" s="663">
        <v>500228</v>
      </c>
      <c r="R20" s="664">
        <f t="shared" si="3"/>
        <v>99.985608634819116</v>
      </c>
      <c r="S20" s="682">
        <v>497085</v>
      </c>
      <c r="T20" s="681"/>
      <c r="U20" s="663"/>
      <c r="V20" s="663"/>
      <c r="W20" s="664" t="e">
        <f t="shared" si="4"/>
        <v>#DIV/0!</v>
      </c>
      <c r="X20" s="682"/>
    </row>
    <row r="21" spans="1:24" s="651" customFormat="1" ht="9.75">
      <c r="A21" s="710" t="s">
        <v>18</v>
      </c>
      <c r="B21" s="1160" t="s">
        <v>48</v>
      </c>
      <c r="C21" s="1160"/>
      <c r="D21" s="245" t="s">
        <v>25</v>
      </c>
      <c r="E21" s="681">
        <f t="shared" si="6"/>
        <v>261300</v>
      </c>
      <c r="F21" s="663">
        <f t="shared" si="6"/>
        <v>261400</v>
      </c>
      <c r="G21" s="663">
        <f t="shared" si="6"/>
        <v>256866</v>
      </c>
      <c r="H21" s="664">
        <f t="shared" si="0"/>
        <v>98.265493496556999</v>
      </c>
      <c r="I21" s="682">
        <f t="shared" si="6"/>
        <v>255419</v>
      </c>
      <c r="J21" s="705">
        <v>224000</v>
      </c>
      <c r="K21" s="663">
        <v>224000</v>
      </c>
      <c r="L21" s="663">
        <v>219536</v>
      </c>
      <c r="M21" s="664">
        <f t="shared" si="2"/>
        <v>98.007142857142853</v>
      </c>
      <c r="N21" s="682">
        <v>218995</v>
      </c>
      <c r="O21" s="681">
        <v>37300</v>
      </c>
      <c r="P21" s="663">
        <v>37400</v>
      </c>
      <c r="Q21" s="663">
        <v>37330</v>
      </c>
      <c r="R21" s="664">
        <f t="shared" si="3"/>
        <v>99.81283422459893</v>
      </c>
      <c r="S21" s="682">
        <v>36424</v>
      </c>
      <c r="T21" s="681"/>
      <c r="U21" s="663"/>
      <c r="V21" s="663"/>
      <c r="W21" s="664" t="e">
        <f t="shared" si="4"/>
        <v>#DIV/0!</v>
      </c>
      <c r="X21" s="682"/>
    </row>
    <row r="22" spans="1:24" s="651" customFormat="1" ht="9.75">
      <c r="A22" s="710" t="s">
        <v>19</v>
      </c>
      <c r="B22" s="1160" t="s">
        <v>63</v>
      </c>
      <c r="C22" s="1160"/>
      <c r="D22" s="245" t="s">
        <v>25</v>
      </c>
      <c r="E22" s="681">
        <f t="shared" si="6"/>
        <v>0</v>
      </c>
      <c r="F22" s="663">
        <f t="shared" si="6"/>
        <v>0</v>
      </c>
      <c r="G22" s="663">
        <f t="shared" si="6"/>
        <v>0</v>
      </c>
      <c r="H22" s="664" t="e">
        <f t="shared" si="0"/>
        <v>#DIV/0!</v>
      </c>
      <c r="I22" s="682">
        <f t="shared" si="6"/>
        <v>0</v>
      </c>
      <c r="J22" s="705"/>
      <c r="K22" s="663"/>
      <c r="L22" s="663"/>
      <c r="M22" s="664" t="e">
        <f t="shared" si="2"/>
        <v>#DIV/0!</v>
      </c>
      <c r="N22" s="682"/>
      <c r="O22" s="681"/>
      <c r="P22" s="663"/>
      <c r="Q22" s="663"/>
      <c r="R22" s="664" t="e">
        <f t="shared" si="3"/>
        <v>#DIV/0!</v>
      </c>
      <c r="S22" s="682"/>
      <c r="T22" s="681"/>
      <c r="U22" s="663"/>
      <c r="V22" s="663"/>
      <c r="W22" s="664" t="e">
        <f t="shared" si="4"/>
        <v>#DIV/0!</v>
      </c>
      <c r="X22" s="682"/>
    </row>
    <row r="23" spans="1:24" s="651" customFormat="1" ht="9.75">
      <c r="A23" s="710" t="s">
        <v>20</v>
      </c>
      <c r="B23" s="672" t="s">
        <v>64</v>
      </c>
      <c r="C23" s="672"/>
      <c r="D23" s="245" t="s">
        <v>25</v>
      </c>
      <c r="E23" s="681">
        <f t="shared" si="6"/>
        <v>0</v>
      </c>
      <c r="F23" s="663">
        <f t="shared" si="6"/>
        <v>0</v>
      </c>
      <c r="G23" s="663">
        <f t="shared" si="6"/>
        <v>0</v>
      </c>
      <c r="H23" s="664" t="e">
        <f t="shared" si="0"/>
        <v>#DIV/0!</v>
      </c>
      <c r="I23" s="682">
        <f t="shared" si="6"/>
        <v>0</v>
      </c>
      <c r="J23" s="705"/>
      <c r="K23" s="663"/>
      <c r="L23" s="663"/>
      <c r="M23" s="664" t="e">
        <f t="shared" si="2"/>
        <v>#DIV/0!</v>
      </c>
      <c r="N23" s="682"/>
      <c r="O23" s="681"/>
      <c r="P23" s="663"/>
      <c r="Q23" s="663"/>
      <c r="R23" s="664" t="e">
        <f t="shared" si="3"/>
        <v>#DIV/0!</v>
      </c>
      <c r="S23" s="682"/>
      <c r="T23" s="681"/>
      <c r="U23" s="663"/>
      <c r="V23" s="663"/>
      <c r="W23" s="664" t="e">
        <f t="shared" si="4"/>
        <v>#DIV/0!</v>
      </c>
      <c r="X23" s="682"/>
    </row>
    <row r="24" spans="1:24" s="651" customFormat="1" ht="9.75">
      <c r="A24" s="710" t="s">
        <v>21</v>
      </c>
      <c r="B24" s="672" t="s">
        <v>71</v>
      </c>
      <c r="C24" s="672"/>
      <c r="D24" s="245" t="s">
        <v>25</v>
      </c>
      <c r="E24" s="681">
        <f t="shared" si="6"/>
        <v>0</v>
      </c>
      <c r="F24" s="663">
        <f t="shared" si="6"/>
        <v>0</v>
      </c>
      <c r="G24" s="663">
        <f t="shared" si="6"/>
        <v>0</v>
      </c>
      <c r="H24" s="664" t="e">
        <f t="shared" si="0"/>
        <v>#DIV/0!</v>
      </c>
      <c r="I24" s="682">
        <f t="shared" si="6"/>
        <v>0</v>
      </c>
      <c r="J24" s="705"/>
      <c r="K24" s="663"/>
      <c r="L24" s="663"/>
      <c r="M24" s="664" t="e">
        <f t="shared" si="2"/>
        <v>#DIV/0!</v>
      </c>
      <c r="N24" s="682"/>
      <c r="O24" s="681"/>
      <c r="P24" s="663"/>
      <c r="Q24" s="663"/>
      <c r="R24" s="664" t="e">
        <f t="shared" si="3"/>
        <v>#DIV/0!</v>
      </c>
      <c r="S24" s="682"/>
      <c r="T24" s="681"/>
      <c r="U24" s="663"/>
      <c r="V24" s="663"/>
      <c r="W24" s="664" t="e">
        <f t="shared" si="4"/>
        <v>#DIV/0!</v>
      </c>
      <c r="X24" s="682"/>
    </row>
    <row r="25" spans="1:24" s="651" customFormat="1" ht="9.75">
      <c r="A25" s="232" t="s">
        <v>22</v>
      </c>
      <c r="B25" s="264" t="s">
        <v>66</v>
      </c>
      <c r="C25" s="264"/>
      <c r="D25" s="245" t="s">
        <v>25</v>
      </c>
      <c r="E25" s="681">
        <f t="shared" si="6"/>
        <v>0</v>
      </c>
      <c r="F25" s="663">
        <f t="shared" si="6"/>
        <v>630</v>
      </c>
      <c r="G25" s="663">
        <f t="shared" si="6"/>
        <v>630</v>
      </c>
      <c r="H25" s="664">
        <f t="shared" si="0"/>
        <v>100</v>
      </c>
      <c r="I25" s="682">
        <f t="shared" si="6"/>
        <v>0</v>
      </c>
      <c r="J25" s="705"/>
      <c r="K25" s="666">
        <v>630</v>
      </c>
      <c r="L25" s="666">
        <v>630</v>
      </c>
      <c r="M25" s="664">
        <f t="shared" si="2"/>
        <v>100</v>
      </c>
      <c r="N25" s="686"/>
      <c r="O25" s="685"/>
      <c r="P25" s="666"/>
      <c r="Q25" s="666"/>
      <c r="R25" s="664" t="e">
        <f t="shared" si="3"/>
        <v>#DIV/0!</v>
      </c>
      <c r="S25" s="689"/>
      <c r="T25" s="685"/>
      <c r="U25" s="666"/>
      <c r="V25" s="666"/>
      <c r="W25" s="664" t="e">
        <f t="shared" si="4"/>
        <v>#DIV/0!</v>
      </c>
      <c r="X25" s="689"/>
    </row>
    <row r="26" spans="1:24" s="655" customFormat="1" ht="9.75">
      <c r="A26" s="710" t="s">
        <v>23</v>
      </c>
      <c r="B26" s="1160" t="s">
        <v>67</v>
      </c>
      <c r="C26" s="1160"/>
      <c r="D26" s="245" t="s">
        <v>25</v>
      </c>
      <c r="E26" s="681">
        <f t="shared" si="6"/>
        <v>382000</v>
      </c>
      <c r="F26" s="663">
        <f t="shared" si="6"/>
        <v>382000</v>
      </c>
      <c r="G26" s="663">
        <f t="shared" si="6"/>
        <v>381051</v>
      </c>
      <c r="H26" s="669">
        <f t="shared" si="0"/>
        <v>99.751570680628276</v>
      </c>
      <c r="I26" s="682">
        <f t="shared" si="6"/>
        <v>398350</v>
      </c>
      <c r="J26" s="705">
        <v>382000</v>
      </c>
      <c r="K26" s="667">
        <v>382000</v>
      </c>
      <c r="L26" s="667">
        <v>381051</v>
      </c>
      <c r="M26" s="664">
        <f t="shared" si="2"/>
        <v>99.751570680628276</v>
      </c>
      <c r="N26" s="682">
        <v>398350</v>
      </c>
      <c r="O26" s="222"/>
      <c r="P26" s="667"/>
      <c r="Q26" s="667"/>
      <c r="R26" s="664" t="e">
        <f t="shared" si="3"/>
        <v>#DIV/0!</v>
      </c>
      <c r="S26" s="686"/>
      <c r="T26" s="227"/>
      <c r="U26" s="192"/>
      <c r="V26" s="192"/>
      <c r="W26" s="664" t="e">
        <f t="shared" si="4"/>
        <v>#DIV/0!</v>
      </c>
      <c r="X26" s="228"/>
    </row>
    <row r="27" spans="1:24" s="656" customFormat="1" ht="9.75">
      <c r="A27" s="710" t="s">
        <v>43</v>
      </c>
      <c r="B27" s="672" t="s">
        <v>68</v>
      </c>
      <c r="C27" s="672"/>
      <c r="D27" s="245" t="s">
        <v>25</v>
      </c>
      <c r="E27" s="681">
        <f t="shared" si="6"/>
        <v>5000</v>
      </c>
      <c r="F27" s="663">
        <f t="shared" si="6"/>
        <v>4370</v>
      </c>
      <c r="G27" s="663">
        <f t="shared" si="6"/>
        <v>4258</v>
      </c>
      <c r="H27" s="669">
        <f t="shared" si="0"/>
        <v>97.437070938215101</v>
      </c>
      <c r="I27" s="682">
        <f t="shared" si="6"/>
        <v>6484</v>
      </c>
      <c r="J27" s="705">
        <v>5000</v>
      </c>
      <c r="K27" s="667">
        <v>4370</v>
      </c>
      <c r="L27" s="667">
        <v>4258</v>
      </c>
      <c r="M27" s="664">
        <f t="shared" si="2"/>
        <v>97.437070938215101</v>
      </c>
      <c r="N27" s="686">
        <v>6484</v>
      </c>
      <c r="O27" s="222"/>
      <c r="P27" s="667"/>
      <c r="Q27" s="667"/>
      <c r="R27" s="664" t="e">
        <f t="shared" si="3"/>
        <v>#DIV/0!</v>
      </c>
      <c r="S27" s="686"/>
      <c r="T27" s="227"/>
      <c r="U27" s="192"/>
      <c r="V27" s="192"/>
      <c r="W27" s="664" t="e">
        <f t="shared" si="4"/>
        <v>#DIV/0!</v>
      </c>
      <c r="X27" s="228"/>
    </row>
    <row r="28" spans="1:24" s="656" customFormat="1" ht="9.75">
      <c r="A28" s="710" t="s">
        <v>49</v>
      </c>
      <c r="B28" s="672" t="s">
        <v>72</v>
      </c>
      <c r="C28" s="672"/>
      <c r="D28" s="245" t="s">
        <v>25</v>
      </c>
      <c r="E28" s="681">
        <f>SUM(J28,O28)</f>
        <v>0</v>
      </c>
      <c r="F28" s="663">
        <f>SUM(K28,P28)</f>
        <v>208970</v>
      </c>
      <c r="G28" s="663">
        <f>SUM(L28,Q28)</f>
        <v>208469</v>
      </c>
      <c r="H28" s="669">
        <f t="shared" si="0"/>
        <v>99.760252667847055</v>
      </c>
      <c r="I28" s="682">
        <f>SUM(N28,S28)</f>
        <v>40630</v>
      </c>
      <c r="J28" s="705">
        <v>0</v>
      </c>
      <c r="K28" s="667">
        <v>144100</v>
      </c>
      <c r="L28" s="667">
        <v>143599</v>
      </c>
      <c r="M28" s="664">
        <f t="shared" si="2"/>
        <v>99.652324774462173</v>
      </c>
      <c r="N28" s="686">
        <v>31341</v>
      </c>
      <c r="O28" s="222"/>
      <c r="P28" s="667">
        <v>64870</v>
      </c>
      <c r="Q28" s="667">
        <v>64870</v>
      </c>
      <c r="R28" s="664">
        <f t="shared" si="3"/>
        <v>100</v>
      </c>
      <c r="S28" s="686">
        <v>9289</v>
      </c>
      <c r="T28" s="227"/>
      <c r="U28" s="192"/>
      <c r="V28" s="192"/>
      <c r="W28" s="664" t="e">
        <f t="shared" si="4"/>
        <v>#DIV/0!</v>
      </c>
      <c r="X28" s="228"/>
    </row>
    <row r="29" spans="1:24" s="655" customFormat="1" ht="9.75">
      <c r="A29" s="710" t="s">
        <v>50</v>
      </c>
      <c r="B29" s="1160" t="s">
        <v>65</v>
      </c>
      <c r="C29" s="1160"/>
      <c r="D29" s="245" t="s">
        <v>25</v>
      </c>
      <c r="E29" s="681">
        <f t="shared" ref="E29:G31" si="7">SUM(J29,O29)</f>
        <v>2000</v>
      </c>
      <c r="F29" s="663">
        <f t="shared" si="7"/>
        <v>2000</v>
      </c>
      <c r="G29" s="663">
        <f t="shared" si="7"/>
        <v>1886</v>
      </c>
      <c r="H29" s="669">
        <f t="shared" si="0"/>
        <v>94.3</v>
      </c>
      <c r="I29" s="682">
        <f>SUM(N29,S29)</f>
        <v>1886</v>
      </c>
      <c r="J29" s="705">
        <v>2000</v>
      </c>
      <c r="K29" s="667">
        <v>2000</v>
      </c>
      <c r="L29" s="667">
        <v>1886</v>
      </c>
      <c r="M29" s="664">
        <f t="shared" si="2"/>
        <v>94.3</v>
      </c>
      <c r="N29" s="686">
        <v>1886</v>
      </c>
      <c r="O29" s="222"/>
      <c r="P29" s="667"/>
      <c r="Q29" s="667"/>
      <c r="R29" s="664" t="e">
        <f t="shared" si="3"/>
        <v>#DIV/0!</v>
      </c>
      <c r="S29" s="686"/>
      <c r="T29" s="227"/>
      <c r="U29" s="192"/>
      <c r="V29" s="192"/>
      <c r="W29" s="664" t="e">
        <f t="shared" si="4"/>
        <v>#DIV/0!</v>
      </c>
      <c r="X29" s="228"/>
    </row>
    <row r="30" spans="1:24" s="651" customFormat="1" ht="9.75">
      <c r="A30" s="710" t="s">
        <v>52</v>
      </c>
      <c r="B30" s="672" t="s">
        <v>51</v>
      </c>
      <c r="C30" s="672"/>
      <c r="D30" s="245" t="s">
        <v>25</v>
      </c>
      <c r="E30" s="681">
        <f t="shared" si="7"/>
        <v>0</v>
      </c>
      <c r="F30" s="663">
        <f t="shared" si="7"/>
        <v>0</v>
      </c>
      <c r="G30" s="663">
        <f t="shared" si="7"/>
        <v>0</v>
      </c>
      <c r="H30" s="669" t="e">
        <f t="shared" si="0"/>
        <v>#DIV/0!</v>
      </c>
      <c r="I30" s="682">
        <f>SUM(N30,S30)</f>
        <v>0</v>
      </c>
      <c r="J30" s="705"/>
      <c r="K30" s="667"/>
      <c r="L30" s="667"/>
      <c r="M30" s="664" t="e">
        <f t="shared" si="2"/>
        <v>#DIV/0!</v>
      </c>
      <c r="N30" s="686"/>
      <c r="O30" s="222"/>
      <c r="P30" s="667"/>
      <c r="Q30" s="667"/>
      <c r="R30" s="664" t="e">
        <f t="shared" si="3"/>
        <v>#DIV/0!</v>
      </c>
      <c r="S30" s="686"/>
      <c r="T30" s="227"/>
      <c r="U30" s="192"/>
      <c r="V30" s="192"/>
      <c r="W30" s="664" t="e">
        <f t="shared" si="4"/>
        <v>#DIV/0!</v>
      </c>
      <c r="X30" s="228"/>
    </row>
    <row r="31" spans="1:24" s="659" customFormat="1" ht="9.75">
      <c r="A31" s="710" t="s">
        <v>53</v>
      </c>
      <c r="B31" s="672" t="s">
        <v>69</v>
      </c>
      <c r="C31" s="672"/>
      <c r="D31" s="245" t="s">
        <v>25</v>
      </c>
      <c r="E31" s="681">
        <f t="shared" si="7"/>
        <v>0</v>
      </c>
      <c r="F31" s="663">
        <f t="shared" si="7"/>
        <v>0</v>
      </c>
      <c r="G31" s="663">
        <f t="shared" si="7"/>
        <v>0</v>
      </c>
      <c r="H31" s="669" t="e">
        <f t="shared" si="0"/>
        <v>#DIV/0!</v>
      </c>
      <c r="I31" s="682">
        <f>SUM(N31,S31)</f>
        <v>0</v>
      </c>
      <c r="J31" s="705"/>
      <c r="K31" s="670"/>
      <c r="L31" s="670"/>
      <c r="M31" s="664" t="e">
        <f t="shared" si="2"/>
        <v>#DIV/0!</v>
      </c>
      <c r="N31" s="692"/>
      <c r="O31" s="223"/>
      <c r="P31" s="670"/>
      <c r="Q31" s="670"/>
      <c r="R31" s="664" t="e">
        <f t="shared" si="3"/>
        <v>#DIV/0!</v>
      </c>
      <c r="S31" s="692"/>
      <c r="T31" s="690"/>
      <c r="U31" s="671"/>
      <c r="V31" s="671"/>
      <c r="W31" s="664" t="e">
        <f t="shared" si="4"/>
        <v>#DIV/0!</v>
      </c>
      <c r="X31" s="691"/>
    </row>
    <row r="32" spans="1:24" s="659" customFormat="1" ht="9.75">
      <c r="A32" s="232" t="s">
        <v>54</v>
      </c>
      <c r="B32" s="264" t="s">
        <v>70</v>
      </c>
      <c r="C32" s="264"/>
      <c r="D32" s="245" t="s">
        <v>25</v>
      </c>
      <c r="E32" s="681">
        <f>SUM(J32,O32)</f>
        <v>0</v>
      </c>
      <c r="F32" s="663">
        <f>SUM(K32,P32)</f>
        <v>0</v>
      </c>
      <c r="G32" s="663">
        <f>SUM(L32,Q32)</f>
        <v>0</v>
      </c>
      <c r="H32" s="669" t="e">
        <f t="shared" si="0"/>
        <v>#DIV/0!</v>
      </c>
      <c r="I32" s="682">
        <f>SUM(N32,S32)</f>
        <v>0</v>
      </c>
      <c r="J32" s="707"/>
      <c r="K32" s="671"/>
      <c r="L32" s="671"/>
      <c r="M32" s="664" t="e">
        <f t="shared" si="2"/>
        <v>#DIV/0!</v>
      </c>
      <c r="N32" s="691"/>
      <c r="O32" s="690"/>
      <c r="P32" s="671"/>
      <c r="Q32" s="671"/>
      <c r="R32" s="664" t="e">
        <f t="shared" si="3"/>
        <v>#DIV/0!</v>
      </c>
      <c r="S32" s="691"/>
      <c r="T32" s="690"/>
      <c r="U32" s="671"/>
      <c r="V32" s="671"/>
      <c r="W32" s="664" t="e">
        <f t="shared" si="4"/>
        <v>#DIV/0!</v>
      </c>
      <c r="X32" s="691"/>
    </row>
    <row r="33" spans="1:24" s="659" customFormat="1" ht="9.75">
      <c r="A33" s="708" t="s">
        <v>55</v>
      </c>
      <c r="B33" s="746" t="s">
        <v>56</v>
      </c>
      <c r="C33" s="746"/>
      <c r="D33" s="245" t="s">
        <v>25</v>
      </c>
      <c r="E33" s="677">
        <f>E6-E11</f>
        <v>0</v>
      </c>
      <c r="F33" s="661">
        <f t="shared" ref="F33:G33" si="8">F6-F11</f>
        <v>0</v>
      </c>
      <c r="G33" s="661">
        <f t="shared" si="8"/>
        <v>100752</v>
      </c>
      <c r="H33" s="195" t="e">
        <f t="shared" si="0"/>
        <v>#DIV/0!</v>
      </c>
      <c r="I33" s="678">
        <f t="shared" ref="I33:L33" si="9">I6-I11</f>
        <v>68909</v>
      </c>
      <c r="J33" s="677">
        <f t="shared" si="9"/>
        <v>0</v>
      </c>
      <c r="K33" s="661">
        <f t="shared" si="9"/>
        <v>0</v>
      </c>
      <c r="L33" s="661">
        <f t="shared" si="9"/>
        <v>100752</v>
      </c>
      <c r="M33" s="658" t="e">
        <f t="shared" si="2"/>
        <v>#DIV/0!</v>
      </c>
      <c r="N33" s="678">
        <f t="shared" ref="N33:Q33" si="10">N6-N11</f>
        <v>68909</v>
      </c>
      <c r="O33" s="677">
        <f t="shared" si="10"/>
        <v>0</v>
      </c>
      <c r="P33" s="661">
        <f t="shared" si="10"/>
        <v>0</v>
      </c>
      <c r="Q33" s="661">
        <f t="shared" si="10"/>
        <v>0</v>
      </c>
      <c r="R33" s="658" t="e">
        <f t="shared" si="3"/>
        <v>#DIV/0!</v>
      </c>
      <c r="S33" s="678">
        <f t="shared" ref="S33:V33" si="11">S6-S11</f>
        <v>0</v>
      </c>
      <c r="T33" s="677">
        <f t="shared" si="11"/>
        <v>0</v>
      </c>
      <c r="U33" s="661">
        <f t="shared" si="11"/>
        <v>0</v>
      </c>
      <c r="V33" s="661">
        <f t="shared" si="11"/>
        <v>0</v>
      </c>
      <c r="W33" s="658" t="e">
        <f t="shared" si="4"/>
        <v>#DIV/0!</v>
      </c>
      <c r="X33" s="678">
        <f>X6-X11</f>
        <v>0</v>
      </c>
    </row>
    <row r="34" spans="1:24" s="660" customFormat="1" ht="9.75">
      <c r="A34" s="713" t="s">
        <v>57</v>
      </c>
      <c r="B34" s="1157" t="s">
        <v>237</v>
      </c>
      <c r="C34" s="1157"/>
      <c r="D34" s="715" t="s">
        <v>25</v>
      </c>
      <c r="E34" s="233"/>
      <c r="F34" s="234"/>
      <c r="G34" s="234"/>
      <c r="H34" s="669" t="e">
        <f t="shared" si="0"/>
        <v>#DIV/0!</v>
      </c>
      <c r="I34" s="237"/>
      <c r="J34" s="716">
        <v>29213</v>
      </c>
      <c r="K34" s="717">
        <v>29213</v>
      </c>
      <c r="L34" s="717">
        <v>29440</v>
      </c>
      <c r="M34" s="664">
        <f t="shared" si="2"/>
        <v>100.7770513127717</v>
      </c>
      <c r="N34" s="718">
        <v>29062</v>
      </c>
      <c r="O34" s="239"/>
      <c r="P34" s="240"/>
      <c r="Q34" s="240"/>
      <c r="R34" s="664" t="e">
        <f t="shared" si="3"/>
        <v>#DIV/0!</v>
      </c>
      <c r="S34" s="243"/>
      <c r="T34" s="716"/>
      <c r="U34" s="717"/>
      <c r="V34" s="717"/>
      <c r="W34" s="664" t="e">
        <f t="shared" si="4"/>
        <v>#DIV/0!</v>
      </c>
      <c r="X34" s="718"/>
    </row>
    <row r="35" spans="1:24" s="660" customFormat="1" ht="9.75">
      <c r="A35" s="714" t="s">
        <v>58</v>
      </c>
      <c r="B35" s="1156" t="s">
        <v>238</v>
      </c>
      <c r="C35" s="1156"/>
      <c r="D35" s="719" t="s">
        <v>26</v>
      </c>
      <c r="E35" s="233"/>
      <c r="F35" s="234"/>
      <c r="G35" s="234"/>
      <c r="H35" s="669" t="e">
        <f t="shared" si="0"/>
        <v>#DIV/0!</v>
      </c>
      <c r="I35" s="237"/>
      <c r="J35" s="716">
        <v>18</v>
      </c>
      <c r="K35" s="717">
        <v>18</v>
      </c>
      <c r="L35" s="717">
        <v>18</v>
      </c>
      <c r="M35" s="664">
        <f t="shared" si="2"/>
        <v>100</v>
      </c>
      <c r="N35" s="718">
        <v>18</v>
      </c>
      <c r="O35" s="239"/>
      <c r="P35" s="240"/>
      <c r="Q35" s="240"/>
      <c r="R35" s="664" t="e">
        <f t="shared" si="3"/>
        <v>#DIV/0!</v>
      </c>
      <c r="S35" s="243"/>
      <c r="T35" s="716"/>
      <c r="U35" s="717"/>
      <c r="V35" s="717"/>
      <c r="W35" s="664" t="e">
        <f t="shared" si="4"/>
        <v>#DIV/0!</v>
      </c>
      <c r="X35" s="718"/>
    </row>
    <row r="36" spans="1:24" s="660" customFormat="1" ht="9.75">
      <c r="A36" s="714" t="s">
        <v>59</v>
      </c>
      <c r="B36" s="1156" t="s">
        <v>239</v>
      </c>
      <c r="C36" s="1156"/>
      <c r="D36" s="719" t="s">
        <v>26</v>
      </c>
      <c r="E36" s="233"/>
      <c r="F36" s="234"/>
      <c r="G36" s="234"/>
      <c r="H36" s="669" t="e">
        <f t="shared" si="0"/>
        <v>#DIV/0!</v>
      </c>
      <c r="I36" s="237"/>
      <c r="J36" s="716">
        <v>20</v>
      </c>
      <c r="K36" s="717">
        <v>20</v>
      </c>
      <c r="L36" s="717">
        <v>20</v>
      </c>
      <c r="M36" s="664">
        <f t="shared" si="2"/>
        <v>100</v>
      </c>
      <c r="N36" s="718">
        <v>20</v>
      </c>
      <c r="O36" s="239"/>
      <c r="P36" s="240"/>
      <c r="Q36" s="240"/>
      <c r="R36" s="664" t="e">
        <f t="shared" si="3"/>
        <v>#DIV/0!</v>
      </c>
      <c r="S36" s="243"/>
      <c r="T36" s="716"/>
      <c r="U36" s="717"/>
      <c r="V36" s="717"/>
      <c r="W36" s="664" t="e">
        <f t="shared" si="4"/>
        <v>#DIV/0!</v>
      </c>
      <c r="X36" s="718"/>
    </row>
    <row r="37" spans="1:24" s="660" customFormat="1" ht="10.5" thickBot="1">
      <c r="A37" s="720" t="s">
        <v>240</v>
      </c>
      <c r="B37" s="1174" t="s">
        <v>241</v>
      </c>
      <c r="C37" s="1174"/>
      <c r="D37" s="721" t="s">
        <v>242</v>
      </c>
      <c r="E37" s="235"/>
      <c r="F37" s="236"/>
      <c r="G37" s="236"/>
      <c r="H37" s="693" t="e">
        <f t="shared" si="0"/>
        <v>#DIV/0!</v>
      </c>
      <c r="I37" s="238"/>
      <c r="J37" s="722">
        <v>5</v>
      </c>
      <c r="K37" s="723">
        <v>5</v>
      </c>
      <c r="L37" s="723">
        <v>5</v>
      </c>
      <c r="M37" s="724">
        <f t="shared" si="2"/>
        <v>100</v>
      </c>
      <c r="N37" s="725">
        <v>5</v>
      </c>
      <c r="O37" s="241"/>
      <c r="P37" s="242"/>
      <c r="Q37" s="242"/>
      <c r="R37" s="724" t="e">
        <f t="shared" si="3"/>
        <v>#DIV/0!</v>
      </c>
      <c r="S37" s="244"/>
      <c r="T37" s="722"/>
      <c r="U37" s="723"/>
      <c r="V37" s="723"/>
      <c r="W37" s="724" t="e">
        <f t="shared" si="4"/>
        <v>#DIV/0!</v>
      </c>
      <c r="X37" s="725"/>
    </row>
  </sheetData>
  <mergeCells count="40">
    <mergeCell ref="B36:C36"/>
    <mergeCell ref="B37:C37"/>
    <mergeCell ref="B22:C22"/>
    <mergeCell ref="B26:C26"/>
    <mergeCell ref="B29:C29"/>
    <mergeCell ref="B34:C34"/>
    <mergeCell ref="B35:C35"/>
    <mergeCell ref="B16:C16"/>
    <mergeCell ref="B18:C18"/>
    <mergeCell ref="B19:C19"/>
    <mergeCell ref="B20:C20"/>
    <mergeCell ref="B21:C21"/>
    <mergeCell ref="B10:C10"/>
    <mergeCell ref="B11:C11"/>
    <mergeCell ref="B12:C12"/>
    <mergeCell ref="B13:C13"/>
    <mergeCell ref="B15:C15"/>
    <mergeCell ref="B6:C6"/>
    <mergeCell ref="B7:C7"/>
    <mergeCell ref="B8:C8"/>
    <mergeCell ref="N4:N5"/>
    <mergeCell ref="O4:O5"/>
    <mergeCell ref="E4:E5"/>
    <mergeCell ref="F4:H4"/>
    <mergeCell ref="I4:I5"/>
    <mergeCell ref="J4:J5"/>
    <mergeCell ref="K4:M4"/>
    <mergeCell ref="D3:D5"/>
    <mergeCell ref="E3:I3"/>
    <mergeCell ref="A1:X1"/>
    <mergeCell ref="A3:A5"/>
    <mergeCell ref="B3:C5"/>
    <mergeCell ref="J3:N3"/>
    <mergeCell ref="O3:S3"/>
    <mergeCell ref="T3:X3"/>
    <mergeCell ref="U4:W4"/>
    <mergeCell ref="X4:X5"/>
    <mergeCell ref="P4:R4"/>
    <mergeCell ref="S4:S5"/>
    <mergeCell ref="T4:T5"/>
  </mergeCells>
  <pageMargins left="0.23622047244094491" right="0.23622047244094491" top="0.74803149606299213" bottom="0.74803149606299213" header="0.31496062992125984" footer="0.31496062992125984"/>
  <pageSetup paperSize="9" scale="95" firstPageNumber="197" orientation="landscape" useFirstPageNumber="1"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selection activeCell="B13" sqref="B13"/>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9" s="277" customFormat="1" ht="18.75">
      <c r="A1" s="277" t="s">
        <v>1171</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100752.25</v>
      </c>
      <c r="D6" s="1207"/>
      <c r="E6" s="1208"/>
      <c r="F6" s="1208"/>
      <c r="G6" s="1208"/>
      <c r="H6" s="1208"/>
      <c r="I6" s="1209"/>
    </row>
    <row r="7" spans="1:9" s="2" customFormat="1" ht="33.75" customHeight="1">
      <c r="A7" s="1199" t="s">
        <v>75</v>
      </c>
      <c r="B7" s="1200"/>
      <c r="C7" s="17">
        <v>100752.25</v>
      </c>
      <c r="D7" s="1205" t="s">
        <v>1172</v>
      </c>
      <c r="E7" s="1205"/>
      <c r="F7" s="1205"/>
      <c r="G7" s="1205"/>
      <c r="H7" s="1205"/>
      <c r="I7" s="1206"/>
    </row>
    <row r="8" spans="1:9" s="281" customFormat="1" ht="27" customHeight="1">
      <c r="A8" s="1201" t="s">
        <v>76</v>
      </c>
      <c r="B8" s="1202"/>
      <c r="C8" s="18"/>
      <c r="D8" s="1205"/>
      <c r="E8" s="1205"/>
      <c r="F8" s="1205"/>
      <c r="G8" s="1205"/>
      <c r="H8" s="1205"/>
      <c r="I8" s="1206"/>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68371</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32381.25</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100752.25</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58.5" customHeight="1">
      <c r="A23" s="68" t="s">
        <v>83</v>
      </c>
      <c r="B23" s="32">
        <v>237796.59</v>
      </c>
      <c r="C23" s="32">
        <v>48909.11</v>
      </c>
      <c r="D23" s="32">
        <v>25052.57</v>
      </c>
      <c r="E23" s="32">
        <f>B23+C23-D23</f>
        <v>261653.13</v>
      </c>
      <c r="F23" s="1194" t="s">
        <v>1173</v>
      </c>
      <c r="G23" s="1195"/>
      <c r="H23" s="1195"/>
      <c r="I23" s="1196"/>
    </row>
    <row r="24" spans="1:9" s="2" customFormat="1" ht="31.5" customHeight="1">
      <c r="A24" s="69" t="s">
        <v>84</v>
      </c>
      <c r="B24" s="33">
        <v>271714.2</v>
      </c>
      <c r="C24" s="33">
        <v>524682</v>
      </c>
      <c r="D24" s="33">
        <v>567316</v>
      </c>
      <c r="E24" s="33">
        <f t="shared" ref="E24:E26" si="0">B24+C24-D24</f>
        <v>229080.19999999995</v>
      </c>
      <c r="F24" s="1183" t="s">
        <v>1174</v>
      </c>
      <c r="G24" s="1184"/>
      <c r="H24" s="1184"/>
      <c r="I24" s="1185"/>
    </row>
    <row r="25" spans="1:9" s="2" customFormat="1" ht="31.5" customHeight="1">
      <c r="A25" s="69" t="s">
        <v>82</v>
      </c>
      <c r="B25" s="33">
        <v>110135</v>
      </c>
      <c r="C25" s="33">
        <v>20000</v>
      </c>
      <c r="D25" s="33">
        <v>0</v>
      </c>
      <c r="E25" s="33">
        <f t="shared" si="0"/>
        <v>130135</v>
      </c>
      <c r="F25" s="1183" t="s">
        <v>1175</v>
      </c>
      <c r="G25" s="1184"/>
      <c r="H25" s="1184"/>
      <c r="I25" s="1185"/>
    </row>
    <row r="26" spans="1:9" s="2" customFormat="1" ht="31.5" customHeight="1">
      <c r="A26" s="70" t="s">
        <v>85</v>
      </c>
      <c r="B26" s="34">
        <v>20671.04</v>
      </c>
      <c r="C26" s="34">
        <v>156726</v>
      </c>
      <c r="D26" s="34">
        <v>153840.5</v>
      </c>
      <c r="E26" s="33">
        <f t="shared" si="0"/>
        <v>23556.540000000008</v>
      </c>
      <c r="F26" s="1186" t="s">
        <v>1176</v>
      </c>
      <c r="G26" s="1187"/>
      <c r="H26" s="1187"/>
      <c r="I26" s="1188"/>
    </row>
    <row r="27" spans="1:9" s="281" customFormat="1" ht="10.5">
      <c r="A27" s="3" t="s">
        <v>34</v>
      </c>
      <c r="B27" s="16">
        <f>SUM(B23:B26)</f>
        <v>640316.83000000007</v>
      </c>
      <c r="C27" s="16">
        <f t="shared" ref="C27:E27" si="1">SUM(C23:C26)</f>
        <v>750317.11</v>
      </c>
      <c r="D27" s="16">
        <f t="shared" si="1"/>
        <v>746209.07</v>
      </c>
      <c r="E27" s="16">
        <f t="shared" si="1"/>
        <v>644424.87</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33" customHeight="1">
      <c r="A32" s="81" t="s">
        <v>215</v>
      </c>
      <c r="B32" s="82">
        <v>20660</v>
      </c>
      <c r="C32" s="83"/>
      <c r="D32" s="1221" t="s">
        <v>1177</v>
      </c>
      <c r="E32" s="1222"/>
      <c r="F32" s="1222"/>
      <c r="G32" s="1222"/>
      <c r="H32" s="1222"/>
      <c r="I32" s="1223"/>
    </row>
    <row r="33" spans="1:9" s="281" customFormat="1" ht="11.25">
      <c r="A33" s="84" t="s">
        <v>34</v>
      </c>
      <c r="B33" s="85">
        <f>SUM(B32:B32)</f>
        <v>20660</v>
      </c>
      <c r="C33" s="1224"/>
      <c r="D33" s="1224"/>
      <c r="E33" s="1224"/>
      <c r="F33" s="1224"/>
      <c r="G33" s="1224"/>
      <c r="H33" s="1224"/>
      <c r="I33" s="1225"/>
    </row>
    <row r="34" spans="1:9" s="2" customFormat="1" ht="11.25">
      <c r="C34" s="19"/>
    </row>
    <row r="35" spans="1:9" s="2" customFormat="1" ht="11.25">
      <c r="A35" s="1189" t="s">
        <v>431</v>
      </c>
      <c r="B35" s="1189"/>
      <c r="C35" s="1189"/>
      <c r="D35" s="1189"/>
      <c r="E35" s="1189"/>
      <c r="F35" s="1189"/>
      <c r="G35" s="1189"/>
      <c r="H35" s="1189"/>
      <c r="I35" s="1189"/>
    </row>
    <row r="36" spans="1:9" s="2" customFormat="1" ht="11.25">
      <c r="C36" s="19"/>
    </row>
    <row r="37" spans="1:9" s="2" customFormat="1" ht="11.25">
      <c r="A37" s="271" t="s">
        <v>86</v>
      </c>
      <c r="B37" s="271" t="s">
        <v>25</v>
      </c>
      <c r="C37" s="270" t="s">
        <v>87</v>
      </c>
      <c r="D37" s="1193" t="s">
        <v>88</v>
      </c>
      <c r="E37" s="1193"/>
      <c r="F37" s="1193"/>
      <c r="G37" s="1193"/>
      <c r="H37" s="1193"/>
      <c r="I37" s="1193"/>
    </row>
    <row r="38" spans="1:9" s="2" customFormat="1" ht="15" customHeight="1">
      <c r="A38" s="86" t="s">
        <v>1178</v>
      </c>
      <c r="B38" s="33"/>
      <c r="C38" s="9"/>
      <c r="D38" s="1183"/>
      <c r="E38" s="1229"/>
      <c r="F38" s="1229"/>
      <c r="G38" s="1229"/>
      <c r="H38" s="1229"/>
      <c r="I38" s="1230"/>
    </row>
    <row r="39" spans="1:9" s="281" customFormat="1" ht="10.5">
      <c r="A39" s="3" t="s">
        <v>34</v>
      </c>
      <c r="B39" s="16">
        <f>SUM(B38:B38)</f>
        <v>0</v>
      </c>
      <c r="C39" s="1236"/>
      <c r="D39" s="1237"/>
      <c r="E39" s="1237"/>
      <c r="F39" s="1237"/>
      <c r="G39" s="1237"/>
      <c r="H39" s="1237"/>
      <c r="I39" s="1237"/>
    </row>
    <row r="40" spans="1:9" s="2" customFormat="1" ht="11.25">
      <c r="C40" s="19"/>
    </row>
    <row r="41" spans="1:9" s="2" customFormat="1" ht="11.25">
      <c r="A41" s="1189" t="s">
        <v>432</v>
      </c>
      <c r="B41" s="1189"/>
      <c r="C41" s="1189"/>
      <c r="D41" s="1189"/>
      <c r="E41" s="1189"/>
      <c r="F41" s="1189"/>
      <c r="G41" s="1189"/>
      <c r="H41" s="1189"/>
      <c r="I41" s="1189"/>
    </row>
    <row r="42" spans="1:9" s="2" customFormat="1" ht="11.25">
      <c r="C42" s="19"/>
    </row>
    <row r="43" spans="1:9" s="2" customFormat="1" ht="11.25">
      <c r="A43" s="271" t="s">
        <v>25</v>
      </c>
      <c r="B43" s="270" t="s">
        <v>433</v>
      </c>
      <c r="C43" s="1238" t="s">
        <v>89</v>
      </c>
      <c r="D43" s="1238"/>
      <c r="E43" s="1238"/>
      <c r="F43" s="1238"/>
      <c r="G43" s="1238"/>
      <c r="H43" s="1238"/>
      <c r="I43" s="1238"/>
    </row>
    <row r="44" spans="1:9" s="2" customFormat="1" ht="11.25">
      <c r="A44" s="88" t="s">
        <v>1179</v>
      </c>
      <c r="B44" s="55"/>
      <c r="C44" s="1231"/>
      <c r="D44" s="1231"/>
      <c r="E44" s="1231"/>
      <c r="F44" s="1231"/>
      <c r="G44" s="1231"/>
      <c r="H44" s="1231"/>
      <c r="I44" s="1232"/>
    </row>
    <row r="45" spans="1:9" s="2" customFormat="1" ht="11.25">
      <c r="C45" s="19"/>
    </row>
    <row r="46" spans="1:9" s="2" customFormat="1" ht="11.25">
      <c r="A46" s="1189" t="s">
        <v>434</v>
      </c>
      <c r="B46" s="1189"/>
      <c r="C46" s="1189"/>
      <c r="D46" s="1189"/>
      <c r="E46" s="1189"/>
      <c r="F46" s="1189"/>
      <c r="G46" s="1189"/>
      <c r="H46" s="1189"/>
      <c r="I46" s="1189"/>
    </row>
    <row r="47" spans="1:9" s="2" customFormat="1" ht="11.25">
      <c r="C47" s="19"/>
    </row>
    <row r="48" spans="1:9" s="10" customFormat="1" ht="31.5">
      <c r="A48" s="1234" t="s">
        <v>259</v>
      </c>
      <c r="B48" s="1235"/>
      <c r="C48" s="56" t="s">
        <v>179</v>
      </c>
      <c r="D48" s="56" t="s">
        <v>118</v>
      </c>
      <c r="E48" s="56" t="s">
        <v>119</v>
      </c>
      <c r="F48" s="56" t="s">
        <v>244</v>
      </c>
      <c r="G48" s="56" t="s">
        <v>180</v>
      </c>
    </row>
    <row r="49" spans="1:7" s="2" customFormat="1" ht="13.5" customHeight="1">
      <c r="A49" s="1246" t="s">
        <v>391</v>
      </c>
      <c r="B49" s="1247"/>
      <c r="C49" s="89" t="s">
        <v>136</v>
      </c>
      <c r="D49" s="90">
        <v>250000</v>
      </c>
      <c r="E49" s="90"/>
      <c r="F49" s="287" t="s">
        <v>1180</v>
      </c>
      <c r="G49" s="288">
        <v>44272</v>
      </c>
    </row>
    <row r="50" spans="1:7" s="2" customFormat="1" ht="12.75" customHeight="1">
      <c r="A50" s="1246" t="s">
        <v>1181</v>
      </c>
      <c r="B50" s="1247"/>
      <c r="C50" s="11" t="s">
        <v>145</v>
      </c>
      <c r="D50" s="294"/>
      <c r="E50" s="294">
        <v>250000</v>
      </c>
      <c r="F50" s="294" t="s">
        <v>1182</v>
      </c>
      <c r="G50" s="303">
        <v>44272</v>
      </c>
    </row>
    <row r="51" spans="1:7" s="2" customFormat="1" ht="13.5" customHeight="1">
      <c r="A51" s="1246" t="s">
        <v>1183</v>
      </c>
      <c r="B51" s="1247"/>
      <c r="C51" s="11" t="s">
        <v>393</v>
      </c>
      <c r="D51" s="294"/>
      <c r="E51" s="294">
        <v>-630</v>
      </c>
      <c r="F51" s="305" t="s">
        <v>1184</v>
      </c>
      <c r="G51" s="303">
        <v>44348</v>
      </c>
    </row>
    <row r="52" spans="1:7" s="2" customFormat="1" ht="12.75" customHeight="1">
      <c r="A52" s="1246" t="s">
        <v>1185</v>
      </c>
      <c r="B52" s="1247"/>
      <c r="C52" s="11" t="s">
        <v>1186</v>
      </c>
      <c r="D52" s="294"/>
      <c r="E52" s="294">
        <v>630</v>
      </c>
      <c r="F52" s="305" t="s">
        <v>1184</v>
      </c>
      <c r="G52" s="303">
        <v>44348</v>
      </c>
    </row>
    <row r="53" spans="1:7" s="2" customFormat="1" ht="14.25" customHeight="1">
      <c r="A53" s="1246" t="s">
        <v>1187</v>
      </c>
      <c r="B53" s="1247"/>
      <c r="C53" s="11" t="s">
        <v>1188</v>
      </c>
      <c r="D53" s="294"/>
      <c r="E53" s="294">
        <v>-155000</v>
      </c>
      <c r="F53" s="305" t="s">
        <v>1189</v>
      </c>
      <c r="G53" s="303">
        <v>44561</v>
      </c>
    </row>
    <row r="54" spans="1:7" s="2" customFormat="1" ht="13.5" customHeight="1">
      <c r="A54" s="1246" t="s">
        <v>1190</v>
      </c>
      <c r="B54" s="1247"/>
      <c r="C54" s="11" t="s">
        <v>1191</v>
      </c>
      <c r="D54" s="294"/>
      <c r="E54" s="294">
        <v>100000</v>
      </c>
      <c r="F54" s="305" t="s">
        <v>1189</v>
      </c>
      <c r="G54" s="303">
        <v>44561</v>
      </c>
    </row>
    <row r="55" spans="1:7" s="2" customFormat="1" ht="13.5" customHeight="1">
      <c r="A55" s="1246" t="s">
        <v>1192</v>
      </c>
      <c r="B55" s="1247"/>
      <c r="C55" s="11" t="s">
        <v>132</v>
      </c>
      <c r="D55" s="294"/>
      <c r="E55" s="294">
        <v>55000</v>
      </c>
      <c r="F55" s="305" t="s">
        <v>1189</v>
      </c>
      <c r="G55" s="303">
        <v>44561</v>
      </c>
    </row>
    <row r="56" spans="1:7" s="2" customFormat="1" ht="13.5" customHeight="1">
      <c r="A56" s="1246" t="s">
        <v>1193</v>
      </c>
      <c r="B56" s="1247"/>
      <c r="C56" s="11" t="s">
        <v>133</v>
      </c>
      <c r="D56" s="294">
        <v>25100</v>
      </c>
      <c r="E56" s="294"/>
      <c r="F56" s="305" t="s">
        <v>1194</v>
      </c>
      <c r="G56" s="303">
        <v>44561</v>
      </c>
    </row>
    <row r="57" spans="1:7" s="2" customFormat="1" ht="13.5" customHeight="1">
      <c r="A57" s="1246" t="s">
        <v>1192</v>
      </c>
      <c r="B57" s="1247"/>
      <c r="C57" s="11" t="s">
        <v>132</v>
      </c>
      <c r="D57" s="294"/>
      <c r="E57" s="294">
        <v>25100</v>
      </c>
      <c r="F57" s="305" t="s">
        <v>1194</v>
      </c>
      <c r="G57" s="303">
        <v>44561</v>
      </c>
    </row>
    <row r="58" spans="1:7" s="2" customFormat="1" ht="13.5" customHeight="1">
      <c r="A58" s="1246" t="s">
        <v>1195</v>
      </c>
      <c r="B58" s="1247"/>
      <c r="C58" s="11" t="s">
        <v>145</v>
      </c>
      <c r="D58" s="294"/>
      <c r="E58" s="294">
        <v>-36000</v>
      </c>
      <c r="F58" s="305" t="s">
        <v>1194</v>
      </c>
      <c r="G58" s="303">
        <v>44561</v>
      </c>
    </row>
    <row r="59" spans="1:7" s="2" customFormat="1" ht="13.5" customHeight="1">
      <c r="A59" s="1246" t="s">
        <v>1192</v>
      </c>
      <c r="B59" s="1247"/>
      <c r="C59" s="11" t="s">
        <v>132</v>
      </c>
      <c r="D59" s="294"/>
      <c r="E59" s="294">
        <v>36000</v>
      </c>
      <c r="F59" s="305" t="s">
        <v>1194</v>
      </c>
      <c r="G59" s="303">
        <v>44561</v>
      </c>
    </row>
    <row r="60" spans="1:7" s="2" customFormat="1" ht="13.5" customHeight="1">
      <c r="A60" s="1246" t="s">
        <v>1196</v>
      </c>
      <c r="B60" s="1247"/>
      <c r="C60" s="11" t="s">
        <v>392</v>
      </c>
      <c r="D60" s="294"/>
      <c r="E60" s="294">
        <v>-7000</v>
      </c>
      <c r="F60" s="305" t="s">
        <v>1194</v>
      </c>
      <c r="G60" s="303">
        <v>44561</v>
      </c>
    </row>
    <row r="61" spans="1:7" s="2" customFormat="1" ht="13.5" customHeight="1">
      <c r="A61" s="1246" t="s">
        <v>1192</v>
      </c>
      <c r="B61" s="1247"/>
      <c r="C61" s="11" t="s">
        <v>132</v>
      </c>
      <c r="D61" s="294"/>
      <c r="E61" s="294">
        <v>7000</v>
      </c>
      <c r="F61" s="305" t="s">
        <v>1194</v>
      </c>
      <c r="G61" s="303">
        <v>44561</v>
      </c>
    </row>
    <row r="62" spans="1:7" s="2" customFormat="1" ht="13.5" customHeight="1">
      <c r="A62" s="1246" t="s">
        <v>1197</v>
      </c>
      <c r="B62" s="1247"/>
      <c r="C62" s="11" t="s">
        <v>1198</v>
      </c>
      <c r="D62" s="294"/>
      <c r="E62" s="294">
        <v>-21000</v>
      </c>
      <c r="F62" s="305" t="s">
        <v>1194</v>
      </c>
      <c r="G62" s="303">
        <v>44561</v>
      </c>
    </row>
    <row r="63" spans="1:7" s="2" customFormat="1" ht="13.5" customHeight="1">
      <c r="A63" s="1246" t="s">
        <v>1192</v>
      </c>
      <c r="B63" s="1247"/>
      <c r="C63" s="11" t="s">
        <v>132</v>
      </c>
      <c r="D63" s="294"/>
      <c r="E63" s="294">
        <v>21000</v>
      </c>
      <c r="F63" s="305" t="s">
        <v>1194</v>
      </c>
      <c r="G63" s="303">
        <v>44561</v>
      </c>
    </row>
    <row r="64" spans="1:7" s="2" customFormat="1" ht="13.5" customHeight="1">
      <c r="A64" s="1246" t="s">
        <v>1199</v>
      </c>
      <c r="B64" s="1247"/>
      <c r="C64" s="11" t="s">
        <v>394</v>
      </c>
      <c r="D64" s="294"/>
      <c r="E64" s="294">
        <v>-95000</v>
      </c>
      <c r="F64" s="305" t="s">
        <v>1194</v>
      </c>
      <c r="G64" s="303">
        <v>44561</v>
      </c>
    </row>
    <row r="65" spans="1:9" s="2" customFormat="1" ht="13.5" customHeight="1">
      <c r="A65" s="1246" t="s">
        <v>1200</v>
      </c>
      <c r="B65" s="1247"/>
      <c r="C65" s="11" t="s">
        <v>395</v>
      </c>
      <c r="D65" s="294">
        <v>-66000</v>
      </c>
      <c r="E65" s="294"/>
      <c r="F65" s="305" t="s">
        <v>1194</v>
      </c>
      <c r="G65" s="303">
        <v>44561</v>
      </c>
    </row>
    <row r="66" spans="1:9" s="2" customFormat="1" ht="12.75" customHeight="1">
      <c r="A66" s="1246" t="s">
        <v>1201</v>
      </c>
      <c r="B66" s="1247"/>
      <c r="C66" s="11" t="s">
        <v>396</v>
      </c>
      <c r="D66" s="294">
        <v>-29000</v>
      </c>
      <c r="E66" s="294"/>
      <c r="F66" s="305" t="s">
        <v>1194</v>
      </c>
      <c r="G66" s="303">
        <v>44561</v>
      </c>
    </row>
    <row r="67" spans="1:9" s="2" customFormat="1" ht="13.5" customHeight="1">
      <c r="A67" s="1246" t="s">
        <v>1202</v>
      </c>
      <c r="B67" s="1247"/>
      <c r="C67" s="11" t="s">
        <v>397</v>
      </c>
      <c r="D67" s="294">
        <v>-200</v>
      </c>
      <c r="E67" s="294"/>
      <c r="F67" s="305" t="s">
        <v>1194</v>
      </c>
      <c r="G67" s="303">
        <v>44561</v>
      </c>
    </row>
    <row r="68" spans="1:9" s="2" customFormat="1" ht="13.5" customHeight="1">
      <c r="A68" s="1246" t="s">
        <v>1203</v>
      </c>
      <c r="B68" s="1247"/>
      <c r="C68" s="11" t="s">
        <v>1204</v>
      </c>
      <c r="D68" s="294">
        <v>200</v>
      </c>
      <c r="E68" s="294"/>
      <c r="F68" s="305" t="s">
        <v>1194</v>
      </c>
      <c r="G68" s="303">
        <v>44561</v>
      </c>
    </row>
    <row r="69" spans="1:9" s="2" customFormat="1" ht="9.75" customHeight="1">
      <c r="A69" s="1254" t="s">
        <v>176</v>
      </c>
      <c r="B69" s="1255"/>
      <c r="C69" s="92"/>
      <c r="D69" s="93">
        <f>SUM(D40:D68)</f>
        <v>180100</v>
      </c>
      <c r="E69" s="93">
        <f>SUM(E40:E68)</f>
        <v>180100</v>
      </c>
      <c r="F69" s="1256"/>
      <c r="G69" s="1257"/>
    </row>
    <row r="70" spans="1:9" s="2" customFormat="1" ht="11.25">
      <c r="A70" s="76"/>
      <c r="B70" s="76"/>
      <c r="C70" s="37"/>
      <c r="D70" s="37"/>
      <c r="E70" s="38"/>
    </row>
    <row r="71" spans="1:9" s="2" customFormat="1" ht="11.25">
      <c r="A71" s="1261" t="s">
        <v>459</v>
      </c>
      <c r="B71" s="1261"/>
      <c r="C71" s="1261"/>
      <c r="D71" s="1261"/>
      <c r="E71" s="1261"/>
      <c r="F71" s="1261"/>
      <c r="G71" s="1261"/>
      <c r="H71" s="1261"/>
      <c r="I71" s="1261"/>
    </row>
    <row r="72" spans="1:9" s="2" customFormat="1" ht="11.25">
      <c r="A72" s="1258" t="s">
        <v>1205</v>
      </c>
      <c r="B72" s="1259"/>
      <c r="C72" s="1259"/>
      <c r="D72" s="1259"/>
      <c r="E72" s="1259"/>
      <c r="F72" s="1259"/>
      <c r="G72" s="1259"/>
      <c r="H72" s="1259"/>
      <c r="I72" s="1260"/>
    </row>
    <row r="73" spans="1:9" s="2" customFormat="1" ht="11.25">
      <c r="A73" s="1258"/>
      <c r="B73" s="1259"/>
      <c r="C73" s="1259"/>
      <c r="D73" s="1259"/>
      <c r="E73" s="1259"/>
      <c r="F73" s="1259"/>
      <c r="G73" s="1259"/>
      <c r="H73" s="1259"/>
      <c r="I73" s="1260"/>
    </row>
    <row r="74" spans="1:9" s="2" customFormat="1" ht="0.75" customHeight="1">
      <c r="A74" s="1258"/>
      <c r="B74" s="1259"/>
      <c r="C74" s="1259"/>
      <c r="D74" s="1259"/>
      <c r="E74" s="1259"/>
      <c r="F74" s="1259"/>
      <c r="G74" s="1259"/>
      <c r="H74" s="1259"/>
      <c r="I74" s="1260"/>
    </row>
    <row r="75" spans="1:9" s="2" customFormat="1" ht="11.25" hidden="1"/>
    <row r="76" spans="1:9" s="281" customFormat="1" ht="10.5">
      <c r="A76" s="1189" t="s">
        <v>461</v>
      </c>
      <c r="B76" s="1189"/>
      <c r="C76" s="1189"/>
      <c r="D76" s="1189"/>
      <c r="E76" s="1189"/>
      <c r="F76" s="1189"/>
      <c r="G76" s="1189"/>
      <c r="H76" s="1189"/>
      <c r="I76" s="1189"/>
    </row>
    <row r="77" spans="1:9" s="2" customFormat="1" ht="12.6" customHeight="1">
      <c r="A77" s="1615"/>
      <c r="B77" s="1259"/>
      <c r="C77" s="1259"/>
      <c r="D77" s="1259"/>
      <c r="E77" s="1259"/>
      <c r="F77" s="1259"/>
      <c r="G77" s="1259"/>
      <c r="H77" s="1259"/>
      <c r="I77" s="1260"/>
    </row>
    <row r="78" spans="1:9" s="2" customFormat="1" ht="160.5" customHeight="1">
      <c r="A78" s="1258" t="s">
        <v>1206</v>
      </c>
      <c r="B78" s="1259"/>
      <c r="C78" s="1259"/>
      <c r="D78" s="1259"/>
      <c r="E78" s="1259"/>
      <c r="F78" s="1259"/>
      <c r="G78" s="1259"/>
      <c r="H78" s="1259"/>
      <c r="I78" s="1260"/>
    </row>
    <row r="79" spans="1:9" s="2" customFormat="1" ht="16.149999999999999" customHeight="1">
      <c r="A79" s="76"/>
      <c r="B79" s="76"/>
      <c r="C79" s="76"/>
      <c r="D79" s="76"/>
      <c r="E79" s="76"/>
      <c r="F79" s="76"/>
      <c r="G79" s="76"/>
      <c r="H79" s="76"/>
      <c r="I79" s="76"/>
    </row>
    <row r="80" spans="1:9">
      <c r="A80" s="2" t="s">
        <v>1207</v>
      </c>
      <c r="B80" s="2" t="s">
        <v>1208</v>
      </c>
    </row>
    <row r="81" spans="1:2">
      <c r="A81" s="2" t="s">
        <v>1209</v>
      </c>
      <c r="B81" s="2" t="s">
        <v>1210</v>
      </c>
    </row>
    <row r="82" spans="1:2">
      <c r="A82" s="2"/>
    </row>
    <row r="83" spans="1:2">
      <c r="A83" s="2" t="s">
        <v>737</v>
      </c>
    </row>
  </sheetData>
  <mergeCells count="62">
    <mergeCell ref="A15:A17"/>
    <mergeCell ref="D32:I32"/>
    <mergeCell ref="A20:I20"/>
    <mergeCell ref="A3:I3"/>
    <mergeCell ref="A11:I11"/>
    <mergeCell ref="A5:B5"/>
    <mergeCell ref="A6:B6"/>
    <mergeCell ref="A7:B7"/>
    <mergeCell ref="A8:B8"/>
    <mergeCell ref="D5:I5"/>
    <mergeCell ref="D6:I6"/>
    <mergeCell ref="D7:I7"/>
    <mergeCell ref="D8:I8"/>
    <mergeCell ref="A9:B9"/>
    <mergeCell ref="D9:I9"/>
    <mergeCell ref="C39:I39"/>
    <mergeCell ref="A29:I29"/>
    <mergeCell ref="A35:I35"/>
    <mergeCell ref="A41:I41"/>
    <mergeCell ref="F25:I25"/>
    <mergeCell ref="F26:I26"/>
    <mergeCell ref="D38:I38"/>
    <mergeCell ref="D31:I31"/>
    <mergeCell ref="C33:I33"/>
    <mergeCell ref="D37:I37"/>
    <mergeCell ref="F24:I24"/>
    <mergeCell ref="A46:I46"/>
    <mergeCell ref="A49:B49"/>
    <mergeCell ref="A48:B48"/>
    <mergeCell ref="A59:B59"/>
    <mergeCell ref="C43:I43"/>
    <mergeCell ref="F22:I22"/>
    <mergeCell ref="F23:I23"/>
    <mergeCell ref="F27:I27"/>
    <mergeCell ref="A76:I76"/>
    <mergeCell ref="A77:I77"/>
    <mergeCell ref="C44:I44"/>
    <mergeCell ref="A62:B62"/>
    <mergeCell ref="A61:B61"/>
    <mergeCell ref="A55:B55"/>
    <mergeCell ref="A54:B54"/>
    <mergeCell ref="A53:B53"/>
    <mergeCell ref="A52:B52"/>
    <mergeCell ref="A51:B51"/>
    <mergeCell ref="A50:B50"/>
    <mergeCell ref="A57:B57"/>
    <mergeCell ref="A56:B56"/>
    <mergeCell ref="A78:I78"/>
    <mergeCell ref="A58:B58"/>
    <mergeCell ref="A64:B64"/>
    <mergeCell ref="A60:B60"/>
    <mergeCell ref="A63:B63"/>
    <mergeCell ref="A69:B69"/>
    <mergeCell ref="A68:B68"/>
    <mergeCell ref="A67:B67"/>
    <mergeCell ref="A66:B66"/>
    <mergeCell ref="A65:B65"/>
    <mergeCell ref="F69:G69"/>
    <mergeCell ref="A71:I71"/>
    <mergeCell ref="A72:I72"/>
    <mergeCell ref="A73:I73"/>
    <mergeCell ref="A74:I74"/>
  </mergeCells>
  <pageMargins left="0.23622047244094491" right="0.23622047244094491" top="0.74803149606299213" bottom="0.74803149606299213" header="0.31496062992125984" footer="0.31496062992125984"/>
  <pageSetup paperSize="9" firstPageNumber="198" fitToHeight="5" orientation="landscape" useFirstPageNumber="1"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zoomScaleSheetLayoutView="110" workbookViewId="0">
      <selection sqref="A1:XFD1048576"/>
    </sheetView>
  </sheetViews>
  <sheetFormatPr defaultColWidth="6.5" defaultRowHeight="8.25"/>
  <cols>
    <col min="1" max="1" width="5.5" style="649" customWidth="1"/>
    <col min="2" max="2" width="6.5" style="648" customWidth="1"/>
    <col min="3" max="3" width="45.5" style="648" customWidth="1"/>
    <col min="4" max="4" width="9.5" style="648" customWidth="1"/>
    <col min="5" max="5" width="11" style="648" customWidth="1"/>
    <col min="6" max="6" width="11.75" style="648" customWidth="1"/>
    <col min="7" max="7" width="11" style="648" customWidth="1"/>
    <col min="8" max="8" width="8.75" style="648" customWidth="1"/>
    <col min="9" max="10" width="11" style="648" customWidth="1"/>
    <col min="11" max="11" width="11.5" style="648" customWidth="1"/>
    <col min="12" max="12" width="11" style="648" customWidth="1"/>
    <col min="13" max="13" width="8.75" style="648" customWidth="1"/>
    <col min="14" max="15" width="11" style="648" customWidth="1"/>
    <col min="16" max="16" width="11.5" style="648" customWidth="1"/>
    <col min="17" max="17" width="11" style="648" customWidth="1"/>
    <col min="18" max="18" width="8.75" style="648" customWidth="1"/>
    <col min="19" max="20" width="11" style="648" customWidth="1"/>
    <col min="21" max="21" width="11.5" style="648" customWidth="1"/>
    <col min="22" max="22" width="11" style="648" customWidth="1"/>
    <col min="23" max="23" width="8.75" style="648" customWidth="1"/>
    <col min="24" max="24" width="11" style="648" customWidth="1"/>
    <col min="25" max="16384" width="6.5" style="648"/>
  </cols>
  <sheetData>
    <row r="1" spans="1:24" s="650" customFormat="1" ht="15.75">
      <c r="A1" s="1262" t="s">
        <v>178</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653"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651" customFormat="1" ht="9.75" customHeight="1">
      <c r="A6" s="247" t="s">
        <v>0</v>
      </c>
      <c r="B6" s="1172" t="s">
        <v>1</v>
      </c>
      <c r="C6" s="1172"/>
      <c r="D6" s="248" t="s">
        <v>25</v>
      </c>
      <c r="E6" s="249">
        <f>SUM(E7:E9)</f>
        <v>10745733</v>
      </c>
      <c r="F6" s="250">
        <f>SUM(F7:F9)</f>
        <v>11049815.18</v>
      </c>
      <c r="G6" s="250">
        <f>SUM(G7:G9)</f>
        <v>10257238.98</v>
      </c>
      <c r="H6" s="251">
        <f t="shared" ref="H6:H37" si="0">G6/F6*100</f>
        <v>92.827244735870778</v>
      </c>
      <c r="I6" s="252">
        <f>SUM(I7:I9)</f>
        <v>9215956.2199999988</v>
      </c>
      <c r="J6" s="249">
        <f>SUM(J7:J9)</f>
        <v>10745733</v>
      </c>
      <c r="K6" s="250">
        <f t="shared" ref="K6:X6" si="1">SUM(K7:K9)</f>
        <v>11049815.18</v>
      </c>
      <c r="L6" s="250">
        <f t="shared" si="1"/>
        <v>10257238.98</v>
      </c>
      <c r="M6" s="251">
        <f t="shared" ref="M6:M37" si="2">L6/K6*100</f>
        <v>92.827244735870778</v>
      </c>
      <c r="N6" s="252">
        <f t="shared" si="1"/>
        <v>9215956.2199999988</v>
      </c>
      <c r="O6" s="249">
        <f t="shared" si="1"/>
        <v>0</v>
      </c>
      <c r="P6" s="250">
        <f t="shared" si="1"/>
        <v>0</v>
      </c>
      <c r="Q6" s="250">
        <f t="shared" si="1"/>
        <v>0</v>
      </c>
      <c r="R6" s="251" t="e">
        <f t="shared" ref="R6:R37" si="3">Q6/P6*100</f>
        <v>#DIV/0!</v>
      </c>
      <c r="S6" s="252">
        <f t="shared" si="1"/>
        <v>0</v>
      </c>
      <c r="T6" s="249">
        <f t="shared" si="1"/>
        <v>453650</v>
      </c>
      <c r="U6" s="250">
        <f t="shared" si="1"/>
        <v>453650</v>
      </c>
      <c r="V6" s="250">
        <f t="shared" si="1"/>
        <v>291646.18</v>
      </c>
      <c r="W6" s="251">
        <f t="shared" ref="W6:W37" si="4">V6/U6*100</f>
        <v>64.288808552849105</v>
      </c>
      <c r="X6" s="252">
        <f t="shared" si="1"/>
        <v>325960.64</v>
      </c>
    </row>
    <row r="7" spans="1:24" s="651" customFormat="1" ht="9.75">
      <c r="A7" s="710" t="s">
        <v>2</v>
      </c>
      <c r="B7" s="1160" t="s">
        <v>44</v>
      </c>
      <c r="C7" s="1160"/>
      <c r="D7" s="245" t="s">
        <v>25</v>
      </c>
      <c r="E7" s="681">
        <v>3702025</v>
      </c>
      <c r="F7" s="663">
        <v>3713127.18</v>
      </c>
      <c r="G7" s="663">
        <v>2920591.38</v>
      </c>
      <c r="H7" s="664">
        <f t="shared" si="0"/>
        <v>78.655840169740685</v>
      </c>
      <c r="I7" s="663">
        <v>2087016.41</v>
      </c>
      <c r="J7" s="681">
        <v>3702025</v>
      </c>
      <c r="K7" s="663">
        <v>3713127.18</v>
      </c>
      <c r="L7" s="663">
        <v>2920591.38</v>
      </c>
      <c r="M7" s="664">
        <f t="shared" si="2"/>
        <v>78.655840169740685</v>
      </c>
      <c r="N7" s="663">
        <v>2087016.41</v>
      </c>
      <c r="O7" s="679"/>
      <c r="P7" s="665"/>
      <c r="Q7" s="665"/>
      <c r="R7" s="664" t="e">
        <f t="shared" si="3"/>
        <v>#DIV/0!</v>
      </c>
      <c r="S7" s="680"/>
      <c r="T7" s="679">
        <v>453650</v>
      </c>
      <c r="U7" s="665">
        <v>453650</v>
      </c>
      <c r="V7" s="665">
        <v>291646.18</v>
      </c>
      <c r="W7" s="664">
        <f t="shared" si="4"/>
        <v>64.288808552849105</v>
      </c>
      <c r="X7" s="665">
        <v>325960.64</v>
      </c>
    </row>
    <row r="8" spans="1:24" s="651" customFormat="1" ht="9.75">
      <c r="A8" s="712" t="s">
        <v>3</v>
      </c>
      <c r="B8" s="1173" t="s">
        <v>45</v>
      </c>
      <c r="C8" s="1173"/>
      <c r="D8" s="245" t="s">
        <v>25</v>
      </c>
      <c r="E8" s="681">
        <v>600</v>
      </c>
      <c r="F8" s="663">
        <v>1100</v>
      </c>
      <c r="G8" s="663">
        <v>1059.5999999999999</v>
      </c>
      <c r="H8" s="664">
        <f t="shared" si="0"/>
        <v>96.327272727272714</v>
      </c>
      <c r="I8" s="663">
        <v>1176.3800000000001</v>
      </c>
      <c r="J8" s="681">
        <v>600</v>
      </c>
      <c r="K8" s="663">
        <v>1100</v>
      </c>
      <c r="L8" s="663">
        <v>1059.5999999999999</v>
      </c>
      <c r="M8" s="664">
        <f t="shared" si="2"/>
        <v>96.327272727272714</v>
      </c>
      <c r="N8" s="663">
        <v>1176.3800000000001</v>
      </c>
      <c r="O8" s="681"/>
      <c r="P8" s="663"/>
      <c r="Q8" s="663"/>
      <c r="R8" s="664" t="e">
        <f t="shared" si="3"/>
        <v>#DIV/0!</v>
      </c>
      <c r="S8" s="682"/>
      <c r="T8" s="681">
        <v>0</v>
      </c>
      <c r="U8" s="663">
        <v>0</v>
      </c>
      <c r="V8" s="663">
        <v>0</v>
      </c>
      <c r="W8" s="664" t="e">
        <f t="shared" si="4"/>
        <v>#DIV/0!</v>
      </c>
      <c r="X8" s="663">
        <v>0</v>
      </c>
    </row>
    <row r="9" spans="1:24" s="651" customFormat="1" ht="9.75">
      <c r="A9" s="712" t="s">
        <v>4</v>
      </c>
      <c r="B9" s="187" t="s">
        <v>60</v>
      </c>
      <c r="C9" s="673"/>
      <c r="D9" s="245" t="s">
        <v>25</v>
      </c>
      <c r="E9" s="681">
        <v>7043108</v>
      </c>
      <c r="F9" s="663">
        <v>7335588</v>
      </c>
      <c r="G9" s="663">
        <v>7335588</v>
      </c>
      <c r="H9" s="664">
        <f t="shared" si="0"/>
        <v>100</v>
      </c>
      <c r="I9" s="663">
        <v>7127763.4299999997</v>
      </c>
      <c r="J9" s="681">
        <v>7043108</v>
      </c>
      <c r="K9" s="663">
        <v>7335588</v>
      </c>
      <c r="L9" s="663">
        <v>7335588</v>
      </c>
      <c r="M9" s="664">
        <f t="shared" si="2"/>
        <v>100</v>
      </c>
      <c r="N9" s="663">
        <v>7127763.4299999997</v>
      </c>
      <c r="O9" s="681"/>
      <c r="P9" s="663"/>
      <c r="Q9" s="663"/>
      <c r="R9" s="664" t="e">
        <f t="shared" si="3"/>
        <v>#DIV/0!</v>
      </c>
      <c r="S9" s="682"/>
      <c r="T9" s="681">
        <v>0</v>
      </c>
      <c r="U9" s="663">
        <v>0</v>
      </c>
      <c r="V9" s="663">
        <v>0</v>
      </c>
      <c r="W9" s="664" t="e">
        <f t="shared" si="4"/>
        <v>#DIV/0!</v>
      </c>
      <c r="X9" s="663">
        <v>0</v>
      </c>
    </row>
    <row r="10" spans="1:24" s="651" customFormat="1" ht="9.75">
      <c r="A10" s="708" t="s">
        <v>5</v>
      </c>
      <c r="B10" s="1158" t="s">
        <v>7</v>
      </c>
      <c r="C10" s="1158"/>
      <c r="D10" s="245" t="s">
        <v>25</v>
      </c>
      <c r="E10" s="683">
        <v>0</v>
      </c>
      <c r="F10" s="662">
        <v>0</v>
      </c>
      <c r="G10" s="662">
        <v>0</v>
      </c>
      <c r="H10" s="658" t="e">
        <f t="shared" si="0"/>
        <v>#DIV/0!</v>
      </c>
      <c r="I10" s="684">
        <v>0</v>
      </c>
      <c r="J10" s="704">
        <v>0</v>
      </c>
      <c r="K10" s="662">
        <v>0</v>
      </c>
      <c r="L10" s="662">
        <v>0</v>
      </c>
      <c r="M10" s="658" t="e">
        <f t="shared" si="2"/>
        <v>#DIV/0!</v>
      </c>
      <c r="N10" s="684">
        <v>0</v>
      </c>
      <c r="O10" s="683"/>
      <c r="P10" s="662"/>
      <c r="Q10" s="662"/>
      <c r="R10" s="658" t="e">
        <f t="shared" si="3"/>
        <v>#DIV/0!</v>
      </c>
      <c r="S10" s="684"/>
      <c r="T10" s="683">
        <v>0</v>
      </c>
      <c r="U10" s="662">
        <v>0</v>
      </c>
      <c r="V10" s="662">
        <v>0</v>
      </c>
      <c r="W10" s="658" t="e">
        <f t="shared" si="4"/>
        <v>#DIV/0!</v>
      </c>
      <c r="X10" s="684">
        <v>0</v>
      </c>
    </row>
    <row r="11" spans="1:24" s="651" customFormat="1" ht="9.75">
      <c r="A11" s="708" t="s">
        <v>6</v>
      </c>
      <c r="B11" s="1158" t="s">
        <v>9</v>
      </c>
      <c r="C11" s="1158"/>
      <c r="D11" s="245" t="s">
        <v>25</v>
      </c>
      <c r="E11" s="677">
        <f>SUM(E12:E31)</f>
        <v>10745733</v>
      </c>
      <c r="F11" s="661">
        <f>SUM(F12:F31)</f>
        <v>11049815.18</v>
      </c>
      <c r="G11" s="661">
        <f>SUM(G12:G31)</f>
        <v>10319994.689999999</v>
      </c>
      <c r="H11" s="658">
        <f t="shared" si="0"/>
        <v>93.39517921240018</v>
      </c>
      <c r="I11" s="678">
        <f>SUM(I12:I31)</f>
        <v>9108178.3499999996</v>
      </c>
      <c r="J11" s="677">
        <f>SUM(J12:J31)</f>
        <v>10745733</v>
      </c>
      <c r="K11" s="661">
        <f>SUM(K12:K31)</f>
        <v>11049815.18</v>
      </c>
      <c r="L11" s="661">
        <f>SUM(L12:L31)</f>
        <v>10319994.689999999</v>
      </c>
      <c r="M11" s="658">
        <f t="shared" si="2"/>
        <v>93.39517921240018</v>
      </c>
      <c r="N11" s="678">
        <f>SUM(N12:N31)</f>
        <v>9108178.3499999996</v>
      </c>
      <c r="O11" s="677">
        <f>SUM(O12:O31)</f>
        <v>0</v>
      </c>
      <c r="P11" s="661">
        <f>SUM(P12:P31)</f>
        <v>0</v>
      </c>
      <c r="Q11" s="661">
        <f>SUM(Q12:Q31)</f>
        <v>0</v>
      </c>
      <c r="R11" s="658" t="e">
        <f t="shared" si="3"/>
        <v>#DIV/0!</v>
      </c>
      <c r="S11" s="678">
        <f>SUM(S12:S31)</f>
        <v>0</v>
      </c>
      <c r="T11" s="677">
        <f>SUM(T12:T31)</f>
        <v>450750</v>
      </c>
      <c r="U11" s="661">
        <f>SUM(U12:U31)</f>
        <v>450750</v>
      </c>
      <c r="V11" s="661">
        <f>SUM(V12:V31)</f>
        <v>219523.3</v>
      </c>
      <c r="W11" s="658">
        <f t="shared" si="4"/>
        <v>48.701785912368273</v>
      </c>
      <c r="X11" s="678">
        <f>SUM(X12:X31)</f>
        <v>250751.7</v>
      </c>
    </row>
    <row r="12" spans="1:24" s="651" customFormat="1" ht="9.75">
      <c r="A12" s="232" t="s">
        <v>8</v>
      </c>
      <c r="B12" s="1159" t="s">
        <v>28</v>
      </c>
      <c r="C12" s="1159"/>
      <c r="D12" s="245" t="s">
        <v>25</v>
      </c>
      <c r="E12" s="681">
        <v>377000</v>
      </c>
      <c r="F12" s="663">
        <v>393638.46</v>
      </c>
      <c r="G12" s="663">
        <v>137440.76</v>
      </c>
      <c r="H12" s="664">
        <f t="shared" si="0"/>
        <v>34.915480565593107</v>
      </c>
      <c r="I12" s="663">
        <v>248951.76</v>
      </c>
      <c r="J12" s="681">
        <v>377000</v>
      </c>
      <c r="K12" s="663">
        <v>393638.46</v>
      </c>
      <c r="L12" s="663">
        <v>137440.76</v>
      </c>
      <c r="M12" s="664">
        <f t="shared" si="2"/>
        <v>34.915480565593107</v>
      </c>
      <c r="N12" s="663">
        <v>248951.76</v>
      </c>
      <c r="O12" s="685"/>
      <c r="P12" s="666"/>
      <c r="Q12" s="666"/>
      <c r="R12" s="664" t="e">
        <f t="shared" si="3"/>
        <v>#DIV/0!</v>
      </c>
      <c r="S12" s="689"/>
      <c r="T12" s="685">
        <v>7000</v>
      </c>
      <c r="U12" s="666">
        <v>7720</v>
      </c>
      <c r="V12" s="666">
        <v>7716.5</v>
      </c>
      <c r="W12" s="664">
        <f t="shared" si="4"/>
        <v>99.954663212435236</v>
      </c>
      <c r="X12" s="666">
        <v>39528</v>
      </c>
    </row>
    <row r="13" spans="1:24" s="651" customFormat="1" ht="9.75">
      <c r="A13" s="710" t="s">
        <v>10</v>
      </c>
      <c r="B13" s="1160" t="s">
        <v>29</v>
      </c>
      <c r="C13" s="1160"/>
      <c r="D13" s="245" t="s">
        <v>25</v>
      </c>
      <c r="E13" s="681">
        <v>760000</v>
      </c>
      <c r="F13" s="663">
        <v>795700</v>
      </c>
      <c r="G13" s="663">
        <v>795611.51</v>
      </c>
      <c r="H13" s="664">
        <f t="shared" si="0"/>
        <v>99.988878974487875</v>
      </c>
      <c r="I13" s="663">
        <v>568653.18999999994</v>
      </c>
      <c r="J13" s="681">
        <v>760000</v>
      </c>
      <c r="K13" s="663">
        <v>795700</v>
      </c>
      <c r="L13" s="663">
        <v>795611.51</v>
      </c>
      <c r="M13" s="664">
        <f t="shared" si="2"/>
        <v>99.988878974487875</v>
      </c>
      <c r="N13" s="663">
        <v>568653.18999999994</v>
      </c>
      <c r="O13" s="681"/>
      <c r="P13" s="663"/>
      <c r="Q13" s="663"/>
      <c r="R13" s="664" t="e">
        <f t="shared" si="3"/>
        <v>#DIV/0!</v>
      </c>
      <c r="S13" s="682"/>
      <c r="T13" s="681">
        <v>56250</v>
      </c>
      <c r="U13" s="663">
        <v>43310</v>
      </c>
      <c r="V13" s="663">
        <v>18430.5</v>
      </c>
      <c r="W13" s="664">
        <f t="shared" si="4"/>
        <v>42.554837220041556</v>
      </c>
      <c r="X13" s="663">
        <v>18753.900000000001</v>
      </c>
    </row>
    <row r="14" spans="1:24" s="651" customFormat="1" ht="9.75">
      <c r="A14" s="710" t="s">
        <v>11</v>
      </c>
      <c r="B14" s="672" t="s">
        <v>61</v>
      </c>
      <c r="C14" s="672"/>
      <c r="D14" s="245" t="s">
        <v>25</v>
      </c>
      <c r="E14" s="681">
        <f t="shared" ref="E14:L27" si="5">SUM(J14,O14)</f>
        <v>0</v>
      </c>
      <c r="F14" s="663">
        <v>8670</v>
      </c>
      <c r="G14" s="663">
        <v>8667</v>
      </c>
      <c r="H14" s="664">
        <f t="shared" si="0"/>
        <v>99.965397923875429</v>
      </c>
      <c r="I14" s="663">
        <v>264</v>
      </c>
      <c r="J14" s="681">
        <f t="shared" si="5"/>
        <v>0</v>
      </c>
      <c r="K14" s="663">
        <v>8670</v>
      </c>
      <c r="L14" s="663">
        <v>8667</v>
      </c>
      <c r="M14" s="664">
        <f t="shared" si="2"/>
        <v>99.965397923875429</v>
      </c>
      <c r="N14" s="663">
        <v>264</v>
      </c>
      <c r="O14" s="681"/>
      <c r="P14" s="663"/>
      <c r="Q14" s="663"/>
      <c r="R14" s="664" t="e">
        <f t="shared" si="3"/>
        <v>#DIV/0!</v>
      </c>
      <c r="S14" s="682"/>
      <c r="T14" s="681">
        <v>0</v>
      </c>
      <c r="U14" s="663">
        <v>0</v>
      </c>
      <c r="V14" s="663">
        <v>0</v>
      </c>
      <c r="W14" s="664" t="e">
        <f t="shared" si="4"/>
        <v>#DIV/0!</v>
      </c>
      <c r="X14" s="663">
        <v>0</v>
      </c>
    </row>
    <row r="15" spans="1:24" s="651" customFormat="1" ht="9.75">
      <c r="A15" s="710" t="s">
        <v>12</v>
      </c>
      <c r="B15" s="1160" t="s">
        <v>62</v>
      </c>
      <c r="C15" s="1160"/>
      <c r="D15" s="245" t="s">
        <v>25</v>
      </c>
      <c r="E15" s="681">
        <v>32000</v>
      </c>
      <c r="F15" s="663">
        <v>76530.92</v>
      </c>
      <c r="G15" s="663">
        <v>76521.33</v>
      </c>
      <c r="H15" s="664">
        <f t="shared" si="0"/>
        <v>99.987469117057529</v>
      </c>
      <c r="I15" s="663">
        <v>52540.59</v>
      </c>
      <c r="J15" s="681">
        <v>32000</v>
      </c>
      <c r="K15" s="663">
        <v>76530.92</v>
      </c>
      <c r="L15" s="663">
        <v>76521.33</v>
      </c>
      <c r="M15" s="664">
        <f t="shared" si="2"/>
        <v>99.987469117057529</v>
      </c>
      <c r="N15" s="663">
        <v>52540.59</v>
      </c>
      <c r="O15" s="681"/>
      <c r="P15" s="663"/>
      <c r="Q15" s="663"/>
      <c r="R15" s="664" t="e">
        <f t="shared" si="3"/>
        <v>#DIV/0!</v>
      </c>
      <c r="S15" s="682"/>
      <c r="T15" s="681">
        <v>35000</v>
      </c>
      <c r="U15" s="663">
        <v>28792</v>
      </c>
      <c r="V15" s="663">
        <v>16462.5</v>
      </c>
      <c r="W15" s="664">
        <f t="shared" si="4"/>
        <v>57.177340928035569</v>
      </c>
      <c r="X15" s="663">
        <v>458</v>
      </c>
    </row>
    <row r="16" spans="1:24" s="651" customFormat="1" ht="9.75">
      <c r="A16" s="710" t="s">
        <v>13</v>
      </c>
      <c r="B16" s="1160" t="s">
        <v>30</v>
      </c>
      <c r="C16" s="1160"/>
      <c r="D16" s="245" t="s">
        <v>25</v>
      </c>
      <c r="E16" s="681">
        <v>10000</v>
      </c>
      <c r="F16" s="663">
        <v>1400</v>
      </c>
      <c r="G16" s="663">
        <v>1385</v>
      </c>
      <c r="H16" s="664">
        <f t="shared" si="0"/>
        <v>98.928571428571431</v>
      </c>
      <c r="I16" s="663">
        <v>5334</v>
      </c>
      <c r="J16" s="681">
        <v>10000</v>
      </c>
      <c r="K16" s="663">
        <v>1400</v>
      </c>
      <c r="L16" s="663">
        <v>1385</v>
      </c>
      <c r="M16" s="664">
        <f t="shared" si="2"/>
        <v>98.928571428571431</v>
      </c>
      <c r="N16" s="663">
        <v>5334</v>
      </c>
      <c r="O16" s="681"/>
      <c r="P16" s="663"/>
      <c r="Q16" s="663"/>
      <c r="R16" s="664" t="e">
        <f t="shared" si="3"/>
        <v>#DIV/0!</v>
      </c>
      <c r="S16" s="682"/>
      <c r="T16" s="681">
        <v>0</v>
      </c>
      <c r="U16" s="663">
        <v>0</v>
      </c>
      <c r="V16" s="663">
        <v>0</v>
      </c>
      <c r="W16" s="664" t="e">
        <f t="shared" si="4"/>
        <v>#DIV/0!</v>
      </c>
      <c r="X16" s="663">
        <v>0</v>
      </c>
    </row>
    <row r="17" spans="1:24" s="651" customFormat="1" ht="9.75">
      <c r="A17" s="710" t="s">
        <v>14</v>
      </c>
      <c r="B17" s="672" t="s">
        <v>46</v>
      </c>
      <c r="C17" s="672"/>
      <c r="D17" s="245" t="s">
        <v>25</v>
      </c>
      <c r="E17" s="681">
        <v>10000</v>
      </c>
      <c r="F17" s="663">
        <v>5800</v>
      </c>
      <c r="G17" s="663">
        <v>5783</v>
      </c>
      <c r="H17" s="664">
        <f t="shared" si="0"/>
        <v>99.706896551724128</v>
      </c>
      <c r="I17" s="663">
        <v>7630</v>
      </c>
      <c r="J17" s="681">
        <v>10000</v>
      </c>
      <c r="K17" s="663">
        <v>5800</v>
      </c>
      <c r="L17" s="663">
        <v>5783</v>
      </c>
      <c r="M17" s="664">
        <f t="shared" si="2"/>
        <v>99.706896551724128</v>
      </c>
      <c r="N17" s="663">
        <v>7630</v>
      </c>
      <c r="O17" s="681"/>
      <c r="P17" s="663"/>
      <c r="Q17" s="663"/>
      <c r="R17" s="664" t="e">
        <f t="shared" si="3"/>
        <v>#DIV/0!</v>
      </c>
      <c r="S17" s="682"/>
      <c r="T17" s="681">
        <v>0</v>
      </c>
      <c r="U17" s="663">
        <v>0</v>
      </c>
      <c r="V17" s="663">
        <v>0</v>
      </c>
      <c r="W17" s="664" t="e">
        <f t="shared" si="4"/>
        <v>#DIV/0!</v>
      </c>
      <c r="X17" s="663">
        <v>0</v>
      </c>
    </row>
    <row r="18" spans="1:24" s="651" customFormat="1" ht="9.75">
      <c r="A18" s="710" t="s">
        <v>15</v>
      </c>
      <c r="B18" s="1160" t="s">
        <v>31</v>
      </c>
      <c r="C18" s="1160"/>
      <c r="D18" s="245" t="s">
        <v>25</v>
      </c>
      <c r="E18" s="681">
        <v>3379433</v>
      </c>
      <c r="F18" s="663">
        <v>3379218.3</v>
      </c>
      <c r="G18" s="663">
        <v>2925550.2</v>
      </c>
      <c r="H18" s="664">
        <f t="shared" si="0"/>
        <v>86.574761979715859</v>
      </c>
      <c r="I18" s="663">
        <v>2131662.21</v>
      </c>
      <c r="J18" s="681">
        <v>3379433</v>
      </c>
      <c r="K18" s="663">
        <v>3379218.3</v>
      </c>
      <c r="L18" s="663">
        <v>2925550.2</v>
      </c>
      <c r="M18" s="664">
        <f t="shared" si="2"/>
        <v>86.574761979715859</v>
      </c>
      <c r="N18" s="663">
        <v>2131662.21</v>
      </c>
      <c r="O18" s="681"/>
      <c r="P18" s="663"/>
      <c r="Q18" s="663"/>
      <c r="R18" s="664" t="e">
        <f t="shared" si="3"/>
        <v>#DIV/0!</v>
      </c>
      <c r="S18" s="682"/>
      <c r="T18" s="681">
        <v>52500</v>
      </c>
      <c r="U18" s="663">
        <v>52500</v>
      </c>
      <c r="V18" s="663">
        <v>38103.300000000003</v>
      </c>
      <c r="W18" s="664">
        <f t="shared" si="4"/>
        <v>72.577714285714293</v>
      </c>
      <c r="X18" s="663">
        <v>36197.300000000003</v>
      </c>
    </row>
    <row r="19" spans="1:24" s="654" customFormat="1" ht="9.75">
      <c r="A19" s="710" t="s">
        <v>16</v>
      </c>
      <c r="B19" s="1160" t="s">
        <v>32</v>
      </c>
      <c r="C19" s="1160"/>
      <c r="D19" s="245" t="s">
        <v>25</v>
      </c>
      <c r="E19" s="681">
        <v>3869500</v>
      </c>
      <c r="F19" s="663">
        <v>3903025</v>
      </c>
      <c r="G19" s="663">
        <v>3903023.5</v>
      </c>
      <c r="H19" s="664">
        <f t="shared" si="0"/>
        <v>99.999961568270763</v>
      </c>
      <c r="I19" s="663">
        <v>3763461.32</v>
      </c>
      <c r="J19" s="681">
        <v>3869500</v>
      </c>
      <c r="K19" s="663">
        <v>3903025</v>
      </c>
      <c r="L19" s="663">
        <v>3903023.5</v>
      </c>
      <c r="M19" s="664">
        <f t="shared" si="2"/>
        <v>99.999961568270763</v>
      </c>
      <c r="N19" s="663">
        <v>3763461.32</v>
      </c>
      <c r="O19" s="681"/>
      <c r="P19" s="663"/>
      <c r="Q19" s="663"/>
      <c r="R19" s="664" t="e">
        <f t="shared" si="3"/>
        <v>#DIV/0!</v>
      </c>
      <c r="S19" s="682"/>
      <c r="T19" s="687">
        <v>220000</v>
      </c>
      <c r="U19" s="668">
        <v>220000</v>
      </c>
      <c r="V19" s="668">
        <v>89860.5</v>
      </c>
      <c r="W19" s="664">
        <f t="shared" si="4"/>
        <v>40.845681818181816</v>
      </c>
      <c r="X19" s="668">
        <v>101537.68</v>
      </c>
    </row>
    <row r="20" spans="1:24" s="651" customFormat="1" ht="9.75">
      <c r="A20" s="710" t="s">
        <v>17</v>
      </c>
      <c r="B20" s="1160" t="s">
        <v>47</v>
      </c>
      <c r="C20" s="1160"/>
      <c r="D20" s="245" t="s">
        <v>25</v>
      </c>
      <c r="E20" s="681">
        <v>1329000</v>
      </c>
      <c r="F20" s="663">
        <v>1296870</v>
      </c>
      <c r="G20" s="663">
        <v>1296595</v>
      </c>
      <c r="H20" s="664">
        <f t="shared" si="0"/>
        <v>99.978795098969059</v>
      </c>
      <c r="I20" s="663">
        <v>1247307.68</v>
      </c>
      <c r="J20" s="681">
        <v>1329000</v>
      </c>
      <c r="K20" s="663">
        <v>1296870</v>
      </c>
      <c r="L20" s="663">
        <v>1296595</v>
      </c>
      <c r="M20" s="664">
        <f t="shared" si="2"/>
        <v>99.978795098969059</v>
      </c>
      <c r="N20" s="663">
        <v>1247307.68</v>
      </c>
      <c r="O20" s="681"/>
      <c r="P20" s="663"/>
      <c r="Q20" s="663"/>
      <c r="R20" s="664" t="e">
        <f t="shared" si="3"/>
        <v>#DIV/0!</v>
      </c>
      <c r="S20" s="682"/>
      <c r="T20" s="681">
        <v>75000</v>
      </c>
      <c r="U20" s="663">
        <v>75000</v>
      </c>
      <c r="V20" s="663">
        <v>30553</v>
      </c>
      <c r="W20" s="664">
        <f t="shared" si="4"/>
        <v>40.737333333333332</v>
      </c>
      <c r="X20" s="663">
        <v>34655.32</v>
      </c>
    </row>
    <row r="21" spans="1:24" s="651" customFormat="1" ht="9.75">
      <c r="A21" s="710" t="s">
        <v>18</v>
      </c>
      <c r="B21" s="1160" t="s">
        <v>48</v>
      </c>
      <c r="C21" s="1160"/>
      <c r="D21" s="245" t="s">
        <v>25</v>
      </c>
      <c r="E21" s="681">
        <v>152000</v>
      </c>
      <c r="F21" s="663">
        <v>178205</v>
      </c>
      <c r="G21" s="663">
        <v>178201.19</v>
      </c>
      <c r="H21" s="664">
        <f t="shared" si="0"/>
        <v>99.997862012850362</v>
      </c>
      <c r="I21" s="663">
        <v>144318.93</v>
      </c>
      <c r="J21" s="681">
        <v>152000</v>
      </c>
      <c r="K21" s="663">
        <v>178205</v>
      </c>
      <c r="L21" s="663">
        <v>178201.19</v>
      </c>
      <c r="M21" s="664">
        <f t="shared" si="2"/>
        <v>99.997862012850362</v>
      </c>
      <c r="N21" s="663">
        <v>144318.93</v>
      </c>
      <c r="O21" s="681"/>
      <c r="P21" s="663"/>
      <c r="Q21" s="663"/>
      <c r="R21" s="664" t="e">
        <f t="shared" si="3"/>
        <v>#DIV/0!</v>
      </c>
      <c r="S21" s="682"/>
      <c r="T21" s="681">
        <v>5000</v>
      </c>
      <c r="U21" s="663">
        <v>5000</v>
      </c>
      <c r="V21" s="663">
        <v>0</v>
      </c>
      <c r="W21" s="664">
        <f t="shared" si="4"/>
        <v>0</v>
      </c>
      <c r="X21" s="663">
        <v>0</v>
      </c>
    </row>
    <row r="22" spans="1:24" s="651" customFormat="1" ht="9.75">
      <c r="A22" s="710" t="s">
        <v>19</v>
      </c>
      <c r="B22" s="1160" t="s">
        <v>63</v>
      </c>
      <c r="C22" s="1160"/>
      <c r="D22" s="245" t="s">
        <v>25</v>
      </c>
      <c r="E22" s="681">
        <v>4000</v>
      </c>
      <c r="F22" s="663">
        <v>2000</v>
      </c>
      <c r="G22" s="663">
        <v>1800</v>
      </c>
      <c r="H22" s="664">
        <f t="shared" si="0"/>
        <v>90</v>
      </c>
      <c r="I22" s="663">
        <v>1800</v>
      </c>
      <c r="J22" s="681">
        <v>4000</v>
      </c>
      <c r="K22" s="663">
        <v>2000</v>
      </c>
      <c r="L22" s="663">
        <v>1800</v>
      </c>
      <c r="M22" s="664">
        <f t="shared" si="2"/>
        <v>90</v>
      </c>
      <c r="N22" s="663">
        <v>1800</v>
      </c>
      <c r="O22" s="681"/>
      <c r="P22" s="663"/>
      <c r="Q22" s="663"/>
      <c r="R22" s="664" t="e">
        <f t="shared" si="3"/>
        <v>#DIV/0!</v>
      </c>
      <c r="S22" s="682"/>
      <c r="T22" s="681">
        <v>0</v>
      </c>
      <c r="U22" s="663">
        <v>0</v>
      </c>
      <c r="V22" s="663">
        <v>0</v>
      </c>
      <c r="W22" s="664" t="e">
        <f t="shared" si="4"/>
        <v>#DIV/0!</v>
      </c>
      <c r="X22" s="663">
        <v>0</v>
      </c>
    </row>
    <row r="23" spans="1:24" s="651" customFormat="1" ht="9.75">
      <c r="A23" s="710" t="s">
        <v>20</v>
      </c>
      <c r="B23" s="672" t="s">
        <v>64</v>
      </c>
      <c r="C23" s="672"/>
      <c r="D23" s="245" t="s">
        <v>25</v>
      </c>
      <c r="E23" s="681">
        <f t="shared" si="5"/>
        <v>0</v>
      </c>
      <c r="F23" s="663">
        <f t="shared" si="5"/>
        <v>0</v>
      </c>
      <c r="G23" s="663">
        <f t="shared" si="5"/>
        <v>0</v>
      </c>
      <c r="H23" s="664" t="e">
        <f t="shared" si="0"/>
        <v>#DIV/0!</v>
      </c>
      <c r="I23" s="663">
        <f t="shared" ref="I23:I27" si="6">SUM(N23,S23)</f>
        <v>0</v>
      </c>
      <c r="J23" s="681">
        <f t="shared" si="5"/>
        <v>0</v>
      </c>
      <c r="K23" s="663">
        <f t="shared" si="5"/>
        <v>0</v>
      </c>
      <c r="L23" s="663">
        <f t="shared" si="5"/>
        <v>0</v>
      </c>
      <c r="M23" s="664" t="e">
        <f t="shared" si="2"/>
        <v>#DIV/0!</v>
      </c>
      <c r="N23" s="663">
        <f t="shared" ref="N23:N27" si="7">SUM(S23,X23)</f>
        <v>0</v>
      </c>
      <c r="O23" s="681"/>
      <c r="P23" s="663"/>
      <c r="Q23" s="663"/>
      <c r="R23" s="664" t="e">
        <f t="shared" si="3"/>
        <v>#DIV/0!</v>
      </c>
      <c r="S23" s="682"/>
      <c r="T23" s="681">
        <v>0</v>
      </c>
      <c r="U23" s="663">
        <v>0</v>
      </c>
      <c r="V23" s="663">
        <v>0</v>
      </c>
      <c r="W23" s="664" t="e">
        <f t="shared" si="4"/>
        <v>#DIV/0!</v>
      </c>
      <c r="X23" s="663">
        <v>0</v>
      </c>
    </row>
    <row r="24" spans="1:24" s="651" customFormat="1" ht="9.75">
      <c r="A24" s="710" t="s">
        <v>21</v>
      </c>
      <c r="B24" s="672" t="s">
        <v>71</v>
      </c>
      <c r="C24" s="672"/>
      <c r="D24" s="245" t="s">
        <v>25</v>
      </c>
      <c r="E24" s="681">
        <f t="shared" si="5"/>
        <v>0</v>
      </c>
      <c r="F24" s="663">
        <f t="shared" si="5"/>
        <v>0</v>
      </c>
      <c r="G24" s="663">
        <f t="shared" si="5"/>
        <v>0</v>
      </c>
      <c r="H24" s="664" t="e">
        <f t="shared" si="0"/>
        <v>#DIV/0!</v>
      </c>
      <c r="I24" s="663">
        <f t="shared" si="6"/>
        <v>0</v>
      </c>
      <c r="J24" s="681">
        <f t="shared" si="5"/>
        <v>0</v>
      </c>
      <c r="K24" s="663">
        <f t="shared" si="5"/>
        <v>0</v>
      </c>
      <c r="L24" s="663">
        <f t="shared" si="5"/>
        <v>0</v>
      </c>
      <c r="M24" s="664" t="e">
        <f t="shared" si="2"/>
        <v>#DIV/0!</v>
      </c>
      <c r="N24" s="663">
        <f t="shared" si="7"/>
        <v>0</v>
      </c>
      <c r="O24" s="681"/>
      <c r="P24" s="663"/>
      <c r="Q24" s="663"/>
      <c r="R24" s="664" t="e">
        <f t="shared" si="3"/>
        <v>#DIV/0!</v>
      </c>
      <c r="S24" s="682"/>
      <c r="T24" s="681">
        <v>0</v>
      </c>
      <c r="U24" s="663">
        <v>0</v>
      </c>
      <c r="V24" s="663">
        <v>0</v>
      </c>
      <c r="W24" s="664" t="e">
        <f t="shared" si="4"/>
        <v>#DIV/0!</v>
      </c>
      <c r="X24" s="663">
        <v>0</v>
      </c>
    </row>
    <row r="25" spans="1:24" s="651" customFormat="1" ht="9.75">
      <c r="A25" s="232" t="s">
        <v>22</v>
      </c>
      <c r="B25" s="264" t="s">
        <v>66</v>
      </c>
      <c r="C25" s="264"/>
      <c r="D25" s="245" t="s">
        <v>25</v>
      </c>
      <c r="E25" s="681">
        <f t="shared" si="5"/>
        <v>0</v>
      </c>
      <c r="F25" s="663">
        <f t="shared" si="5"/>
        <v>0</v>
      </c>
      <c r="G25" s="663">
        <f t="shared" si="5"/>
        <v>0</v>
      </c>
      <c r="H25" s="664" t="e">
        <f t="shared" si="0"/>
        <v>#DIV/0!</v>
      </c>
      <c r="I25" s="663">
        <v>2000</v>
      </c>
      <c r="J25" s="681">
        <f t="shared" si="5"/>
        <v>0</v>
      </c>
      <c r="K25" s="663">
        <f t="shared" si="5"/>
        <v>0</v>
      </c>
      <c r="L25" s="663">
        <f t="shared" si="5"/>
        <v>0</v>
      </c>
      <c r="M25" s="664" t="e">
        <f t="shared" si="2"/>
        <v>#DIV/0!</v>
      </c>
      <c r="N25" s="663">
        <v>2000</v>
      </c>
      <c r="O25" s="685"/>
      <c r="P25" s="666"/>
      <c r="Q25" s="666"/>
      <c r="R25" s="664" t="e">
        <f t="shared" si="3"/>
        <v>#DIV/0!</v>
      </c>
      <c r="S25" s="689"/>
      <c r="T25" s="987">
        <v>0</v>
      </c>
      <c r="U25" s="988">
        <v>0</v>
      </c>
      <c r="V25" s="988">
        <v>0</v>
      </c>
      <c r="W25" s="664" t="e">
        <f t="shared" si="4"/>
        <v>#DIV/0!</v>
      </c>
      <c r="X25" s="666"/>
    </row>
    <row r="26" spans="1:24" s="655" customFormat="1" ht="9.75">
      <c r="A26" s="710" t="s">
        <v>23</v>
      </c>
      <c r="B26" s="1160" t="s">
        <v>67</v>
      </c>
      <c r="C26" s="1160"/>
      <c r="D26" s="245" t="s">
        <v>25</v>
      </c>
      <c r="E26" s="681">
        <v>818300</v>
      </c>
      <c r="F26" s="663">
        <v>969080</v>
      </c>
      <c r="G26" s="663">
        <v>952080.7</v>
      </c>
      <c r="H26" s="669">
        <f t="shared" si="0"/>
        <v>98.245831097535813</v>
      </c>
      <c r="I26" s="663">
        <v>811104.5</v>
      </c>
      <c r="J26" s="681">
        <v>818300</v>
      </c>
      <c r="K26" s="663">
        <v>969080</v>
      </c>
      <c r="L26" s="663">
        <v>952080.7</v>
      </c>
      <c r="M26" s="664">
        <f t="shared" si="2"/>
        <v>98.245831097535813</v>
      </c>
      <c r="N26" s="663">
        <v>811104.5</v>
      </c>
      <c r="O26" s="222"/>
      <c r="P26" s="667"/>
      <c r="Q26" s="667"/>
      <c r="R26" s="664" t="e">
        <f t="shared" si="3"/>
        <v>#DIV/0!</v>
      </c>
      <c r="S26" s="686"/>
      <c r="T26" s="989">
        <v>0</v>
      </c>
      <c r="U26" s="990">
        <v>16923</v>
      </c>
      <c r="V26" s="990">
        <v>16915</v>
      </c>
      <c r="W26" s="664">
        <f t="shared" si="4"/>
        <v>99.952727057850268</v>
      </c>
      <c r="X26" s="667">
        <v>16985.5</v>
      </c>
    </row>
    <row r="27" spans="1:24" s="656" customFormat="1" ht="9.75">
      <c r="A27" s="710" t="s">
        <v>43</v>
      </c>
      <c r="B27" s="672" t="s">
        <v>68</v>
      </c>
      <c r="C27" s="672"/>
      <c r="D27" s="245" t="s">
        <v>25</v>
      </c>
      <c r="E27" s="681">
        <f t="shared" si="5"/>
        <v>0</v>
      </c>
      <c r="F27" s="663">
        <f t="shared" si="5"/>
        <v>0</v>
      </c>
      <c r="G27" s="663">
        <f t="shared" si="5"/>
        <v>0</v>
      </c>
      <c r="H27" s="669" t="e">
        <f t="shared" si="0"/>
        <v>#DIV/0!</v>
      </c>
      <c r="I27" s="663">
        <f t="shared" si="6"/>
        <v>0</v>
      </c>
      <c r="J27" s="681">
        <f t="shared" si="5"/>
        <v>0</v>
      </c>
      <c r="K27" s="663">
        <f t="shared" si="5"/>
        <v>0</v>
      </c>
      <c r="L27" s="663">
        <f t="shared" si="5"/>
        <v>0</v>
      </c>
      <c r="M27" s="664" t="e">
        <f t="shared" si="2"/>
        <v>#DIV/0!</v>
      </c>
      <c r="N27" s="663">
        <f t="shared" si="7"/>
        <v>0</v>
      </c>
      <c r="O27" s="222"/>
      <c r="P27" s="667"/>
      <c r="Q27" s="667"/>
      <c r="R27" s="664" t="e">
        <f t="shared" si="3"/>
        <v>#DIV/0!</v>
      </c>
      <c r="S27" s="686"/>
      <c r="T27" s="989">
        <v>0</v>
      </c>
      <c r="U27" s="990">
        <v>0</v>
      </c>
      <c r="V27" s="990">
        <v>0</v>
      </c>
      <c r="W27" s="664" t="e">
        <f t="shared" si="4"/>
        <v>#DIV/0!</v>
      </c>
      <c r="X27" s="667">
        <v>0</v>
      </c>
    </row>
    <row r="28" spans="1:24" s="656" customFormat="1" ht="9.75">
      <c r="A28" s="710" t="s">
        <v>49</v>
      </c>
      <c r="B28" s="672" t="s">
        <v>72</v>
      </c>
      <c r="C28" s="672"/>
      <c r="D28" s="245" t="s">
        <v>25</v>
      </c>
      <c r="E28" s="681">
        <v>0</v>
      </c>
      <c r="F28" s="663">
        <v>36047.5</v>
      </c>
      <c r="G28" s="663">
        <v>34597.5</v>
      </c>
      <c r="H28" s="669">
        <f t="shared" si="0"/>
        <v>95.97752964838061</v>
      </c>
      <c r="I28" s="663">
        <v>121566.17</v>
      </c>
      <c r="J28" s="681">
        <v>0</v>
      </c>
      <c r="K28" s="663">
        <v>36047.5</v>
      </c>
      <c r="L28" s="663">
        <v>34597.5</v>
      </c>
      <c r="M28" s="664">
        <f t="shared" si="2"/>
        <v>95.97752964838061</v>
      </c>
      <c r="N28" s="663">
        <v>121566.17</v>
      </c>
      <c r="O28" s="222"/>
      <c r="P28" s="667"/>
      <c r="Q28" s="667"/>
      <c r="R28" s="664" t="e">
        <f t="shared" si="3"/>
        <v>#DIV/0!</v>
      </c>
      <c r="S28" s="686"/>
      <c r="T28" s="989">
        <v>0</v>
      </c>
      <c r="U28" s="990">
        <v>0</v>
      </c>
      <c r="V28" s="990">
        <v>0</v>
      </c>
      <c r="W28" s="664" t="e">
        <f t="shared" si="4"/>
        <v>#DIV/0!</v>
      </c>
      <c r="X28" s="667">
        <v>0</v>
      </c>
    </row>
    <row r="29" spans="1:24" s="655" customFormat="1" ht="9.75">
      <c r="A29" s="710" t="s">
        <v>50</v>
      </c>
      <c r="B29" s="1160" t="s">
        <v>65</v>
      </c>
      <c r="C29" s="1160"/>
      <c r="D29" s="245" t="s">
        <v>25</v>
      </c>
      <c r="E29" s="681">
        <v>4500</v>
      </c>
      <c r="F29" s="663">
        <v>3630</v>
      </c>
      <c r="G29" s="663">
        <v>2738</v>
      </c>
      <c r="H29" s="669">
        <f t="shared" si="0"/>
        <v>75.426997245179066</v>
      </c>
      <c r="I29" s="663">
        <v>1584</v>
      </c>
      <c r="J29" s="681">
        <v>4500</v>
      </c>
      <c r="K29" s="663">
        <v>3630</v>
      </c>
      <c r="L29" s="663">
        <v>2738</v>
      </c>
      <c r="M29" s="664">
        <f t="shared" si="2"/>
        <v>75.426997245179066</v>
      </c>
      <c r="N29" s="663">
        <v>1584</v>
      </c>
      <c r="O29" s="222"/>
      <c r="P29" s="667"/>
      <c r="Q29" s="667"/>
      <c r="R29" s="664" t="e">
        <f t="shared" si="3"/>
        <v>#DIV/0!</v>
      </c>
      <c r="S29" s="686"/>
      <c r="T29" s="989">
        <v>0</v>
      </c>
      <c r="U29" s="990">
        <v>1505</v>
      </c>
      <c r="V29" s="990">
        <v>1482</v>
      </c>
      <c r="W29" s="664">
        <f t="shared" si="4"/>
        <v>98.471760797342185</v>
      </c>
      <c r="X29" s="667">
        <v>2636</v>
      </c>
    </row>
    <row r="30" spans="1:24" s="651" customFormat="1" ht="9.75">
      <c r="A30" s="710" t="s">
        <v>52</v>
      </c>
      <c r="B30" s="672" t="s">
        <v>51</v>
      </c>
      <c r="C30" s="672"/>
      <c r="D30" s="245" t="s">
        <v>25</v>
      </c>
      <c r="E30" s="681">
        <f t="shared" ref="E30:G31" si="8">SUM(J30,O30)</f>
        <v>0</v>
      </c>
      <c r="F30" s="663">
        <f t="shared" si="8"/>
        <v>0</v>
      </c>
      <c r="G30" s="663">
        <f t="shared" si="8"/>
        <v>0</v>
      </c>
      <c r="H30" s="669" t="e">
        <f t="shared" si="0"/>
        <v>#DIV/0!</v>
      </c>
      <c r="I30" s="663">
        <f t="shared" ref="I30:L31" si="9">SUM(N30,S30)</f>
        <v>0</v>
      </c>
      <c r="J30" s="681">
        <f t="shared" si="9"/>
        <v>0</v>
      </c>
      <c r="K30" s="663">
        <f t="shared" si="9"/>
        <v>0</v>
      </c>
      <c r="L30" s="663">
        <f t="shared" si="9"/>
        <v>0</v>
      </c>
      <c r="M30" s="664" t="e">
        <f t="shared" si="2"/>
        <v>#DIV/0!</v>
      </c>
      <c r="N30" s="663">
        <f t="shared" ref="N30:N31" si="10">SUM(S30,X30)</f>
        <v>0</v>
      </c>
      <c r="O30" s="222"/>
      <c r="P30" s="667"/>
      <c r="Q30" s="667"/>
      <c r="R30" s="664" t="e">
        <f t="shared" si="3"/>
        <v>#DIV/0!</v>
      </c>
      <c r="S30" s="686"/>
      <c r="T30" s="989">
        <v>0</v>
      </c>
      <c r="U30" s="990">
        <v>0</v>
      </c>
      <c r="V30" s="990">
        <v>0</v>
      </c>
      <c r="W30" s="664" t="e">
        <f t="shared" si="4"/>
        <v>#DIV/0!</v>
      </c>
      <c r="X30" s="667">
        <v>0</v>
      </c>
    </row>
    <row r="31" spans="1:24" s="659" customFormat="1" ht="9.75">
      <c r="A31" s="710" t="s">
        <v>53</v>
      </c>
      <c r="B31" s="672" t="s">
        <v>69</v>
      </c>
      <c r="C31" s="672"/>
      <c r="D31" s="245" t="s">
        <v>25</v>
      </c>
      <c r="E31" s="681">
        <f t="shared" si="8"/>
        <v>0</v>
      </c>
      <c r="F31" s="663">
        <f t="shared" si="8"/>
        <v>0</v>
      </c>
      <c r="G31" s="663">
        <f t="shared" si="8"/>
        <v>0</v>
      </c>
      <c r="H31" s="669" t="e">
        <f t="shared" si="0"/>
        <v>#DIV/0!</v>
      </c>
      <c r="I31" s="663">
        <f t="shared" si="9"/>
        <v>0</v>
      </c>
      <c r="J31" s="681">
        <f t="shared" si="9"/>
        <v>0</v>
      </c>
      <c r="K31" s="663">
        <f t="shared" si="9"/>
        <v>0</v>
      </c>
      <c r="L31" s="663">
        <f t="shared" si="9"/>
        <v>0</v>
      </c>
      <c r="M31" s="664" t="e">
        <f t="shared" si="2"/>
        <v>#DIV/0!</v>
      </c>
      <c r="N31" s="663">
        <f t="shared" si="10"/>
        <v>0</v>
      </c>
      <c r="O31" s="223"/>
      <c r="P31" s="670"/>
      <c r="Q31" s="670"/>
      <c r="R31" s="664" t="e">
        <f t="shared" si="3"/>
        <v>#DIV/0!</v>
      </c>
      <c r="S31" s="692"/>
      <c r="T31" s="690">
        <v>0</v>
      </c>
      <c r="U31" s="671">
        <v>0</v>
      </c>
      <c r="V31" s="671">
        <v>0</v>
      </c>
      <c r="W31" s="664" t="e">
        <f t="shared" si="4"/>
        <v>#DIV/0!</v>
      </c>
      <c r="X31" s="670">
        <v>0</v>
      </c>
    </row>
    <row r="32" spans="1:24" s="659" customFormat="1" ht="9.75">
      <c r="A32" s="232" t="s">
        <v>54</v>
      </c>
      <c r="B32" s="264" t="s">
        <v>70</v>
      </c>
      <c r="C32" s="264"/>
      <c r="D32" s="245" t="s">
        <v>25</v>
      </c>
      <c r="E32" s="681">
        <f>SUM(J32,O32)</f>
        <v>0</v>
      </c>
      <c r="F32" s="663">
        <f>SUM(K32,P32)</f>
        <v>0</v>
      </c>
      <c r="G32" s="663">
        <f>SUM(L32,Q32)</f>
        <v>0</v>
      </c>
      <c r="H32" s="669" t="e">
        <f t="shared" si="0"/>
        <v>#DIV/0!</v>
      </c>
      <c r="I32" s="663">
        <f>SUM(N32,S32)</f>
        <v>0</v>
      </c>
      <c r="J32" s="681">
        <f>SUM(O32,T32)</f>
        <v>0</v>
      </c>
      <c r="K32" s="663">
        <f>SUM(P32,U32)</f>
        <v>0</v>
      </c>
      <c r="L32" s="663">
        <f>SUM(Q32,V32)</f>
        <v>0</v>
      </c>
      <c r="M32" s="664" t="e">
        <f t="shared" si="2"/>
        <v>#DIV/0!</v>
      </c>
      <c r="N32" s="663">
        <f>SUM(S32,X32)</f>
        <v>0</v>
      </c>
      <c r="O32" s="690"/>
      <c r="P32" s="671"/>
      <c r="Q32" s="671"/>
      <c r="R32" s="664" t="e">
        <f t="shared" si="3"/>
        <v>#DIV/0!</v>
      </c>
      <c r="S32" s="691"/>
      <c r="T32" s="690">
        <v>0</v>
      </c>
      <c r="U32" s="671">
        <v>0</v>
      </c>
      <c r="V32" s="671">
        <v>0</v>
      </c>
      <c r="W32" s="664" t="e">
        <f t="shared" si="4"/>
        <v>#DIV/0!</v>
      </c>
      <c r="X32" s="670">
        <v>0</v>
      </c>
    </row>
    <row r="33" spans="1:24" s="659" customFormat="1" ht="9.75">
      <c r="A33" s="708" t="s">
        <v>55</v>
      </c>
      <c r="B33" s="746" t="s">
        <v>56</v>
      </c>
      <c r="C33" s="746"/>
      <c r="D33" s="245" t="s">
        <v>25</v>
      </c>
      <c r="E33" s="677">
        <f>E6-E11</f>
        <v>0</v>
      </c>
      <c r="F33" s="661">
        <f t="shared" ref="F33:G33" si="11">F6-F11</f>
        <v>0</v>
      </c>
      <c r="G33" s="661">
        <f t="shared" si="11"/>
        <v>-62755.709999999031</v>
      </c>
      <c r="H33" s="195" t="e">
        <f t="shared" si="0"/>
        <v>#DIV/0!</v>
      </c>
      <c r="I33" s="678">
        <f t="shared" ref="I33:L33" si="12">I6-I11</f>
        <v>107777.86999999918</v>
      </c>
      <c r="J33" s="677">
        <f t="shared" si="12"/>
        <v>0</v>
      </c>
      <c r="K33" s="661">
        <f t="shared" si="12"/>
        <v>0</v>
      </c>
      <c r="L33" s="661">
        <f t="shared" si="12"/>
        <v>-62755.709999999031</v>
      </c>
      <c r="M33" s="658" t="e">
        <f t="shared" si="2"/>
        <v>#DIV/0!</v>
      </c>
      <c r="N33" s="678">
        <f t="shared" ref="N33:Q33" si="13">N6-N11</f>
        <v>107777.86999999918</v>
      </c>
      <c r="O33" s="677">
        <f t="shared" si="13"/>
        <v>0</v>
      </c>
      <c r="P33" s="661">
        <f t="shared" si="13"/>
        <v>0</v>
      </c>
      <c r="Q33" s="661">
        <f t="shared" si="13"/>
        <v>0</v>
      </c>
      <c r="R33" s="658" t="e">
        <f t="shared" si="3"/>
        <v>#DIV/0!</v>
      </c>
      <c r="S33" s="678">
        <f t="shared" ref="S33:V33" si="14">S6-S11</f>
        <v>0</v>
      </c>
      <c r="T33" s="677">
        <f t="shared" si="14"/>
        <v>2900</v>
      </c>
      <c r="U33" s="661">
        <f t="shared" si="14"/>
        <v>2900</v>
      </c>
      <c r="V33" s="661">
        <f t="shared" si="14"/>
        <v>72122.880000000005</v>
      </c>
      <c r="W33" s="658">
        <f t="shared" si="4"/>
        <v>2486.9958620689658</v>
      </c>
      <c r="X33" s="678">
        <f>X6-X11</f>
        <v>75208.94</v>
      </c>
    </row>
    <row r="34" spans="1:24" s="660" customFormat="1" ht="9.75">
      <c r="A34" s="713" t="s">
        <v>57</v>
      </c>
      <c r="B34" s="1157" t="s">
        <v>237</v>
      </c>
      <c r="C34" s="1157"/>
      <c r="D34" s="715" t="s">
        <v>25</v>
      </c>
      <c r="E34" s="172">
        <v>32469</v>
      </c>
      <c r="F34" s="173">
        <v>32469</v>
      </c>
      <c r="G34" s="173">
        <v>34355</v>
      </c>
      <c r="H34" s="669">
        <f t="shared" si="0"/>
        <v>105.80861745049124</v>
      </c>
      <c r="I34" s="173">
        <v>32259</v>
      </c>
      <c r="J34" s="991">
        <v>32469</v>
      </c>
      <c r="K34" s="992">
        <v>32469</v>
      </c>
      <c r="L34" s="162">
        <v>34355</v>
      </c>
      <c r="M34" s="664">
        <f t="shared" si="2"/>
        <v>105.80861745049124</v>
      </c>
      <c r="N34" s="992">
        <v>32259</v>
      </c>
      <c r="O34" s="239"/>
      <c r="P34" s="240"/>
      <c r="Q34" s="240"/>
      <c r="R34" s="664" t="e">
        <f t="shared" si="3"/>
        <v>#DIV/0!</v>
      </c>
      <c r="S34" s="243"/>
      <c r="T34" s="716"/>
      <c r="U34" s="717"/>
      <c r="V34" s="717"/>
      <c r="W34" s="664" t="e">
        <f t="shared" si="4"/>
        <v>#DIV/0!</v>
      </c>
      <c r="X34" s="718"/>
    </row>
    <row r="35" spans="1:24" s="660" customFormat="1" ht="9.75">
      <c r="A35" s="714" t="s">
        <v>58</v>
      </c>
      <c r="B35" s="1156" t="s">
        <v>238</v>
      </c>
      <c r="C35" s="1156"/>
      <c r="D35" s="719" t="s">
        <v>26</v>
      </c>
      <c r="E35" s="176">
        <v>9.1300000000000008</v>
      </c>
      <c r="F35" s="177">
        <v>9.1300000000000008</v>
      </c>
      <c r="G35" s="177">
        <v>9.1300000000000008</v>
      </c>
      <c r="H35" s="669">
        <f t="shared" si="0"/>
        <v>100</v>
      </c>
      <c r="I35" s="177">
        <v>9.1300000000000008</v>
      </c>
      <c r="J35" s="991">
        <v>9.1300000000000008</v>
      </c>
      <c r="K35" s="992">
        <v>9.1300000000000008</v>
      </c>
      <c r="L35" s="162">
        <v>9.1300000000000008</v>
      </c>
      <c r="M35" s="664">
        <f t="shared" si="2"/>
        <v>100</v>
      </c>
      <c r="N35" s="993">
        <v>9.1300000000000008</v>
      </c>
      <c r="O35" s="239"/>
      <c r="P35" s="240"/>
      <c r="Q35" s="240"/>
      <c r="R35" s="664" t="e">
        <f t="shared" si="3"/>
        <v>#DIV/0!</v>
      </c>
      <c r="S35" s="243"/>
      <c r="T35" s="716"/>
      <c r="U35" s="717"/>
      <c r="V35" s="717"/>
      <c r="W35" s="664" t="e">
        <f t="shared" si="4"/>
        <v>#DIV/0!</v>
      </c>
      <c r="X35" s="718"/>
    </row>
    <row r="36" spans="1:24" s="660" customFormat="1" ht="9.75">
      <c r="A36" s="714" t="s">
        <v>59</v>
      </c>
      <c r="B36" s="1156" t="s">
        <v>239</v>
      </c>
      <c r="C36" s="1156"/>
      <c r="D36" s="719" t="s">
        <v>26</v>
      </c>
      <c r="E36" s="172">
        <v>11</v>
      </c>
      <c r="F36" s="173">
        <v>11</v>
      </c>
      <c r="G36" s="173">
        <v>11</v>
      </c>
      <c r="H36" s="669">
        <f t="shared" si="0"/>
        <v>100</v>
      </c>
      <c r="I36" s="173">
        <v>11</v>
      </c>
      <c r="J36" s="991">
        <v>11</v>
      </c>
      <c r="K36" s="992">
        <v>11</v>
      </c>
      <c r="L36" s="162">
        <v>11</v>
      </c>
      <c r="M36" s="664">
        <f t="shared" si="2"/>
        <v>100</v>
      </c>
      <c r="N36" s="992">
        <v>11</v>
      </c>
      <c r="O36" s="239"/>
      <c r="P36" s="240"/>
      <c r="Q36" s="240"/>
      <c r="R36" s="664" t="e">
        <f t="shared" si="3"/>
        <v>#DIV/0!</v>
      </c>
      <c r="S36" s="243"/>
      <c r="T36" s="716"/>
      <c r="U36" s="717"/>
      <c r="V36" s="717"/>
      <c r="W36" s="664" t="e">
        <f t="shared" si="4"/>
        <v>#DIV/0!</v>
      </c>
      <c r="X36" s="718"/>
    </row>
    <row r="37" spans="1:24" s="660" customFormat="1" ht="10.5" thickBot="1">
      <c r="A37" s="720" t="s">
        <v>240</v>
      </c>
      <c r="B37" s="1174" t="s">
        <v>241</v>
      </c>
      <c r="C37" s="1174"/>
      <c r="D37" s="721" t="s">
        <v>242</v>
      </c>
      <c r="E37" s="174">
        <v>0</v>
      </c>
      <c r="F37" s="175">
        <v>0</v>
      </c>
      <c r="G37" s="175">
        <v>20</v>
      </c>
      <c r="H37" s="693" t="e">
        <f t="shared" si="0"/>
        <v>#DIV/0!</v>
      </c>
      <c r="I37" s="175">
        <v>17</v>
      </c>
      <c r="J37" s="994">
        <v>0</v>
      </c>
      <c r="K37" s="995">
        <v>0</v>
      </c>
      <c r="L37" s="168">
        <v>20</v>
      </c>
      <c r="M37" s="724" t="e">
        <f t="shared" si="2"/>
        <v>#DIV/0!</v>
      </c>
      <c r="N37" s="995">
        <v>17</v>
      </c>
      <c r="O37" s="241"/>
      <c r="P37" s="242"/>
      <c r="Q37" s="242"/>
      <c r="R37" s="724" t="e">
        <f t="shared" si="3"/>
        <v>#DIV/0!</v>
      </c>
      <c r="S37" s="244"/>
      <c r="T37" s="722"/>
      <c r="U37" s="723"/>
      <c r="V37" s="723"/>
      <c r="W37" s="724" t="e">
        <f t="shared" si="4"/>
        <v>#DIV/0!</v>
      </c>
      <c r="X37" s="725"/>
    </row>
  </sheetData>
  <mergeCells count="40">
    <mergeCell ref="B3:C5"/>
    <mergeCell ref="D3:D5"/>
    <mergeCell ref="P4:R4"/>
    <mergeCell ref="N4:N5"/>
    <mergeCell ref="O3:S3"/>
    <mergeCell ref="F4:H4"/>
    <mergeCell ref="S4:S5"/>
    <mergeCell ref="I4:I5"/>
    <mergeCell ref="J3:N3"/>
    <mergeCell ref="J4:J5"/>
    <mergeCell ref="E3:I3"/>
    <mergeCell ref="E4:E5"/>
    <mergeCell ref="B37:C37"/>
    <mergeCell ref="B13:C13"/>
    <mergeCell ref="B15:C15"/>
    <mergeCell ref="B16:C16"/>
    <mergeCell ref="B18:C18"/>
    <mergeCell ref="B19:C19"/>
    <mergeCell ref="B34:C34"/>
    <mergeCell ref="B35:C35"/>
    <mergeCell ref="B20:C20"/>
    <mergeCell ref="B21:C21"/>
    <mergeCell ref="B22:C22"/>
    <mergeCell ref="B26:C26"/>
    <mergeCell ref="A1:X1"/>
    <mergeCell ref="B29:C29"/>
    <mergeCell ref="B36:C36"/>
    <mergeCell ref="B8:C8"/>
    <mergeCell ref="B10:C10"/>
    <mergeCell ref="B11:C11"/>
    <mergeCell ref="B12:C12"/>
    <mergeCell ref="O4:O5"/>
    <mergeCell ref="K4:M4"/>
    <mergeCell ref="B6:C6"/>
    <mergeCell ref="B7:C7"/>
    <mergeCell ref="T4:T5"/>
    <mergeCell ref="U4:W4"/>
    <mergeCell ref="X4:X5"/>
    <mergeCell ref="T3:X3"/>
    <mergeCell ref="A3:A5"/>
  </mergeCells>
  <pageMargins left="0.23622047244094491" right="0.23622047244094491" top="0.74803149606299213" bottom="0.74803149606299213" header="0.31496062992125984" footer="0.31496062992125984"/>
  <pageSetup paperSize="9" scale="95" firstPageNumber="201" orientation="landscape" useFirstPageNumber="1"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4"/>
  <sheetViews>
    <sheetView zoomScaleNormal="100" workbookViewId="0">
      <selection activeCell="C16" sqref="C16"/>
    </sheetView>
  </sheetViews>
  <sheetFormatPr defaultColWidth="16" defaultRowHeight="12.75"/>
  <cols>
    <col min="1" max="1" width="58" style="14" customWidth="1"/>
    <col min="2" max="2" width="33.5" style="14" customWidth="1"/>
    <col min="3" max="5" width="25.75" style="14" customWidth="1"/>
    <col min="6" max="6" width="22.75" style="14" customWidth="1"/>
    <col min="7" max="7" width="19.75" style="14" bestFit="1" customWidth="1"/>
    <col min="8" max="16384" width="16" style="14"/>
  </cols>
  <sheetData>
    <row r="1" spans="1:9" s="277" customFormat="1" ht="18.75">
      <c r="A1" s="277" t="s">
        <v>73</v>
      </c>
      <c r="B1" s="277" t="s">
        <v>178</v>
      </c>
    </row>
    <row r="3" spans="1:9" s="281" customFormat="1" ht="10.5">
      <c r="A3" s="1189" t="s">
        <v>412</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16">
        <f>SUM(C7:C9)</f>
        <v>9367.1700000000055</v>
      </c>
      <c r="D6" s="1207"/>
      <c r="E6" s="1208"/>
      <c r="F6" s="1208"/>
      <c r="G6" s="1208"/>
      <c r="H6" s="1208"/>
      <c r="I6" s="1209"/>
    </row>
    <row r="7" spans="1:9" s="2" customFormat="1" ht="33.75" customHeight="1">
      <c r="A7" s="1199" t="s">
        <v>75</v>
      </c>
      <c r="B7" s="1200"/>
      <c r="C7" s="17">
        <v>-62755.71</v>
      </c>
      <c r="D7" s="1205" t="s">
        <v>1211</v>
      </c>
      <c r="E7" s="1205"/>
      <c r="F7" s="1205"/>
      <c r="G7" s="1205"/>
      <c r="H7" s="1205"/>
      <c r="I7" s="1206"/>
    </row>
    <row r="8" spans="1:9" s="281" customFormat="1" ht="27" customHeight="1">
      <c r="A8" s="1201" t="s">
        <v>76</v>
      </c>
      <c r="B8" s="1202"/>
      <c r="C8" s="18">
        <v>72122.880000000005</v>
      </c>
      <c r="D8" s="1205" t="s">
        <v>1212</v>
      </c>
      <c r="E8" s="1205"/>
      <c r="F8" s="1205"/>
      <c r="G8" s="1205"/>
      <c r="H8" s="1205"/>
      <c r="I8" s="1206"/>
    </row>
    <row r="9" spans="1:9" s="281" customFormat="1" ht="15" customHeight="1">
      <c r="A9" s="1203" t="s">
        <v>77</v>
      </c>
      <c r="B9" s="1204"/>
      <c r="C9" s="62">
        <v>0</v>
      </c>
      <c r="D9" s="1210"/>
      <c r="E9" s="1211"/>
      <c r="F9" s="1211"/>
      <c r="G9" s="1211"/>
      <c r="H9" s="1211"/>
      <c r="I9" s="1212"/>
    </row>
    <row r="10" spans="1:9" s="2" customFormat="1" ht="11.25">
      <c r="C10" s="19"/>
    </row>
    <row r="11" spans="1:9" s="2" customFormat="1" ht="11.25">
      <c r="A11" s="1189" t="s">
        <v>419</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280.31</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9086.86</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9367.17</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54" customHeight="1">
      <c r="A23" s="68" t="s">
        <v>83</v>
      </c>
      <c r="B23" s="32">
        <v>39830.28</v>
      </c>
      <c r="C23" s="32">
        <v>262986.81</v>
      </c>
      <c r="D23" s="32">
        <v>64471.26</v>
      </c>
      <c r="E23" s="32">
        <f>B23+C23-D23</f>
        <v>238345.82999999996</v>
      </c>
      <c r="F23" s="1194" t="s">
        <v>1213</v>
      </c>
      <c r="G23" s="1195"/>
      <c r="H23" s="1195"/>
      <c r="I23" s="1196"/>
    </row>
    <row r="24" spans="1:9" s="2" customFormat="1" ht="42.75" customHeight="1">
      <c r="A24" s="69" t="s">
        <v>84</v>
      </c>
      <c r="B24" s="33">
        <v>659193.87</v>
      </c>
      <c r="C24" s="33">
        <v>968995.7</v>
      </c>
      <c r="D24" s="33">
        <v>1012732.92</v>
      </c>
      <c r="E24" s="33">
        <f t="shared" ref="E24:E26" si="0">B24+C24-D24</f>
        <v>615456.64999999979</v>
      </c>
      <c r="F24" s="1183" t="s">
        <v>1214</v>
      </c>
      <c r="G24" s="1184"/>
      <c r="H24" s="1184"/>
      <c r="I24" s="1185"/>
    </row>
    <row r="25" spans="1:9" s="2" customFormat="1" ht="43.5" customHeight="1">
      <c r="A25" s="69" t="s">
        <v>82</v>
      </c>
      <c r="B25" s="33">
        <v>65149.07</v>
      </c>
      <c r="C25" s="33">
        <v>20000</v>
      </c>
      <c r="D25" s="33">
        <v>27600</v>
      </c>
      <c r="E25" s="33">
        <f t="shared" si="0"/>
        <v>57549.070000000007</v>
      </c>
      <c r="F25" s="1183" t="s">
        <v>1215</v>
      </c>
      <c r="G25" s="1184"/>
      <c r="H25" s="1184"/>
      <c r="I25" s="1185"/>
    </row>
    <row r="26" spans="1:9" s="2" customFormat="1" ht="31.5" customHeight="1">
      <c r="A26" s="70" t="s">
        <v>85</v>
      </c>
      <c r="B26" s="34">
        <v>38351.370000000003</v>
      </c>
      <c r="C26" s="34">
        <v>73923.19</v>
      </c>
      <c r="D26" s="34">
        <v>51722</v>
      </c>
      <c r="E26" s="33">
        <f t="shared" si="0"/>
        <v>60552.56</v>
      </c>
      <c r="F26" s="1186" t="s">
        <v>409</v>
      </c>
      <c r="G26" s="1187"/>
      <c r="H26" s="1187"/>
      <c r="I26" s="1188"/>
    </row>
    <row r="27" spans="1:9" s="281" customFormat="1" ht="10.5">
      <c r="A27" s="3" t="s">
        <v>34</v>
      </c>
      <c r="B27" s="16">
        <f>SUM(B23:B26)</f>
        <v>802524.59</v>
      </c>
      <c r="C27" s="16">
        <f t="shared" ref="C27:E27" si="1">SUM(C23:C26)</f>
        <v>1325905.7</v>
      </c>
      <c r="D27" s="16">
        <f t="shared" si="1"/>
        <v>1156526.18</v>
      </c>
      <c r="E27" s="16">
        <f t="shared" si="1"/>
        <v>971904.10999999987</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79" t="s">
        <v>231</v>
      </c>
      <c r="B32" s="32"/>
      <c r="C32" s="8"/>
      <c r="D32" s="1215"/>
      <c r="E32" s="1216"/>
      <c r="F32" s="1216"/>
      <c r="G32" s="1216"/>
      <c r="H32" s="1216"/>
      <c r="I32" s="1217"/>
    </row>
    <row r="33" spans="1:9" s="2" customFormat="1" ht="15" customHeight="1">
      <c r="A33" s="80"/>
      <c r="B33" s="34"/>
      <c r="C33" s="13"/>
      <c r="D33" s="1218"/>
      <c r="E33" s="1219"/>
      <c r="F33" s="1219"/>
      <c r="G33" s="1219"/>
      <c r="H33" s="1219"/>
      <c r="I33" s="1220"/>
    </row>
    <row r="34" spans="1:9" s="2" customFormat="1" ht="15" customHeight="1">
      <c r="A34" s="81"/>
      <c r="B34" s="82"/>
      <c r="C34" s="83"/>
      <c r="D34" s="1221"/>
      <c r="E34" s="1222"/>
      <c r="F34" s="1222"/>
      <c r="G34" s="1222"/>
      <c r="H34" s="1222"/>
      <c r="I34" s="1223"/>
    </row>
    <row r="35" spans="1:9" s="281" customFormat="1" ht="11.25">
      <c r="A35" s="84" t="s">
        <v>34</v>
      </c>
      <c r="B35" s="85">
        <f>SUM(B32:B34)</f>
        <v>0</v>
      </c>
      <c r="C35" s="1224"/>
      <c r="D35" s="1224"/>
      <c r="E35" s="1224"/>
      <c r="F35" s="1224"/>
      <c r="G35" s="1224"/>
      <c r="H35" s="1224"/>
      <c r="I35" s="1225"/>
    </row>
    <row r="36" spans="1:9" s="2" customFormat="1" ht="11.25">
      <c r="C36" s="19"/>
    </row>
    <row r="37" spans="1:9" s="2" customFormat="1" ht="11.25">
      <c r="A37" s="1189" t="s">
        <v>431</v>
      </c>
      <c r="B37" s="1189"/>
      <c r="C37" s="1189"/>
      <c r="D37" s="1189"/>
      <c r="E37" s="1189"/>
      <c r="F37" s="1189"/>
      <c r="G37" s="1189"/>
      <c r="H37" s="1189"/>
      <c r="I37" s="1189"/>
    </row>
    <row r="38" spans="1:9" s="2" customFormat="1" ht="11.25">
      <c r="C38" s="19"/>
    </row>
    <row r="39" spans="1:9" s="2" customFormat="1" ht="11.25">
      <c r="A39" s="271" t="s">
        <v>86</v>
      </c>
      <c r="B39" s="271" t="s">
        <v>25</v>
      </c>
      <c r="C39" s="270" t="s">
        <v>87</v>
      </c>
      <c r="D39" s="1193" t="s">
        <v>88</v>
      </c>
      <c r="E39" s="1193"/>
      <c r="F39" s="1193"/>
      <c r="G39" s="1193"/>
      <c r="H39" s="1193"/>
      <c r="I39" s="1193"/>
    </row>
    <row r="40" spans="1:9" s="2" customFormat="1" ht="15" customHeight="1">
      <c r="A40" s="79" t="s">
        <v>231</v>
      </c>
      <c r="B40" s="32"/>
      <c r="C40" s="8"/>
      <c r="D40" s="1226"/>
      <c r="E40" s="1227"/>
      <c r="F40" s="1227"/>
      <c r="G40" s="1227"/>
      <c r="H40" s="1227"/>
      <c r="I40" s="1228"/>
    </row>
    <row r="41" spans="1:9" s="2" customFormat="1" ht="15" customHeight="1">
      <c r="A41" s="86"/>
      <c r="B41" s="33"/>
      <c r="C41" s="9"/>
      <c r="D41" s="1183"/>
      <c r="E41" s="1229"/>
      <c r="F41" s="1229"/>
      <c r="G41" s="1229"/>
      <c r="H41" s="1229"/>
      <c r="I41" s="1230"/>
    </row>
    <row r="42" spans="1:9" s="2" customFormat="1" ht="15" customHeight="1">
      <c r="A42" s="86"/>
      <c r="B42" s="33"/>
      <c r="C42" s="9"/>
      <c r="D42" s="1183"/>
      <c r="E42" s="1229"/>
      <c r="F42" s="1229"/>
      <c r="G42" s="1229"/>
      <c r="H42" s="1229"/>
      <c r="I42" s="1230"/>
    </row>
    <row r="43" spans="1:9" s="281" customFormat="1" ht="10.5">
      <c r="A43" s="3" t="s">
        <v>34</v>
      </c>
      <c r="B43" s="16">
        <f>SUM(B40:B42)</f>
        <v>0</v>
      </c>
      <c r="C43" s="1236"/>
      <c r="D43" s="1237"/>
      <c r="E43" s="1237"/>
      <c r="F43" s="1237"/>
      <c r="G43" s="1237"/>
      <c r="H43" s="1237"/>
      <c r="I43" s="1237"/>
    </row>
    <row r="44" spans="1:9" s="2" customFormat="1" ht="11.25">
      <c r="C44" s="19"/>
    </row>
    <row r="45" spans="1:9" s="2" customFormat="1" ht="11.25">
      <c r="A45" s="1189" t="s">
        <v>432</v>
      </c>
      <c r="B45" s="1189"/>
      <c r="C45" s="1189"/>
      <c r="D45" s="1189"/>
      <c r="E45" s="1189"/>
      <c r="F45" s="1189"/>
      <c r="G45" s="1189"/>
      <c r="H45" s="1189"/>
      <c r="I45" s="1189"/>
    </row>
    <row r="46" spans="1:9" s="2" customFormat="1" ht="11.25">
      <c r="C46" s="19"/>
    </row>
    <row r="47" spans="1:9" s="2" customFormat="1" ht="11.25">
      <c r="A47" s="271" t="s">
        <v>25</v>
      </c>
      <c r="B47" s="270" t="s">
        <v>433</v>
      </c>
      <c r="C47" s="1238" t="s">
        <v>89</v>
      </c>
      <c r="D47" s="1238"/>
      <c r="E47" s="1238"/>
      <c r="F47" s="1238"/>
      <c r="G47" s="1238"/>
      <c r="H47" s="1238"/>
      <c r="I47" s="1238"/>
    </row>
    <row r="48" spans="1:9" s="2" customFormat="1" ht="11.25">
      <c r="A48" s="87">
        <v>100000</v>
      </c>
      <c r="B48" s="36">
        <v>0</v>
      </c>
      <c r="C48" s="1616" t="s">
        <v>1216</v>
      </c>
      <c r="D48" s="1239"/>
      <c r="E48" s="1239"/>
      <c r="F48" s="1239"/>
      <c r="G48" s="1239"/>
      <c r="H48" s="1239"/>
      <c r="I48" s="1240"/>
    </row>
    <row r="49" spans="1:10" s="2" customFormat="1" ht="10.15" customHeight="1">
      <c r="A49" s="71"/>
      <c r="B49" s="33"/>
      <c r="C49" s="1617"/>
      <c r="D49" s="1618"/>
      <c r="E49" s="1618"/>
      <c r="F49" s="1618"/>
      <c r="G49" s="1618"/>
      <c r="H49" s="1618"/>
      <c r="I49" s="1619"/>
    </row>
    <row r="50" spans="1:10" s="2" customFormat="1" ht="11.25">
      <c r="A50" s="88"/>
      <c r="B50" s="55"/>
      <c r="C50" s="1231"/>
      <c r="D50" s="1231"/>
      <c r="E50" s="1231"/>
      <c r="F50" s="1231"/>
      <c r="G50" s="1231"/>
      <c r="H50" s="1231"/>
      <c r="I50" s="1232"/>
    </row>
    <row r="51" spans="1:10" s="281" customFormat="1" ht="10.5">
      <c r="A51" s="16">
        <f>A48+A49+A50</f>
        <v>100000</v>
      </c>
      <c r="B51" s="16">
        <f>B48+B49+B50</f>
        <v>0</v>
      </c>
      <c r="C51" s="1233" t="s">
        <v>34</v>
      </c>
      <c r="D51" s="1233"/>
      <c r="E51" s="1233"/>
      <c r="F51" s="1233"/>
      <c r="G51" s="1233"/>
      <c r="H51" s="1233"/>
      <c r="I51" s="1233"/>
    </row>
    <row r="52" spans="1:10" s="2" customFormat="1" ht="11.25">
      <c r="C52" s="19"/>
    </row>
    <row r="53" spans="1:10" s="2" customFormat="1" ht="11.25">
      <c r="A53" s="1189" t="s">
        <v>434</v>
      </c>
      <c r="B53" s="1189"/>
      <c r="C53" s="1189"/>
      <c r="D53" s="1189"/>
      <c r="E53" s="1189"/>
      <c r="F53" s="1189"/>
      <c r="G53" s="1189"/>
      <c r="H53" s="1189"/>
      <c r="I53" s="1189"/>
    </row>
    <row r="54" spans="1:10" s="2" customFormat="1" ht="11.25">
      <c r="C54" s="19"/>
    </row>
    <row r="55" spans="1:10" s="10" customFormat="1" ht="32.25" thickBot="1">
      <c r="A55" s="1377" t="s">
        <v>259</v>
      </c>
      <c r="B55" s="1378"/>
      <c r="C55" s="179" t="s">
        <v>179</v>
      </c>
      <c r="D55" s="179" t="s">
        <v>118</v>
      </c>
      <c r="E55" s="179" t="s">
        <v>119</v>
      </c>
      <c r="F55" s="179" t="s">
        <v>244</v>
      </c>
      <c r="G55" s="179" t="s">
        <v>180</v>
      </c>
    </row>
    <row r="56" spans="1:10" s="2" customFormat="1" ht="13.5" customHeight="1">
      <c r="A56" s="1664" t="s">
        <v>1217</v>
      </c>
      <c r="B56" s="1665"/>
      <c r="C56" s="996">
        <v>5580880</v>
      </c>
      <c r="D56" s="996"/>
      <c r="E56" s="997">
        <v>12070</v>
      </c>
      <c r="F56" s="1668">
        <v>44227</v>
      </c>
      <c r="G56" s="1670">
        <v>44227</v>
      </c>
    </row>
    <row r="57" spans="1:10" s="2" customFormat="1" ht="12.75" customHeight="1">
      <c r="A57" s="1666"/>
      <c r="B57" s="1667"/>
      <c r="C57" s="998">
        <v>6480880</v>
      </c>
      <c r="D57" s="999">
        <v>12070</v>
      </c>
      <c r="E57" s="1000"/>
      <c r="F57" s="1669"/>
      <c r="G57" s="1671"/>
      <c r="H57" s="2" t="s">
        <v>232</v>
      </c>
    </row>
    <row r="58" spans="1:10" s="2" customFormat="1" ht="10.15" customHeight="1">
      <c r="A58" s="1620" t="s">
        <v>1218</v>
      </c>
      <c r="B58" s="1621"/>
      <c r="C58" s="1001">
        <v>5510880</v>
      </c>
      <c r="D58" s="1002"/>
      <c r="E58" s="1003">
        <v>132400</v>
      </c>
      <c r="F58" s="1624" t="s">
        <v>1219</v>
      </c>
      <c r="G58" s="1626">
        <v>44278</v>
      </c>
    </row>
    <row r="59" spans="1:10" s="2" customFormat="1" ht="12.75" customHeight="1" thickBot="1">
      <c r="A59" s="1622"/>
      <c r="B59" s="1623"/>
      <c r="C59" s="1004">
        <v>6720880</v>
      </c>
      <c r="D59" s="1005">
        <v>132400</v>
      </c>
      <c r="E59" s="1006"/>
      <c r="F59" s="1625"/>
      <c r="G59" s="1627"/>
      <c r="H59" s="2" t="s">
        <v>232</v>
      </c>
    </row>
    <row r="60" spans="1:10" s="2" customFormat="1" ht="12.75" customHeight="1">
      <c r="A60" s="1628" t="s">
        <v>1220</v>
      </c>
      <c r="B60" s="1307"/>
      <c r="C60" s="1007">
        <v>5110880</v>
      </c>
      <c r="D60" s="1008"/>
      <c r="E60" s="1009">
        <v>5745</v>
      </c>
      <c r="F60" s="1630">
        <v>44316</v>
      </c>
      <c r="G60" s="1630">
        <v>44316</v>
      </c>
    </row>
    <row r="61" spans="1:10" s="2" customFormat="1" ht="10.15" customHeight="1" thickBot="1">
      <c r="A61" s="1622"/>
      <c r="B61" s="1629"/>
      <c r="C61" s="1004">
        <v>6480880</v>
      </c>
      <c r="D61" s="1005">
        <v>5745</v>
      </c>
      <c r="E61" s="1006"/>
      <c r="F61" s="1631"/>
      <c r="G61" s="1631"/>
      <c r="H61" s="2" t="s">
        <v>232</v>
      </c>
    </row>
    <row r="62" spans="1:10" s="2" customFormat="1" ht="10.15" customHeight="1">
      <c r="A62" s="1634" t="s">
        <v>1221</v>
      </c>
      <c r="B62" s="1635"/>
      <c r="C62" s="1010">
        <v>5210880</v>
      </c>
      <c r="D62" s="1011"/>
      <c r="E62" s="1012">
        <v>15000</v>
      </c>
      <c r="F62" s="1652">
        <v>44316</v>
      </c>
      <c r="G62" s="1652">
        <v>44316</v>
      </c>
    </row>
    <row r="63" spans="1:10" s="2" customFormat="1" ht="10.15" customHeight="1" thickBot="1">
      <c r="A63" s="1622"/>
      <c r="B63" s="1636"/>
      <c r="C63" s="1004">
        <v>6480880</v>
      </c>
      <c r="D63" s="1005">
        <v>15000</v>
      </c>
      <c r="E63" s="1006"/>
      <c r="F63" s="1631"/>
      <c r="G63" s="1631"/>
      <c r="H63" s="2" t="s">
        <v>232</v>
      </c>
    </row>
    <row r="64" spans="1:10" s="2" customFormat="1" ht="10.15" customHeight="1">
      <c r="A64" s="1634" t="s">
        <v>1222</v>
      </c>
      <c r="B64" s="1635"/>
      <c r="C64" s="1010">
        <v>5270880</v>
      </c>
      <c r="D64" s="1011"/>
      <c r="E64" s="1012">
        <v>18000</v>
      </c>
      <c r="F64" s="1652">
        <v>44377</v>
      </c>
      <c r="G64" s="1652">
        <v>44377</v>
      </c>
      <c r="I64" s="1013"/>
      <c r="J64" s="1013"/>
    </row>
    <row r="65" spans="1:10" s="2" customFormat="1" ht="10.15" customHeight="1">
      <c r="A65" s="1662"/>
      <c r="B65" s="1663"/>
      <c r="C65" s="1001">
        <v>5210880</v>
      </c>
      <c r="D65" s="1002"/>
      <c r="E65" s="1003">
        <v>-18000</v>
      </c>
      <c r="F65" s="1675"/>
      <c r="G65" s="1675"/>
      <c r="I65" s="1013"/>
      <c r="J65" s="1013"/>
    </row>
    <row r="66" spans="1:10" s="2" customFormat="1" ht="10.15" customHeight="1">
      <c r="A66" s="1662"/>
      <c r="B66" s="1663"/>
      <c r="C66" s="1001">
        <v>5110880</v>
      </c>
      <c r="D66" s="1002"/>
      <c r="E66" s="1014">
        <v>12000</v>
      </c>
      <c r="F66" s="1675"/>
      <c r="G66" s="1675"/>
      <c r="I66" s="1013"/>
      <c r="J66" s="1013"/>
    </row>
    <row r="67" spans="1:10" s="2" customFormat="1" ht="10.15" customHeight="1" thickBot="1">
      <c r="A67" s="1622"/>
      <c r="B67" s="1636"/>
      <c r="C67" s="1004">
        <v>5180880</v>
      </c>
      <c r="D67" s="1005"/>
      <c r="E67" s="1015">
        <v>-12000</v>
      </c>
      <c r="F67" s="1631"/>
      <c r="G67" s="1631"/>
      <c r="H67" s="2" t="s">
        <v>232</v>
      </c>
      <c r="I67" s="1013"/>
      <c r="J67" s="1013"/>
    </row>
    <row r="68" spans="1:10" s="2" customFormat="1" ht="10.15" customHeight="1">
      <c r="A68" s="1634" t="s">
        <v>1223</v>
      </c>
      <c r="B68" s="1635"/>
      <c r="C68" s="1010">
        <v>5210880</v>
      </c>
      <c r="D68" s="1011"/>
      <c r="E68" s="1016">
        <v>5000</v>
      </c>
      <c r="F68" s="1652">
        <v>44408</v>
      </c>
      <c r="G68" s="1652">
        <v>44408</v>
      </c>
    </row>
    <row r="69" spans="1:10" s="2" customFormat="1" ht="10.15" customHeight="1" thickBot="1">
      <c r="A69" s="1622"/>
      <c r="B69" s="1636"/>
      <c r="C69" s="1004">
        <v>6480880</v>
      </c>
      <c r="D69" s="1005">
        <v>5000</v>
      </c>
      <c r="E69" s="1015"/>
      <c r="F69" s="1631"/>
      <c r="G69" s="1672"/>
      <c r="H69" s="2" t="s">
        <v>232</v>
      </c>
    </row>
    <row r="70" spans="1:10" s="2" customFormat="1" ht="10.15" customHeight="1">
      <c r="A70" s="1628" t="s">
        <v>1224</v>
      </c>
      <c r="B70" s="1663"/>
      <c r="C70" s="1010">
        <v>5210880</v>
      </c>
      <c r="D70" s="1011"/>
      <c r="E70" s="1016">
        <v>7600</v>
      </c>
      <c r="F70" s="1673" t="s">
        <v>1225</v>
      </c>
      <c r="G70" s="1674">
        <v>44439</v>
      </c>
    </row>
    <row r="71" spans="1:10" s="2" customFormat="1" ht="12.75" customHeight="1" thickBot="1">
      <c r="A71" s="1622"/>
      <c r="B71" s="1636"/>
      <c r="C71" s="1004">
        <v>6480880</v>
      </c>
      <c r="D71" s="1005">
        <v>7600</v>
      </c>
      <c r="E71" s="1015"/>
      <c r="F71" s="1625"/>
      <c r="G71" s="1631"/>
      <c r="H71" s="2" t="s">
        <v>232</v>
      </c>
    </row>
    <row r="72" spans="1:10" s="2" customFormat="1" ht="10.15" customHeight="1">
      <c r="A72" s="1634" t="s">
        <v>1218</v>
      </c>
      <c r="B72" s="1635"/>
      <c r="C72" s="1010">
        <v>5510880</v>
      </c>
      <c r="D72" s="1011"/>
      <c r="E72" s="1016">
        <v>18380</v>
      </c>
      <c r="F72" s="1661" t="s">
        <v>1226</v>
      </c>
      <c r="G72" s="1652">
        <v>44439</v>
      </c>
    </row>
    <row r="73" spans="1:10" s="2" customFormat="1" ht="12" customHeight="1" thickBot="1">
      <c r="A73" s="1622"/>
      <c r="B73" s="1636"/>
      <c r="C73" s="1004">
        <v>6720880</v>
      </c>
      <c r="D73" s="1005">
        <v>18380</v>
      </c>
      <c r="E73" s="1015"/>
      <c r="F73" s="1631"/>
      <c r="G73" s="1631"/>
      <c r="H73" s="2" t="s">
        <v>232</v>
      </c>
    </row>
    <row r="74" spans="1:10" s="2" customFormat="1" ht="10.15" customHeight="1">
      <c r="A74" s="1634" t="s">
        <v>1227</v>
      </c>
      <c r="B74" s="1635"/>
      <c r="C74" s="1010">
        <v>5110880</v>
      </c>
      <c r="D74" s="1011"/>
      <c r="E74" s="1016">
        <v>3993</v>
      </c>
      <c r="F74" s="1652">
        <v>44500</v>
      </c>
      <c r="G74" s="1652">
        <v>44500</v>
      </c>
    </row>
    <row r="75" spans="1:10" s="2" customFormat="1" ht="10.15" customHeight="1" thickBot="1">
      <c r="A75" s="1622"/>
      <c r="B75" s="1636"/>
      <c r="C75" s="1004">
        <v>6480880</v>
      </c>
      <c r="D75" s="1005">
        <v>3993</v>
      </c>
      <c r="E75" s="1015"/>
      <c r="F75" s="1631"/>
      <c r="G75" s="1677"/>
      <c r="H75" s="2" t="s">
        <v>232</v>
      </c>
    </row>
    <row r="76" spans="1:10" s="2" customFormat="1" ht="10.15" customHeight="1">
      <c r="A76" s="1634" t="s">
        <v>1228</v>
      </c>
      <c r="B76" s="1635"/>
      <c r="C76" s="1010">
        <v>5110880</v>
      </c>
      <c r="D76" s="1011"/>
      <c r="E76" s="1016">
        <v>15792.92</v>
      </c>
      <c r="F76" s="1652">
        <v>44530</v>
      </c>
      <c r="G76" s="1652">
        <v>44530</v>
      </c>
    </row>
    <row r="77" spans="1:10" s="2" customFormat="1" ht="11.25" customHeight="1" thickBot="1">
      <c r="A77" s="1622"/>
      <c r="B77" s="1636"/>
      <c r="C77" s="1004">
        <v>6480880</v>
      </c>
      <c r="D77" s="1005">
        <v>15792.92</v>
      </c>
      <c r="E77" s="1015"/>
      <c r="F77" s="1631"/>
      <c r="G77" s="1631"/>
      <c r="H77" s="2" t="s">
        <v>232</v>
      </c>
    </row>
    <row r="78" spans="1:10" s="2" customFormat="1" ht="10.15" customHeight="1">
      <c r="A78" s="1634" t="s">
        <v>1229</v>
      </c>
      <c r="B78" s="1635"/>
      <c r="C78" s="1010">
        <v>5580880</v>
      </c>
      <c r="D78" s="1011"/>
      <c r="E78" s="1016">
        <v>20847.5</v>
      </c>
      <c r="F78" s="1652">
        <v>44561</v>
      </c>
      <c r="G78" s="1652">
        <v>44561</v>
      </c>
    </row>
    <row r="79" spans="1:10" s="2" customFormat="1" ht="11.25" customHeight="1" thickBot="1">
      <c r="A79" s="1622"/>
      <c r="B79" s="1636"/>
      <c r="C79" s="1004">
        <v>6480880</v>
      </c>
      <c r="D79" s="1005">
        <v>20847.5</v>
      </c>
      <c r="E79" s="1015"/>
      <c r="F79" s="1631"/>
      <c r="G79" s="1631"/>
      <c r="H79" s="2" t="s">
        <v>232</v>
      </c>
    </row>
    <row r="80" spans="1:10" s="2" customFormat="1" ht="10.15" customHeight="1">
      <c r="A80" s="1634" t="s">
        <v>1230</v>
      </c>
      <c r="B80" s="1635"/>
      <c r="C80" s="1010">
        <v>5580880</v>
      </c>
      <c r="D80" s="1011"/>
      <c r="E80" s="1016">
        <v>3130</v>
      </c>
      <c r="F80" s="1652">
        <v>44561</v>
      </c>
      <c r="G80" s="1652">
        <v>44561</v>
      </c>
    </row>
    <row r="81" spans="1:8" s="2" customFormat="1" ht="10.15" customHeight="1" thickBot="1">
      <c r="A81" s="1622"/>
      <c r="B81" s="1636"/>
      <c r="C81" s="1004">
        <v>6480880</v>
      </c>
      <c r="D81" s="1005">
        <v>3130</v>
      </c>
      <c r="E81" s="1015"/>
      <c r="F81" s="1631"/>
      <c r="G81" s="1631"/>
      <c r="H81" s="2" t="s">
        <v>232</v>
      </c>
    </row>
    <row r="82" spans="1:8" s="2" customFormat="1" ht="10.15" customHeight="1">
      <c r="A82" s="1634" t="s">
        <v>1231</v>
      </c>
      <c r="B82" s="1635"/>
      <c r="C82" s="1010">
        <v>5180880</v>
      </c>
      <c r="D82" s="1011"/>
      <c r="E82" s="1016">
        <v>11785.3</v>
      </c>
      <c r="F82" s="1652">
        <v>44561</v>
      </c>
      <c r="G82" s="1652">
        <v>44561</v>
      </c>
    </row>
    <row r="83" spans="1:8" s="2" customFormat="1" ht="10.15" customHeight="1">
      <c r="A83" s="1662"/>
      <c r="B83" s="1663"/>
      <c r="C83" s="1001">
        <v>5010880</v>
      </c>
      <c r="D83" s="1002"/>
      <c r="E83" s="1014">
        <v>16638.46</v>
      </c>
      <c r="F83" s="1676"/>
      <c r="G83" s="1676"/>
    </row>
    <row r="84" spans="1:8" s="2" customFormat="1" ht="10.15" customHeight="1" thickBot="1">
      <c r="A84" s="1622"/>
      <c r="B84" s="1636"/>
      <c r="C84" s="1004">
        <v>6480880</v>
      </c>
      <c r="D84" s="1005">
        <v>28423.759999999998</v>
      </c>
      <c r="E84" s="1015"/>
      <c r="F84" s="1677"/>
      <c r="G84" s="1677"/>
      <c r="H84" s="2" t="s">
        <v>232</v>
      </c>
    </row>
    <row r="85" spans="1:8" s="2" customFormat="1" ht="10.15" customHeight="1">
      <c r="A85" s="1634" t="s">
        <v>1232</v>
      </c>
      <c r="B85" s="1635"/>
      <c r="C85" s="1010">
        <v>5020880</v>
      </c>
      <c r="D85" s="1011"/>
      <c r="E85" s="1016">
        <v>140000</v>
      </c>
      <c r="F85" s="1661" t="s">
        <v>1233</v>
      </c>
      <c r="G85" s="1652">
        <v>44561</v>
      </c>
    </row>
    <row r="86" spans="1:8" s="2" customFormat="1" ht="12.75" customHeight="1" thickBot="1">
      <c r="A86" s="1679"/>
      <c r="B86" s="1680"/>
      <c r="C86" s="1001">
        <v>6720880</v>
      </c>
      <c r="D86" s="1002">
        <v>140000</v>
      </c>
      <c r="E86" s="1014"/>
      <c r="F86" s="1672"/>
      <c r="G86" s="1672"/>
      <c r="H86" s="2" t="s">
        <v>232</v>
      </c>
    </row>
    <row r="87" spans="1:8" s="2" customFormat="1" ht="10.15" customHeight="1">
      <c r="A87" s="1620" t="s">
        <v>1234</v>
      </c>
      <c r="B87" s="1681"/>
      <c r="C87" s="1010">
        <v>5020880</v>
      </c>
      <c r="D87" s="1011"/>
      <c r="E87" s="1016">
        <v>-104300</v>
      </c>
      <c r="F87" s="1674">
        <v>44561</v>
      </c>
      <c r="G87" s="1674">
        <v>44561</v>
      </c>
    </row>
    <row r="88" spans="1:8" s="2" customFormat="1" ht="11.25" customHeight="1" thickBot="1">
      <c r="A88" s="1622"/>
      <c r="B88" s="1636"/>
      <c r="C88" s="1004">
        <v>6020880</v>
      </c>
      <c r="D88" s="1005">
        <v>-104300</v>
      </c>
      <c r="E88" s="1015"/>
      <c r="F88" s="1631"/>
      <c r="G88" s="1631"/>
      <c r="H88" s="2" t="s">
        <v>232</v>
      </c>
    </row>
    <row r="89" spans="1:8" s="2" customFormat="1" ht="12" customHeight="1">
      <c r="A89" s="1637" t="s">
        <v>1235</v>
      </c>
      <c r="B89" s="1638"/>
      <c r="C89" s="1017">
        <v>5210880</v>
      </c>
      <c r="D89" s="1018"/>
      <c r="E89" s="1019">
        <v>23925</v>
      </c>
      <c r="F89" s="1643">
        <v>44561</v>
      </c>
      <c r="G89" s="1643">
        <v>44561</v>
      </c>
    </row>
    <row r="90" spans="1:8" s="2" customFormat="1" ht="12" customHeight="1">
      <c r="A90" s="1639"/>
      <c r="B90" s="1640"/>
      <c r="C90" s="1020">
        <v>5240880</v>
      </c>
      <c r="D90" s="1021"/>
      <c r="E90" s="1022">
        <v>-30440</v>
      </c>
      <c r="F90" s="1644"/>
      <c r="G90" s="1644"/>
    </row>
    <row r="91" spans="1:8" s="2" customFormat="1" ht="12" customHeight="1">
      <c r="A91" s="1639"/>
      <c r="B91" s="1640"/>
      <c r="C91" s="1020">
        <v>5250880</v>
      </c>
      <c r="D91" s="1021"/>
      <c r="E91" s="1022">
        <v>-1690</v>
      </c>
      <c r="F91" s="1644"/>
      <c r="G91" s="1644"/>
    </row>
    <row r="92" spans="1:8" s="2" customFormat="1" ht="12" customHeight="1">
      <c r="A92" s="1639"/>
      <c r="B92" s="1640"/>
      <c r="C92" s="1020">
        <v>5270880</v>
      </c>
      <c r="D92" s="1021"/>
      <c r="E92" s="1022">
        <v>8205</v>
      </c>
      <c r="F92" s="1644"/>
      <c r="G92" s="1644"/>
    </row>
    <row r="93" spans="1:8" s="2" customFormat="1" ht="10.15" customHeight="1">
      <c r="A93" s="1639"/>
      <c r="B93" s="1640"/>
      <c r="C93" s="1020">
        <v>5040880</v>
      </c>
      <c r="D93" s="1021"/>
      <c r="E93" s="1022">
        <v>8670</v>
      </c>
      <c r="F93" s="1644"/>
      <c r="G93" s="1644"/>
    </row>
    <row r="94" spans="1:8" s="2" customFormat="1" ht="10.15" customHeight="1">
      <c r="A94" s="1639"/>
      <c r="B94" s="1640"/>
      <c r="C94" s="1020">
        <v>5110800</v>
      </c>
      <c r="D94" s="1021"/>
      <c r="E94" s="1022">
        <v>7000</v>
      </c>
      <c r="F94" s="1644"/>
      <c r="G94" s="1644"/>
    </row>
    <row r="95" spans="1:8" s="2" customFormat="1" ht="10.15" customHeight="1">
      <c r="A95" s="1639"/>
      <c r="B95" s="1640"/>
      <c r="C95" s="1020">
        <v>5120880</v>
      </c>
      <c r="D95" s="1021"/>
      <c r="E95" s="1022">
        <v>-8600</v>
      </c>
      <c r="F95" s="1644"/>
      <c r="G95" s="1644"/>
    </row>
    <row r="96" spans="1:8" s="2" customFormat="1" ht="10.15" customHeight="1">
      <c r="A96" s="1639"/>
      <c r="B96" s="1640"/>
      <c r="C96" s="1020">
        <v>5130880</v>
      </c>
      <c r="D96" s="1021"/>
      <c r="E96" s="1022">
        <v>-4200</v>
      </c>
      <c r="F96" s="1644"/>
      <c r="G96" s="1644"/>
    </row>
    <row r="97" spans="1:10" s="2" customFormat="1" ht="10.15" customHeight="1">
      <c r="A97" s="1639"/>
      <c r="B97" s="1640"/>
      <c r="C97" s="1020">
        <v>5380880</v>
      </c>
      <c r="D97" s="1021"/>
      <c r="E97" s="1022">
        <v>-2000</v>
      </c>
      <c r="F97" s="1644"/>
      <c r="G97" s="1644"/>
    </row>
    <row r="98" spans="1:10" s="2" customFormat="1" ht="10.15" customHeight="1">
      <c r="A98" s="1639"/>
      <c r="B98" s="1640"/>
      <c r="C98" s="1020">
        <v>5490880</v>
      </c>
      <c r="D98" s="1021"/>
      <c r="E98" s="1022">
        <v>-870</v>
      </c>
      <c r="F98" s="1644"/>
      <c r="G98" s="1644"/>
    </row>
    <row r="99" spans="1:10" s="2" customFormat="1" ht="10.15" customHeight="1">
      <c r="A99" s="1639"/>
      <c r="B99" s="1640"/>
      <c r="C99" s="1020">
        <v>6040880</v>
      </c>
      <c r="D99" s="1021">
        <v>16210</v>
      </c>
      <c r="E99" s="1022"/>
      <c r="F99" s="1644"/>
      <c r="G99" s="1644"/>
    </row>
    <row r="100" spans="1:10" s="2" customFormat="1" ht="10.15" customHeight="1">
      <c r="A100" s="1639"/>
      <c r="B100" s="1640"/>
      <c r="C100" s="1020">
        <v>6490880</v>
      </c>
      <c r="D100" s="1021">
        <v>39768</v>
      </c>
      <c r="E100" s="1022"/>
      <c r="F100" s="1644"/>
      <c r="G100" s="1644"/>
    </row>
    <row r="101" spans="1:10" s="2" customFormat="1" ht="10.15" customHeight="1">
      <c r="A101" s="1639"/>
      <c r="B101" s="1640"/>
      <c r="C101" s="1020">
        <v>6620880</v>
      </c>
      <c r="D101" s="1021">
        <v>500</v>
      </c>
      <c r="E101" s="1022"/>
      <c r="F101" s="1644"/>
      <c r="G101" s="1644"/>
    </row>
    <row r="102" spans="1:10" s="2" customFormat="1" ht="10.15" customHeight="1">
      <c r="A102" s="1639"/>
      <c r="B102" s="1640"/>
      <c r="C102" s="1020">
        <v>6720880</v>
      </c>
      <c r="D102" s="1021">
        <v>1700</v>
      </c>
      <c r="E102" s="1022"/>
      <c r="F102" s="1644"/>
      <c r="G102" s="1644"/>
    </row>
    <row r="103" spans="1:10" s="2" customFormat="1" ht="10.15" customHeight="1" thickBot="1">
      <c r="A103" s="1641"/>
      <c r="B103" s="1642"/>
      <c r="C103" s="1023">
        <v>6020880</v>
      </c>
      <c r="D103" s="1024">
        <v>-58178</v>
      </c>
      <c r="E103" s="1025"/>
      <c r="F103" s="1645"/>
      <c r="G103" s="1645"/>
      <c r="H103" s="2" t="s">
        <v>232</v>
      </c>
    </row>
    <row r="104" spans="1:10" s="2" customFormat="1" ht="10.15" customHeight="1">
      <c r="A104" s="1646" t="s">
        <v>1236</v>
      </c>
      <c r="B104" s="1647"/>
      <c r="C104" s="1026">
        <v>5490280</v>
      </c>
      <c r="D104" s="1027"/>
      <c r="E104" s="1028">
        <v>505</v>
      </c>
      <c r="F104" s="1652">
        <v>44377</v>
      </c>
      <c r="G104" s="1652">
        <v>44377</v>
      </c>
    </row>
    <row r="105" spans="1:10" s="2" customFormat="1" ht="10.15" customHeight="1">
      <c r="A105" s="1648"/>
      <c r="B105" s="1649"/>
      <c r="C105" s="1029" t="s">
        <v>1237</v>
      </c>
      <c r="D105" s="279"/>
      <c r="E105" s="1030">
        <v>5703</v>
      </c>
      <c r="F105" s="1653"/>
      <c r="G105" s="1653"/>
    </row>
    <row r="106" spans="1:10" s="2" customFormat="1" ht="10.15" customHeight="1" thickBot="1">
      <c r="A106" s="1650"/>
      <c r="B106" s="1651"/>
      <c r="C106" s="1031" t="s">
        <v>1238</v>
      </c>
      <c r="D106" s="1032"/>
      <c r="E106" s="1033">
        <v>-6208</v>
      </c>
      <c r="F106" s="1654"/>
      <c r="G106" s="1654"/>
      <c r="H106" s="2" t="s">
        <v>37</v>
      </c>
    </row>
    <row r="107" spans="1:10" s="2" customFormat="1" ht="10.15" customHeight="1">
      <c r="A107" s="1646" t="s">
        <v>1239</v>
      </c>
      <c r="B107" s="1647"/>
      <c r="C107" s="1034" t="s">
        <v>1240</v>
      </c>
      <c r="D107" s="1027"/>
      <c r="E107" s="1035">
        <v>720</v>
      </c>
      <c r="F107" s="1655">
        <v>44561</v>
      </c>
      <c r="G107" s="1652">
        <v>44561</v>
      </c>
    </row>
    <row r="108" spans="1:10" s="2" customFormat="1" ht="10.15" customHeight="1">
      <c r="A108" s="1648"/>
      <c r="B108" s="1649"/>
      <c r="C108" s="1036" t="s">
        <v>1241</v>
      </c>
      <c r="D108" s="1037"/>
      <c r="E108" s="1030">
        <v>1000</v>
      </c>
      <c r="F108" s="1656"/>
      <c r="G108" s="1653"/>
    </row>
    <row r="109" spans="1:10" s="2" customFormat="1" ht="10.15" customHeight="1">
      <c r="A109" s="1648"/>
      <c r="B109" s="1649"/>
      <c r="C109" s="1036" t="s">
        <v>1237</v>
      </c>
      <c r="D109" s="1037"/>
      <c r="E109" s="1030">
        <v>11220</v>
      </c>
      <c r="F109" s="1656"/>
      <c r="G109" s="1653"/>
    </row>
    <row r="110" spans="1:10" s="2" customFormat="1" ht="10.15" customHeight="1">
      <c r="A110" s="1648"/>
      <c r="B110" s="1649"/>
      <c r="C110" s="1036" t="s">
        <v>1242</v>
      </c>
      <c r="D110" s="1037"/>
      <c r="E110" s="1030">
        <v>-12940</v>
      </c>
      <c r="F110" s="1656"/>
      <c r="G110" s="1653"/>
    </row>
    <row r="111" spans="1:10" s="2" customFormat="1" ht="10.15" customHeight="1">
      <c r="A111" s="1648"/>
      <c r="B111" s="1649"/>
      <c r="C111" s="1038" t="s">
        <v>398</v>
      </c>
      <c r="D111" s="1039">
        <v>-2420</v>
      </c>
      <c r="E111" s="1040"/>
      <c r="F111" s="1656"/>
      <c r="G111" s="1653"/>
      <c r="I111" s="1013"/>
      <c r="J111" s="1013"/>
    </row>
    <row r="112" spans="1:10" s="2" customFormat="1" ht="10.15" customHeight="1" thickBot="1">
      <c r="A112" s="1650"/>
      <c r="B112" s="1651"/>
      <c r="C112" s="1041" t="s">
        <v>1243</v>
      </c>
      <c r="D112" s="1032">
        <v>2420</v>
      </c>
      <c r="E112" s="1033"/>
      <c r="F112" s="1657"/>
      <c r="G112" s="1654"/>
      <c r="H112" s="2" t="s">
        <v>37</v>
      </c>
    </row>
    <row r="113" spans="1:9" s="2" customFormat="1" ht="10.15" customHeight="1">
      <c r="A113" s="1372" t="s">
        <v>458</v>
      </c>
      <c r="B113" s="1660"/>
      <c r="C113" s="444"/>
      <c r="D113" s="445">
        <f>SUM(D56:D112)</f>
        <v>304082.18</v>
      </c>
      <c r="E113" s="445">
        <f>SUM(E56:E112)</f>
        <v>304082.18</v>
      </c>
      <c r="F113" s="1375"/>
      <c r="G113" s="1376"/>
    </row>
    <row r="114" spans="1:9" s="2" customFormat="1" ht="11.25">
      <c r="A114" s="1658" t="s">
        <v>399</v>
      </c>
      <c r="B114" s="1659"/>
      <c r="C114" s="1659"/>
      <c r="D114" s="37"/>
      <c r="E114" s="38"/>
    </row>
    <row r="115" spans="1:9" s="2" customFormat="1" ht="11.25">
      <c r="A115" s="1307" t="s">
        <v>233</v>
      </c>
      <c r="B115" s="1678"/>
      <c r="C115" s="1678"/>
      <c r="D115" s="1678"/>
      <c r="E115" s="38"/>
    </row>
    <row r="116" spans="1:9" s="2" customFormat="1" ht="10.5" customHeight="1">
      <c r="A116" s="76"/>
      <c r="B116" s="1042"/>
      <c r="C116" s="1042"/>
      <c r="D116" s="1042"/>
      <c r="E116" s="38"/>
    </row>
    <row r="117" spans="1:9" s="2" customFormat="1" ht="11.25">
      <c r="A117" s="1261" t="s">
        <v>459</v>
      </c>
      <c r="B117" s="1261"/>
      <c r="C117" s="1261"/>
      <c r="D117" s="1261"/>
      <c r="E117" s="1261"/>
      <c r="F117" s="1261"/>
      <c r="G117" s="1261"/>
      <c r="H117" s="1261"/>
      <c r="I117" s="1261"/>
    </row>
    <row r="118" spans="1:9" s="2" customFormat="1" ht="11.25">
      <c r="A118" s="2" t="s">
        <v>400</v>
      </c>
    </row>
    <row r="119" spans="1:9" s="2" customFormat="1" ht="11.25">
      <c r="A119" s="1258"/>
      <c r="B119" s="1259"/>
      <c r="C119" s="1259"/>
      <c r="D119" s="1259"/>
      <c r="E119" s="1259"/>
      <c r="F119" s="1259"/>
      <c r="G119" s="1259"/>
      <c r="H119" s="1259"/>
      <c r="I119" s="1260"/>
    </row>
    <row r="120" spans="1:9" s="2" customFormat="1" ht="11.25">
      <c r="A120" s="1258"/>
      <c r="B120" s="1259"/>
      <c r="C120" s="1259"/>
      <c r="D120" s="1259"/>
      <c r="E120" s="1259"/>
      <c r="F120" s="1259"/>
      <c r="G120" s="1259"/>
      <c r="H120" s="1259"/>
      <c r="I120" s="1260"/>
    </row>
    <row r="121" spans="1:9" s="2" customFormat="1" ht="0.75" customHeight="1">
      <c r="A121" s="1258"/>
      <c r="B121" s="1259"/>
      <c r="C121" s="1259"/>
      <c r="D121" s="1259"/>
      <c r="E121" s="1259"/>
      <c r="F121" s="1259"/>
      <c r="G121" s="1259"/>
      <c r="H121" s="1259"/>
      <c r="I121" s="1260"/>
    </row>
    <row r="122" spans="1:9" s="2" customFormat="1" ht="11.25" hidden="1"/>
    <row r="123" spans="1:9" s="281" customFormat="1" ht="10.5">
      <c r="A123" s="1189" t="s">
        <v>461</v>
      </c>
      <c r="B123" s="1189"/>
      <c r="C123" s="1189"/>
      <c r="D123" s="1189"/>
      <c r="E123" s="1189"/>
      <c r="F123" s="1189"/>
      <c r="G123" s="1189"/>
      <c r="H123" s="1189"/>
      <c r="I123" s="1189"/>
    </row>
    <row r="124" spans="1:9" s="2" customFormat="1" ht="11.25">
      <c r="A124" s="2" t="s">
        <v>256</v>
      </c>
    </row>
    <row r="125" spans="1:9" s="2" customFormat="1" ht="12.6" customHeight="1">
      <c r="A125" s="1310" t="s">
        <v>1244</v>
      </c>
      <c r="B125" s="1593"/>
      <c r="C125" s="1593"/>
      <c r="D125" s="1593"/>
      <c r="E125" s="1593"/>
      <c r="F125" s="1593"/>
      <c r="G125" s="1593"/>
      <c r="H125" s="1593"/>
      <c r="I125" s="1282"/>
    </row>
    <row r="126" spans="1:9" s="2" customFormat="1" ht="12.6" customHeight="1">
      <c r="A126" s="1310" t="s">
        <v>1245</v>
      </c>
      <c r="B126" s="1632"/>
      <c r="C126" s="1632"/>
      <c r="D126" s="1632"/>
      <c r="E126" s="1632"/>
      <c r="F126" s="1632"/>
      <c r="G126" s="1632"/>
      <c r="H126" s="1632"/>
      <c r="I126" s="1633"/>
    </row>
    <row r="127" spans="1:9" s="2" customFormat="1" ht="12.6" customHeight="1">
      <c r="A127" s="1310" t="s">
        <v>1246</v>
      </c>
      <c r="B127" s="1632"/>
      <c r="C127" s="1632"/>
      <c r="D127" s="1632"/>
      <c r="E127" s="1632"/>
      <c r="F127" s="1632"/>
      <c r="G127" s="1632"/>
      <c r="H127" s="1632"/>
      <c r="I127" s="1633"/>
    </row>
    <row r="128" spans="1:9" s="2" customFormat="1" ht="12.6" customHeight="1">
      <c r="A128" s="1310" t="s">
        <v>1247</v>
      </c>
      <c r="B128" s="1632"/>
      <c r="C128" s="1632"/>
      <c r="D128" s="1632"/>
      <c r="E128" s="1632"/>
      <c r="F128" s="1632"/>
      <c r="G128" s="1632"/>
      <c r="H128" s="1632"/>
      <c r="I128" s="1633"/>
    </row>
    <row r="129" spans="1:9" s="2" customFormat="1" ht="16.149999999999999" customHeight="1">
      <c r="A129" s="1258" t="s">
        <v>1248</v>
      </c>
      <c r="B129" s="1259"/>
      <c r="C129" s="1259"/>
      <c r="D129" s="1259"/>
      <c r="E129" s="1259"/>
      <c r="F129" s="1259"/>
      <c r="G129" s="1259"/>
      <c r="H129" s="1259"/>
      <c r="I129" s="1260"/>
    </row>
    <row r="130" spans="1:9" s="2" customFormat="1" ht="16.149999999999999" customHeight="1">
      <c r="A130" s="76"/>
      <c r="B130" s="76"/>
      <c r="C130" s="76"/>
      <c r="D130" s="76"/>
      <c r="E130" s="76"/>
      <c r="F130" s="76"/>
      <c r="G130" s="76"/>
      <c r="H130" s="76"/>
      <c r="I130" s="76"/>
    </row>
    <row r="131" spans="1:9">
      <c r="A131" s="2" t="s">
        <v>401</v>
      </c>
    </row>
    <row r="132" spans="1:9">
      <c r="A132" s="2" t="s">
        <v>402</v>
      </c>
    </row>
    <row r="133" spans="1:9">
      <c r="A133" s="2"/>
    </row>
    <row r="134" spans="1:9">
      <c r="A134" s="2" t="s">
        <v>1249</v>
      </c>
    </row>
  </sheetData>
  <mergeCells count="105">
    <mergeCell ref="A127:I127"/>
    <mergeCell ref="A128:I128"/>
    <mergeCell ref="A115:D115"/>
    <mergeCell ref="A117:I117"/>
    <mergeCell ref="A119:I119"/>
    <mergeCell ref="A120:I120"/>
    <mergeCell ref="A125:I125"/>
    <mergeCell ref="A85:B86"/>
    <mergeCell ref="F85:F86"/>
    <mergeCell ref="G85:G86"/>
    <mergeCell ref="A87:B88"/>
    <mergeCell ref="F87:F88"/>
    <mergeCell ref="G87:G88"/>
    <mergeCell ref="F82:F84"/>
    <mergeCell ref="G82:G84"/>
    <mergeCell ref="F74:F75"/>
    <mergeCell ref="G74:G75"/>
    <mergeCell ref="F76:F77"/>
    <mergeCell ref="G76:G77"/>
    <mergeCell ref="A78:B79"/>
    <mergeCell ref="F78:F79"/>
    <mergeCell ref="G78:G79"/>
    <mergeCell ref="A76:B77"/>
    <mergeCell ref="A74:B75"/>
    <mergeCell ref="C51:I51"/>
    <mergeCell ref="A53:I53"/>
    <mergeCell ref="A55:B55"/>
    <mergeCell ref="A56:B57"/>
    <mergeCell ref="F56:F57"/>
    <mergeCell ref="G56:G57"/>
    <mergeCell ref="F68:F69"/>
    <mergeCell ref="G68:G69"/>
    <mergeCell ref="F70:F71"/>
    <mergeCell ref="G70:G71"/>
    <mergeCell ref="A62:B63"/>
    <mergeCell ref="F62:F63"/>
    <mergeCell ref="G62:G63"/>
    <mergeCell ref="A64:B67"/>
    <mergeCell ref="F64:F67"/>
    <mergeCell ref="G64:G67"/>
    <mergeCell ref="A70:B71"/>
    <mergeCell ref="A129:I129"/>
    <mergeCell ref="A123:I123"/>
    <mergeCell ref="A126:I126"/>
    <mergeCell ref="A68:B69"/>
    <mergeCell ref="A121:I121"/>
    <mergeCell ref="A89:B103"/>
    <mergeCell ref="F89:F103"/>
    <mergeCell ref="G89:G103"/>
    <mergeCell ref="A104:B106"/>
    <mergeCell ref="F104:F106"/>
    <mergeCell ref="G104:G106"/>
    <mergeCell ref="A107:B112"/>
    <mergeCell ref="F107:F112"/>
    <mergeCell ref="G107:G112"/>
    <mergeCell ref="F113:G113"/>
    <mergeCell ref="A114:C114"/>
    <mergeCell ref="A113:B113"/>
    <mergeCell ref="A72:B73"/>
    <mergeCell ref="F72:F73"/>
    <mergeCell ref="G72:G73"/>
    <mergeCell ref="A80:B81"/>
    <mergeCell ref="F80:F81"/>
    <mergeCell ref="G80:G81"/>
    <mergeCell ref="A82:B84"/>
    <mergeCell ref="A37:I37"/>
    <mergeCell ref="D40:I40"/>
    <mergeCell ref="C47:I47"/>
    <mergeCell ref="D5:I5"/>
    <mergeCell ref="D6:I6"/>
    <mergeCell ref="D7:I7"/>
    <mergeCell ref="D8:I8"/>
    <mergeCell ref="A9:B9"/>
    <mergeCell ref="D9:I9"/>
    <mergeCell ref="D41:I41"/>
    <mergeCell ref="D42:I42"/>
    <mergeCell ref="C43:I43"/>
    <mergeCell ref="A45:I45"/>
    <mergeCell ref="D31:I31"/>
    <mergeCell ref="C35:I35"/>
    <mergeCell ref="A29:I29"/>
    <mergeCell ref="C48:I49"/>
    <mergeCell ref="A58:B59"/>
    <mergeCell ref="F58:F59"/>
    <mergeCell ref="G58:G59"/>
    <mergeCell ref="A60:B61"/>
    <mergeCell ref="F60:F61"/>
    <mergeCell ref="G60:G61"/>
    <mergeCell ref="C50:I50"/>
    <mergeCell ref="A3:I3"/>
    <mergeCell ref="A11:I11"/>
    <mergeCell ref="A5:B5"/>
    <mergeCell ref="D39:I39"/>
    <mergeCell ref="A15:A17"/>
    <mergeCell ref="D32:I34"/>
    <mergeCell ref="A20:I20"/>
    <mergeCell ref="F22:I22"/>
    <mergeCell ref="F23:I23"/>
    <mergeCell ref="F24:I24"/>
    <mergeCell ref="F25:I25"/>
    <mergeCell ref="F26:I26"/>
    <mergeCell ref="A6:B6"/>
    <mergeCell ref="A7:B7"/>
    <mergeCell ref="A8:B8"/>
    <mergeCell ref="F27:I27"/>
  </mergeCells>
  <pageMargins left="0.23622047244094491" right="0.23622047244094491" top="0.74803149606299213" bottom="0.74803149606299213" header="0.31496062992125984" footer="0.31496062992125984"/>
  <pageSetup paperSize="9" firstPageNumber="202" fitToHeight="4" orientation="landscape" useFirstPageNumber="1"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sqref="A1:XFD1048576"/>
    </sheetView>
  </sheetViews>
  <sheetFormatPr defaultColWidth="6.5" defaultRowHeight="8.25"/>
  <cols>
    <col min="1" max="1" width="5.5" style="649" customWidth="1"/>
    <col min="2" max="2" width="6.5" style="648" customWidth="1"/>
    <col min="3" max="3" width="36.75" style="648" customWidth="1"/>
    <col min="4" max="4" width="8.5" style="648" customWidth="1"/>
    <col min="5" max="7" width="11" style="648" customWidth="1"/>
    <col min="8" max="8" width="8.75" style="648" customWidth="1"/>
    <col min="9" max="12" width="11" style="648" customWidth="1"/>
    <col min="13" max="13" width="8.75" style="648" customWidth="1"/>
    <col min="14" max="17" width="11" style="648" customWidth="1"/>
    <col min="18" max="18" width="8.75" style="648" customWidth="1"/>
    <col min="19" max="22" width="11" style="648" customWidth="1"/>
    <col min="23" max="23" width="8.75" style="648" customWidth="1"/>
    <col min="24" max="24" width="11" style="648" customWidth="1"/>
    <col min="25" max="16384" width="6.5" style="648"/>
  </cols>
  <sheetData>
    <row r="1" spans="1:24" s="650" customFormat="1" ht="15.75">
      <c r="A1" s="1262" t="s">
        <v>1250</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651" customFormat="1" ht="9.75" customHeight="1">
      <c r="A3" s="1161" t="s">
        <v>39</v>
      </c>
      <c r="B3" s="1164" t="s">
        <v>40</v>
      </c>
      <c r="C3" s="1165"/>
      <c r="D3" s="1308" t="s">
        <v>41</v>
      </c>
      <c r="E3" s="1271" t="s">
        <v>94</v>
      </c>
      <c r="F3" s="1269"/>
      <c r="G3" s="1269"/>
      <c r="H3" s="1269"/>
      <c r="I3" s="1270"/>
      <c r="J3" s="1271" t="s">
        <v>410</v>
      </c>
      <c r="K3" s="1269"/>
      <c r="L3" s="1269"/>
      <c r="M3" s="1269"/>
      <c r="N3" s="1272"/>
      <c r="O3" s="1268" t="s">
        <v>411</v>
      </c>
      <c r="P3" s="1269"/>
      <c r="Q3" s="1269"/>
      <c r="R3" s="1269"/>
      <c r="S3" s="1272"/>
      <c r="T3" s="1271" t="s">
        <v>95</v>
      </c>
      <c r="U3" s="1269"/>
      <c r="V3" s="1269"/>
      <c r="W3" s="1269"/>
      <c r="X3" s="1272"/>
    </row>
    <row r="4" spans="1:24" s="652" customFormat="1" ht="9.75" customHeight="1">
      <c r="A4" s="1162"/>
      <c r="B4" s="1166"/>
      <c r="C4" s="1166"/>
      <c r="D4" s="1309"/>
      <c r="E4" s="1263" t="s">
        <v>235</v>
      </c>
      <c r="F4" s="1265" t="s">
        <v>465</v>
      </c>
      <c r="G4" s="1265"/>
      <c r="H4" s="1265"/>
      <c r="I4" s="1279" t="s">
        <v>466</v>
      </c>
      <c r="J4" s="1263" t="s">
        <v>235</v>
      </c>
      <c r="K4" s="1265" t="s">
        <v>465</v>
      </c>
      <c r="L4" s="1265"/>
      <c r="M4" s="1265"/>
      <c r="N4" s="1279" t="s">
        <v>466</v>
      </c>
      <c r="O4" s="1263" t="s">
        <v>235</v>
      </c>
      <c r="P4" s="1265" t="s">
        <v>465</v>
      </c>
      <c r="Q4" s="1265"/>
      <c r="R4" s="1265"/>
      <c r="S4" s="1279" t="s">
        <v>466</v>
      </c>
      <c r="T4" s="1263" t="s">
        <v>235</v>
      </c>
      <c r="U4" s="1265" t="s">
        <v>465</v>
      </c>
      <c r="V4" s="1265"/>
      <c r="W4" s="1265"/>
      <c r="X4" s="1279" t="s">
        <v>466</v>
      </c>
    </row>
    <row r="5" spans="1:24" s="653" customFormat="1" ht="10.5" thickBot="1">
      <c r="A5" s="1162"/>
      <c r="B5" s="1166"/>
      <c r="C5" s="1166"/>
      <c r="D5" s="1309"/>
      <c r="E5" s="1264"/>
      <c r="F5" s="324" t="s">
        <v>97</v>
      </c>
      <c r="G5" s="324" t="s">
        <v>35</v>
      </c>
      <c r="H5" s="324" t="s">
        <v>236</v>
      </c>
      <c r="I5" s="1280"/>
      <c r="J5" s="1264"/>
      <c r="K5" s="324" t="s">
        <v>97</v>
      </c>
      <c r="L5" s="324" t="s">
        <v>35</v>
      </c>
      <c r="M5" s="324" t="s">
        <v>236</v>
      </c>
      <c r="N5" s="1280"/>
      <c r="O5" s="1264"/>
      <c r="P5" s="324" t="s">
        <v>97</v>
      </c>
      <c r="Q5" s="324" t="s">
        <v>35</v>
      </c>
      <c r="R5" s="324" t="s">
        <v>236</v>
      </c>
      <c r="S5" s="1280"/>
      <c r="T5" s="1264"/>
      <c r="U5" s="324" t="s">
        <v>97</v>
      </c>
      <c r="V5" s="324" t="s">
        <v>35</v>
      </c>
      <c r="W5" s="324" t="s">
        <v>236</v>
      </c>
      <c r="X5" s="1280"/>
    </row>
    <row r="6" spans="1:24" s="651" customFormat="1" ht="9.75">
      <c r="A6" s="708" t="s">
        <v>0</v>
      </c>
      <c r="B6" s="1158" t="s">
        <v>1</v>
      </c>
      <c r="C6" s="1158"/>
      <c r="D6" s="709" t="s">
        <v>25</v>
      </c>
      <c r="E6" s="677">
        <f>SUM(E7:E9)</f>
        <v>3278642</v>
      </c>
      <c r="F6" s="661">
        <f>SUM(F7:F9)</f>
        <v>3458513.42</v>
      </c>
      <c r="G6" s="661">
        <f>SUM(G7:G9)</f>
        <v>3415904.42</v>
      </c>
      <c r="H6" s="658">
        <f t="shared" ref="H6:H36" si="0">G6/F6*100</f>
        <v>98.767996684540833</v>
      </c>
      <c r="I6" s="674">
        <f>SUM(I7:I9)</f>
        <v>3299717</v>
      </c>
      <c r="J6" s="677">
        <f>SUM(J7:J9)</f>
        <v>3278642</v>
      </c>
      <c r="K6" s="661">
        <f t="shared" ref="K6:X6" si="1">SUM(K7:K9)</f>
        <v>3458513.42</v>
      </c>
      <c r="L6" s="661">
        <f t="shared" si="1"/>
        <v>3415904.42</v>
      </c>
      <c r="M6" s="658">
        <f t="shared" ref="M6:M36" si="2">L6/K6*100</f>
        <v>98.767996684540833</v>
      </c>
      <c r="N6" s="678">
        <f t="shared" si="1"/>
        <v>3299717</v>
      </c>
      <c r="O6" s="674">
        <f t="shared" si="1"/>
        <v>0</v>
      </c>
      <c r="P6" s="661">
        <f t="shared" si="1"/>
        <v>0</v>
      </c>
      <c r="Q6" s="1043">
        <f t="shared" si="1"/>
        <v>0</v>
      </c>
      <c r="R6" s="39">
        <f t="shared" si="1"/>
        <v>0</v>
      </c>
      <c r="S6" s="1044">
        <f t="shared" si="1"/>
        <v>0</v>
      </c>
      <c r="T6" s="674">
        <f t="shared" si="1"/>
        <v>0</v>
      </c>
      <c r="U6" s="661">
        <f t="shared" si="1"/>
        <v>0</v>
      </c>
      <c r="V6" s="1043">
        <f t="shared" si="1"/>
        <v>0</v>
      </c>
      <c r="W6" s="39">
        <f t="shared" si="1"/>
        <v>0</v>
      </c>
      <c r="X6" s="1044">
        <f t="shared" si="1"/>
        <v>0</v>
      </c>
    </row>
    <row r="7" spans="1:24" s="651" customFormat="1" ht="9.75">
      <c r="A7" s="710" t="s">
        <v>2</v>
      </c>
      <c r="B7" s="1160" t="s">
        <v>44</v>
      </c>
      <c r="C7" s="1160"/>
      <c r="D7" s="711" t="s">
        <v>25</v>
      </c>
      <c r="E7" s="681">
        <f t="shared" ref="E7:G9" si="3">SUM(J7,O7)</f>
        <v>508480</v>
      </c>
      <c r="F7" s="663">
        <f t="shared" si="3"/>
        <v>554300.42000000004</v>
      </c>
      <c r="G7" s="663">
        <f t="shared" si="3"/>
        <v>511691.42</v>
      </c>
      <c r="H7" s="664">
        <f t="shared" si="0"/>
        <v>92.313013221242002</v>
      </c>
      <c r="I7" s="675">
        <f>SUM(N7,S7)</f>
        <v>540163</v>
      </c>
      <c r="J7" s="702">
        <v>508480</v>
      </c>
      <c r="K7" s="665">
        <v>554300.42000000004</v>
      </c>
      <c r="L7" s="665">
        <v>511691.42</v>
      </c>
      <c r="M7" s="664">
        <f t="shared" si="2"/>
        <v>92.313013221242002</v>
      </c>
      <c r="N7" s="680">
        <v>540163</v>
      </c>
      <c r="O7" s="695">
        <v>0</v>
      </c>
      <c r="P7" s="665">
        <v>0</v>
      </c>
      <c r="Q7" s="665">
        <v>0</v>
      </c>
      <c r="R7" s="664">
        <v>0</v>
      </c>
      <c r="S7" s="680">
        <v>0</v>
      </c>
      <c r="T7" s="679">
        <v>0</v>
      </c>
      <c r="U7" s="665">
        <v>0</v>
      </c>
      <c r="V7" s="665">
        <v>0</v>
      </c>
      <c r="W7" s="664">
        <v>0</v>
      </c>
      <c r="X7" s="680">
        <v>0</v>
      </c>
    </row>
    <row r="8" spans="1:24" s="651" customFormat="1" ht="9.75">
      <c r="A8" s="712" t="s">
        <v>3</v>
      </c>
      <c r="B8" s="1173" t="s">
        <v>45</v>
      </c>
      <c r="C8" s="1173"/>
      <c r="D8" s="711" t="s">
        <v>25</v>
      </c>
      <c r="E8" s="681"/>
      <c r="F8" s="663"/>
      <c r="G8" s="663"/>
      <c r="H8" s="664"/>
      <c r="I8" s="675"/>
      <c r="J8" s="705">
        <v>0</v>
      </c>
      <c r="K8" s="663">
        <v>0</v>
      </c>
      <c r="L8" s="663">
        <v>0</v>
      </c>
      <c r="M8" s="664">
        <v>0</v>
      </c>
      <c r="N8" s="675">
        <v>0</v>
      </c>
      <c r="O8" s="681">
        <v>0</v>
      </c>
      <c r="P8" s="663">
        <v>0</v>
      </c>
      <c r="Q8" s="663">
        <v>0</v>
      </c>
      <c r="R8" s="664">
        <v>0</v>
      </c>
      <c r="S8" s="682">
        <v>0</v>
      </c>
      <c r="T8" s="681">
        <v>0</v>
      </c>
      <c r="U8" s="663">
        <v>0</v>
      </c>
      <c r="V8" s="663">
        <v>0</v>
      </c>
      <c r="W8" s="664">
        <v>0</v>
      </c>
      <c r="X8" s="682">
        <v>0</v>
      </c>
    </row>
    <row r="9" spans="1:24" s="651" customFormat="1" ht="9.75">
      <c r="A9" s="712" t="s">
        <v>4</v>
      </c>
      <c r="B9" s="672" t="s">
        <v>60</v>
      </c>
      <c r="C9" s="673"/>
      <c r="D9" s="711" t="s">
        <v>25</v>
      </c>
      <c r="E9" s="681">
        <f t="shared" si="3"/>
        <v>2770162</v>
      </c>
      <c r="F9" s="663">
        <f t="shared" si="3"/>
        <v>2904213</v>
      </c>
      <c r="G9" s="663">
        <f t="shared" si="3"/>
        <v>2904213</v>
      </c>
      <c r="H9" s="664">
        <f t="shared" si="0"/>
        <v>100</v>
      </c>
      <c r="I9" s="675">
        <f>SUM(N9,S9)</f>
        <v>2759554</v>
      </c>
      <c r="J9" s="705">
        <v>2770162</v>
      </c>
      <c r="K9" s="663">
        <v>2904213</v>
      </c>
      <c r="L9" s="663">
        <v>2904213</v>
      </c>
      <c r="M9" s="664">
        <f t="shared" si="2"/>
        <v>100</v>
      </c>
      <c r="N9" s="675">
        <v>2759554</v>
      </c>
      <c r="O9" s="681">
        <v>0</v>
      </c>
      <c r="P9" s="663">
        <v>0</v>
      </c>
      <c r="Q9" s="663">
        <v>0</v>
      </c>
      <c r="R9" s="664">
        <v>0</v>
      </c>
      <c r="S9" s="682">
        <v>0</v>
      </c>
      <c r="T9" s="681">
        <v>0</v>
      </c>
      <c r="U9" s="663">
        <v>0</v>
      </c>
      <c r="V9" s="663">
        <v>0</v>
      </c>
      <c r="W9" s="664">
        <v>0</v>
      </c>
      <c r="X9" s="682">
        <v>0</v>
      </c>
    </row>
    <row r="10" spans="1:24" s="651" customFormat="1" ht="9.75">
      <c r="A10" s="708" t="s">
        <v>5</v>
      </c>
      <c r="B10" s="1158" t="s">
        <v>7</v>
      </c>
      <c r="C10" s="1158"/>
      <c r="D10" s="709" t="s">
        <v>25</v>
      </c>
      <c r="E10" s="683"/>
      <c r="F10" s="662"/>
      <c r="G10" s="662"/>
      <c r="H10" s="658"/>
      <c r="I10" s="676"/>
      <c r="J10" s="704">
        <v>0</v>
      </c>
      <c r="K10" s="662">
        <v>0</v>
      </c>
      <c r="L10" s="662">
        <v>0</v>
      </c>
      <c r="M10" s="658"/>
      <c r="N10" s="684"/>
      <c r="O10" s="697">
        <v>0</v>
      </c>
      <c r="P10" s="662">
        <v>0</v>
      </c>
      <c r="Q10" s="662">
        <v>0</v>
      </c>
      <c r="R10" s="658">
        <v>0</v>
      </c>
      <c r="S10" s="684">
        <v>0</v>
      </c>
      <c r="T10" s="683">
        <v>0</v>
      </c>
      <c r="U10" s="662">
        <v>0</v>
      </c>
      <c r="V10" s="662">
        <v>0</v>
      </c>
      <c r="W10" s="658">
        <v>0</v>
      </c>
      <c r="X10" s="684">
        <v>0</v>
      </c>
    </row>
    <row r="11" spans="1:24" s="651" customFormat="1" ht="9.75">
      <c r="A11" s="708" t="s">
        <v>6</v>
      </c>
      <c r="B11" s="1158" t="s">
        <v>9</v>
      </c>
      <c r="C11" s="1158"/>
      <c r="D11" s="709" t="s">
        <v>25</v>
      </c>
      <c r="E11" s="677">
        <f>SUM(E12:E31)</f>
        <v>3278642</v>
      </c>
      <c r="F11" s="661">
        <f>SUM(F12:F31)</f>
        <v>3458513.42</v>
      </c>
      <c r="G11" s="661">
        <f>SUM(G12:G31)</f>
        <v>3405383.23</v>
      </c>
      <c r="H11" s="658">
        <f t="shared" si="0"/>
        <v>98.463785345092006</v>
      </c>
      <c r="I11" s="674">
        <f>SUM(I12:I31)</f>
        <v>3252382.79</v>
      </c>
      <c r="J11" s="677">
        <f>SUM(J12:J31)</f>
        <v>3278642</v>
      </c>
      <c r="K11" s="661">
        <f>SUM(K12:K31)</f>
        <v>3458513.42</v>
      </c>
      <c r="L11" s="661">
        <f>SUM(L12:L31)</f>
        <v>3405383.23</v>
      </c>
      <c r="M11" s="658">
        <f t="shared" ref="M11" si="4">L11/K11*100</f>
        <v>98.463785345092006</v>
      </c>
      <c r="N11" s="678">
        <f>SUM(N12:N31)</f>
        <v>3252382.79</v>
      </c>
      <c r="O11" s="965">
        <f t="shared" ref="O11:V11" si="5">SUM(O12:O32)</f>
        <v>0</v>
      </c>
      <c r="P11" s="965">
        <f t="shared" si="5"/>
        <v>0</v>
      </c>
      <c r="Q11" s="965">
        <f t="shared" si="5"/>
        <v>0</v>
      </c>
      <c r="R11" s="658">
        <f t="shared" si="5"/>
        <v>0</v>
      </c>
      <c r="S11" s="1045">
        <f t="shared" si="5"/>
        <v>0</v>
      </c>
      <c r="T11" s="972">
        <f t="shared" si="5"/>
        <v>0</v>
      </c>
      <c r="U11" s="965">
        <f t="shared" si="5"/>
        <v>0</v>
      </c>
      <c r="V11" s="965">
        <f t="shared" si="5"/>
        <v>0</v>
      </c>
      <c r="W11" s="658">
        <f>SUM(W12:W32)</f>
        <v>0</v>
      </c>
      <c r="X11" s="678">
        <v>0</v>
      </c>
    </row>
    <row r="12" spans="1:24" s="651" customFormat="1" ht="9.75">
      <c r="A12" s="710" t="s">
        <v>8</v>
      </c>
      <c r="B12" s="1160" t="s">
        <v>28</v>
      </c>
      <c r="C12" s="1160"/>
      <c r="D12" s="711" t="s">
        <v>25</v>
      </c>
      <c r="E12" s="681">
        <f t="shared" ref="E12:I32" si="6">SUM(J12,O12)</f>
        <v>53000</v>
      </c>
      <c r="F12" s="663">
        <f t="shared" si="6"/>
        <v>69300</v>
      </c>
      <c r="G12" s="663">
        <f t="shared" si="6"/>
        <v>67138.78</v>
      </c>
      <c r="H12" s="664">
        <f t="shared" si="0"/>
        <v>96.881356421356429</v>
      </c>
      <c r="I12" s="675">
        <f t="shared" si="6"/>
        <v>54773.25</v>
      </c>
      <c r="J12" s="705">
        <v>53000</v>
      </c>
      <c r="K12" s="666">
        <v>69300</v>
      </c>
      <c r="L12" s="666">
        <v>67138.78</v>
      </c>
      <c r="M12" s="664">
        <f t="shared" si="2"/>
        <v>96.881356421356429</v>
      </c>
      <c r="N12" s="334">
        <v>54773.25</v>
      </c>
      <c r="O12" s="685">
        <v>0</v>
      </c>
      <c r="P12" s="666">
        <v>0</v>
      </c>
      <c r="Q12" s="666">
        <v>0</v>
      </c>
      <c r="R12" s="664">
        <v>0</v>
      </c>
      <c r="S12" s="689">
        <v>0</v>
      </c>
      <c r="T12" s="685">
        <v>0</v>
      </c>
      <c r="U12" s="666">
        <v>0</v>
      </c>
      <c r="V12" s="666">
        <v>0</v>
      </c>
      <c r="W12" s="664">
        <v>0</v>
      </c>
      <c r="X12" s="686">
        <v>0</v>
      </c>
    </row>
    <row r="13" spans="1:24" s="651" customFormat="1" ht="9.75">
      <c r="A13" s="710" t="s">
        <v>10</v>
      </c>
      <c r="B13" s="1160" t="s">
        <v>29</v>
      </c>
      <c r="C13" s="1160"/>
      <c r="D13" s="711" t="s">
        <v>25</v>
      </c>
      <c r="E13" s="681">
        <f t="shared" si="6"/>
        <v>231840</v>
      </c>
      <c r="F13" s="663">
        <f t="shared" si="6"/>
        <v>181840</v>
      </c>
      <c r="G13" s="663">
        <f t="shared" si="6"/>
        <v>158032</v>
      </c>
      <c r="H13" s="664">
        <f t="shared" si="0"/>
        <v>86.907171139463273</v>
      </c>
      <c r="I13" s="675">
        <f t="shared" si="6"/>
        <v>167609</v>
      </c>
      <c r="J13" s="705">
        <v>231840</v>
      </c>
      <c r="K13" s="663">
        <v>181840</v>
      </c>
      <c r="L13" s="663">
        <v>158032</v>
      </c>
      <c r="M13" s="664">
        <f t="shared" si="2"/>
        <v>86.907171139463273</v>
      </c>
      <c r="N13" s="675">
        <v>167609</v>
      </c>
      <c r="O13" s="681">
        <v>0</v>
      </c>
      <c r="P13" s="663">
        <v>0</v>
      </c>
      <c r="Q13" s="663">
        <v>0</v>
      </c>
      <c r="R13" s="664">
        <v>0</v>
      </c>
      <c r="S13" s="682">
        <v>0</v>
      </c>
      <c r="T13" s="681">
        <v>0</v>
      </c>
      <c r="U13" s="663">
        <v>0</v>
      </c>
      <c r="V13" s="663">
        <v>0</v>
      </c>
      <c r="W13" s="664">
        <v>0</v>
      </c>
      <c r="X13" s="682">
        <v>0</v>
      </c>
    </row>
    <row r="14" spans="1:24" s="651" customFormat="1" ht="9.75">
      <c r="A14" s="710" t="s">
        <v>11</v>
      </c>
      <c r="B14" s="672" t="s">
        <v>61</v>
      </c>
      <c r="C14" s="672"/>
      <c r="D14" s="711" t="s">
        <v>25</v>
      </c>
      <c r="E14" s="681"/>
      <c r="F14" s="663"/>
      <c r="G14" s="663"/>
      <c r="H14" s="664"/>
      <c r="I14" s="675"/>
      <c r="J14" s="705">
        <v>0</v>
      </c>
      <c r="K14" s="663">
        <v>0</v>
      </c>
      <c r="L14" s="663">
        <v>0</v>
      </c>
      <c r="M14" s="664">
        <v>0</v>
      </c>
      <c r="N14" s="675">
        <v>0</v>
      </c>
      <c r="O14" s="681">
        <v>0</v>
      </c>
      <c r="P14" s="663">
        <v>0</v>
      </c>
      <c r="Q14" s="663">
        <v>0</v>
      </c>
      <c r="R14" s="664">
        <v>0</v>
      </c>
      <c r="S14" s="682">
        <v>0</v>
      </c>
      <c r="T14" s="681">
        <v>0</v>
      </c>
      <c r="U14" s="663">
        <v>0</v>
      </c>
      <c r="V14" s="663">
        <v>0</v>
      </c>
      <c r="W14" s="664">
        <v>0</v>
      </c>
      <c r="X14" s="682">
        <v>0</v>
      </c>
    </row>
    <row r="15" spans="1:24" s="651" customFormat="1" ht="9.75">
      <c r="A15" s="710" t="s">
        <v>12</v>
      </c>
      <c r="B15" s="1160" t="s">
        <v>62</v>
      </c>
      <c r="C15" s="1160"/>
      <c r="D15" s="711" t="s">
        <v>25</v>
      </c>
      <c r="E15" s="681">
        <f t="shared" si="6"/>
        <v>7000</v>
      </c>
      <c r="F15" s="663">
        <f t="shared" si="6"/>
        <v>10500</v>
      </c>
      <c r="G15" s="663">
        <f t="shared" si="6"/>
        <v>10026</v>
      </c>
      <c r="H15" s="664">
        <f t="shared" si="0"/>
        <v>95.48571428571428</v>
      </c>
      <c r="I15" s="675">
        <f t="shared" si="6"/>
        <v>2486</v>
      </c>
      <c r="J15" s="705">
        <v>7000</v>
      </c>
      <c r="K15" s="663">
        <v>10500</v>
      </c>
      <c r="L15" s="663">
        <v>10026</v>
      </c>
      <c r="M15" s="664">
        <f t="shared" si="2"/>
        <v>95.48571428571428</v>
      </c>
      <c r="N15" s="675">
        <v>2486</v>
      </c>
      <c r="O15" s="681">
        <v>0</v>
      </c>
      <c r="P15" s="663">
        <v>0</v>
      </c>
      <c r="Q15" s="663">
        <v>0</v>
      </c>
      <c r="R15" s="664">
        <v>0</v>
      </c>
      <c r="S15" s="682">
        <v>0</v>
      </c>
      <c r="T15" s="681">
        <v>0</v>
      </c>
      <c r="U15" s="663">
        <v>0</v>
      </c>
      <c r="V15" s="663">
        <v>0</v>
      </c>
      <c r="W15" s="664">
        <v>0</v>
      </c>
      <c r="X15" s="682">
        <v>0</v>
      </c>
    </row>
    <row r="16" spans="1:24" s="651" customFormat="1" ht="9.75">
      <c r="A16" s="710" t="s">
        <v>13</v>
      </c>
      <c r="B16" s="1160" t="s">
        <v>30</v>
      </c>
      <c r="C16" s="1160"/>
      <c r="D16" s="711" t="s">
        <v>25</v>
      </c>
      <c r="E16" s="681">
        <f t="shared" si="6"/>
        <v>900</v>
      </c>
      <c r="F16" s="663">
        <f t="shared" si="6"/>
        <v>1400</v>
      </c>
      <c r="G16" s="663">
        <f t="shared" si="6"/>
        <v>1326</v>
      </c>
      <c r="H16" s="664">
        <f t="shared" si="0"/>
        <v>94.714285714285722</v>
      </c>
      <c r="I16" s="675">
        <f t="shared" si="6"/>
        <v>0</v>
      </c>
      <c r="J16" s="705">
        <v>900</v>
      </c>
      <c r="K16" s="663">
        <v>1400</v>
      </c>
      <c r="L16" s="663">
        <v>1326</v>
      </c>
      <c r="M16" s="664">
        <f t="shared" si="2"/>
        <v>94.714285714285722</v>
      </c>
      <c r="N16" s="675">
        <v>0</v>
      </c>
      <c r="O16" s="681">
        <v>0</v>
      </c>
      <c r="P16" s="663">
        <v>0</v>
      </c>
      <c r="Q16" s="663">
        <v>0</v>
      </c>
      <c r="R16" s="664">
        <v>0</v>
      </c>
      <c r="S16" s="682">
        <v>0</v>
      </c>
      <c r="T16" s="681">
        <v>0</v>
      </c>
      <c r="U16" s="663">
        <v>0</v>
      </c>
      <c r="V16" s="663">
        <v>0</v>
      </c>
      <c r="W16" s="664">
        <v>0</v>
      </c>
      <c r="X16" s="682">
        <v>0</v>
      </c>
    </row>
    <row r="17" spans="1:24" s="651" customFormat="1" ht="9.75">
      <c r="A17" s="710" t="s">
        <v>14</v>
      </c>
      <c r="B17" s="672" t="s">
        <v>46</v>
      </c>
      <c r="C17" s="672"/>
      <c r="D17" s="711" t="s">
        <v>25</v>
      </c>
      <c r="E17" s="681">
        <f t="shared" si="6"/>
        <v>500</v>
      </c>
      <c r="F17" s="663">
        <f t="shared" si="6"/>
        <v>500</v>
      </c>
      <c r="G17" s="663">
        <f t="shared" si="6"/>
        <v>394</v>
      </c>
      <c r="H17" s="664">
        <f t="shared" si="0"/>
        <v>78.8</v>
      </c>
      <c r="I17" s="675">
        <f t="shared" si="6"/>
        <v>492</v>
      </c>
      <c r="J17" s="705">
        <v>500</v>
      </c>
      <c r="K17" s="663">
        <v>500</v>
      </c>
      <c r="L17" s="663">
        <v>394</v>
      </c>
      <c r="M17" s="664">
        <f t="shared" si="2"/>
        <v>78.8</v>
      </c>
      <c r="N17" s="675">
        <v>492</v>
      </c>
      <c r="O17" s="681">
        <v>0</v>
      </c>
      <c r="P17" s="663">
        <v>0</v>
      </c>
      <c r="Q17" s="663">
        <v>0</v>
      </c>
      <c r="R17" s="664">
        <v>0</v>
      </c>
      <c r="S17" s="682">
        <v>0</v>
      </c>
      <c r="T17" s="681">
        <v>0</v>
      </c>
      <c r="U17" s="663">
        <v>0</v>
      </c>
      <c r="V17" s="663">
        <v>0</v>
      </c>
      <c r="W17" s="664">
        <v>0</v>
      </c>
      <c r="X17" s="682">
        <v>0</v>
      </c>
    </row>
    <row r="18" spans="1:24" s="651" customFormat="1" ht="9.75">
      <c r="A18" s="710" t="s">
        <v>15</v>
      </c>
      <c r="B18" s="1160" t="s">
        <v>31</v>
      </c>
      <c r="C18" s="1160"/>
      <c r="D18" s="711" t="s">
        <v>25</v>
      </c>
      <c r="E18" s="681">
        <f t="shared" si="6"/>
        <v>267120</v>
      </c>
      <c r="F18" s="663">
        <f t="shared" si="6"/>
        <v>234356</v>
      </c>
      <c r="G18" s="663">
        <f t="shared" si="6"/>
        <v>212708.86</v>
      </c>
      <c r="H18" s="664">
        <f t="shared" si="0"/>
        <v>90.763138131731196</v>
      </c>
      <c r="I18" s="675">
        <f t="shared" si="6"/>
        <v>206335.54</v>
      </c>
      <c r="J18" s="705">
        <v>267120</v>
      </c>
      <c r="K18" s="663">
        <v>234356</v>
      </c>
      <c r="L18" s="663">
        <v>212708.86</v>
      </c>
      <c r="M18" s="664">
        <f t="shared" si="2"/>
        <v>90.763138131731196</v>
      </c>
      <c r="N18" s="675">
        <v>206335.54</v>
      </c>
      <c r="O18" s="681">
        <v>0</v>
      </c>
      <c r="P18" s="663">
        <v>0</v>
      </c>
      <c r="Q18" s="663">
        <v>0</v>
      </c>
      <c r="R18" s="664">
        <v>0</v>
      </c>
      <c r="S18" s="682">
        <v>0</v>
      </c>
      <c r="T18" s="681">
        <v>0</v>
      </c>
      <c r="U18" s="663">
        <v>0</v>
      </c>
      <c r="V18" s="663">
        <v>0</v>
      </c>
      <c r="W18" s="664">
        <v>0</v>
      </c>
      <c r="X18" s="682">
        <v>0</v>
      </c>
    </row>
    <row r="19" spans="1:24" s="654" customFormat="1" ht="9.75">
      <c r="A19" s="710" t="s">
        <v>16</v>
      </c>
      <c r="B19" s="1160" t="s">
        <v>32</v>
      </c>
      <c r="C19" s="1160"/>
      <c r="D19" s="711" t="s">
        <v>25</v>
      </c>
      <c r="E19" s="681">
        <f t="shared" si="6"/>
        <v>1968166</v>
      </c>
      <c r="F19" s="663">
        <f t="shared" si="6"/>
        <v>2070854</v>
      </c>
      <c r="G19" s="663">
        <f t="shared" si="6"/>
        <v>2070854</v>
      </c>
      <c r="H19" s="664">
        <f t="shared" si="0"/>
        <v>100</v>
      </c>
      <c r="I19" s="675">
        <f t="shared" si="6"/>
        <v>2004682</v>
      </c>
      <c r="J19" s="706">
        <v>1968166</v>
      </c>
      <c r="K19" s="663">
        <v>2070854</v>
      </c>
      <c r="L19" s="663">
        <v>2070854</v>
      </c>
      <c r="M19" s="664">
        <f t="shared" si="2"/>
        <v>100</v>
      </c>
      <c r="N19" s="675">
        <v>2004682</v>
      </c>
      <c r="O19" s="681">
        <v>0</v>
      </c>
      <c r="P19" s="663">
        <v>0</v>
      </c>
      <c r="Q19" s="663">
        <v>0</v>
      </c>
      <c r="R19" s="664">
        <v>0</v>
      </c>
      <c r="S19" s="1046">
        <v>0</v>
      </c>
      <c r="T19" s="687">
        <v>0</v>
      </c>
      <c r="U19" s="668">
        <v>0</v>
      </c>
      <c r="V19" s="668">
        <v>0</v>
      </c>
      <c r="W19" s="664">
        <v>0</v>
      </c>
      <c r="X19" s="688">
        <v>0</v>
      </c>
    </row>
    <row r="20" spans="1:24" s="651" customFormat="1" ht="9.75">
      <c r="A20" s="710" t="s">
        <v>17</v>
      </c>
      <c r="B20" s="1160" t="s">
        <v>47</v>
      </c>
      <c r="C20" s="1160"/>
      <c r="D20" s="711" t="s">
        <v>25</v>
      </c>
      <c r="E20" s="681">
        <f t="shared" si="6"/>
        <v>673506</v>
      </c>
      <c r="F20" s="663">
        <f t="shared" si="6"/>
        <v>708578</v>
      </c>
      <c r="G20" s="663">
        <f t="shared" si="6"/>
        <v>708324</v>
      </c>
      <c r="H20" s="664">
        <f t="shared" si="0"/>
        <v>99.964153558253287</v>
      </c>
      <c r="I20" s="675">
        <f t="shared" si="6"/>
        <v>685991</v>
      </c>
      <c r="J20" s="705">
        <v>673506</v>
      </c>
      <c r="K20" s="663">
        <v>708578</v>
      </c>
      <c r="L20" s="663">
        <v>708324</v>
      </c>
      <c r="M20" s="664">
        <f t="shared" si="2"/>
        <v>99.964153558253287</v>
      </c>
      <c r="N20" s="675">
        <v>685991</v>
      </c>
      <c r="O20" s="681">
        <v>0</v>
      </c>
      <c r="P20" s="663">
        <v>0</v>
      </c>
      <c r="Q20" s="663">
        <v>0</v>
      </c>
      <c r="R20" s="664">
        <v>0</v>
      </c>
      <c r="S20" s="682">
        <v>0</v>
      </c>
      <c r="T20" s="681">
        <v>0</v>
      </c>
      <c r="U20" s="663">
        <v>0</v>
      </c>
      <c r="V20" s="663">
        <v>0</v>
      </c>
      <c r="W20" s="664">
        <v>0</v>
      </c>
      <c r="X20" s="682">
        <v>0</v>
      </c>
    </row>
    <row r="21" spans="1:24" s="651" customFormat="1" ht="9.75">
      <c r="A21" s="710" t="s">
        <v>18</v>
      </c>
      <c r="B21" s="1160" t="s">
        <v>48</v>
      </c>
      <c r="C21" s="1160"/>
      <c r="D21" s="711" t="s">
        <v>25</v>
      </c>
      <c r="E21" s="681">
        <f t="shared" si="6"/>
        <v>58663</v>
      </c>
      <c r="F21" s="663">
        <f t="shared" si="6"/>
        <v>62883</v>
      </c>
      <c r="G21" s="663">
        <f t="shared" si="6"/>
        <v>58715</v>
      </c>
      <c r="H21" s="664">
        <f t="shared" si="0"/>
        <v>93.371817502345621</v>
      </c>
      <c r="I21" s="675">
        <f t="shared" si="6"/>
        <v>59406</v>
      </c>
      <c r="J21" s="705">
        <v>58663</v>
      </c>
      <c r="K21" s="663">
        <v>62883</v>
      </c>
      <c r="L21" s="663">
        <v>58715</v>
      </c>
      <c r="M21" s="664">
        <f t="shared" si="2"/>
        <v>93.371817502345621</v>
      </c>
      <c r="N21" s="675">
        <v>59406</v>
      </c>
      <c r="O21" s="681">
        <v>0</v>
      </c>
      <c r="P21" s="663">
        <v>0</v>
      </c>
      <c r="Q21" s="663">
        <v>0</v>
      </c>
      <c r="R21" s="664">
        <v>0</v>
      </c>
      <c r="S21" s="682">
        <v>0</v>
      </c>
      <c r="T21" s="681">
        <v>0</v>
      </c>
      <c r="U21" s="663">
        <v>0</v>
      </c>
      <c r="V21" s="663">
        <v>0</v>
      </c>
      <c r="W21" s="664">
        <v>0</v>
      </c>
      <c r="X21" s="682">
        <v>0</v>
      </c>
    </row>
    <row r="22" spans="1:24" s="651" customFormat="1" ht="9.75">
      <c r="A22" s="710" t="s">
        <v>19</v>
      </c>
      <c r="B22" s="1160" t="s">
        <v>63</v>
      </c>
      <c r="C22" s="1160"/>
      <c r="D22" s="711" t="s">
        <v>25</v>
      </c>
      <c r="E22" s="681">
        <f t="shared" si="6"/>
        <v>0</v>
      </c>
      <c r="F22" s="663">
        <f t="shared" si="6"/>
        <v>0</v>
      </c>
      <c r="G22" s="663">
        <f t="shared" si="6"/>
        <v>0</v>
      </c>
      <c r="H22" s="664">
        <v>0</v>
      </c>
      <c r="I22" s="675">
        <f t="shared" si="6"/>
        <v>0</v>
      </c>
      <c r="J22" s="705">
        <v>0</v>
      </c>
      <c r="K22" s="663">
        <v>0</v>
      </c>
      <c r="L22" s="663">
        <v>0</v>
      </c>
      <c r="M22" s="664">
        <v>0</v>
      </c>
      <c r="N22" s="682">
        <v>0</v>
      </c>
      <c r="O22" s="696">
        <v>0</v>
      </c>
      <c r="P22" s="663">
        <v>0</v>
      </c>
      <c r="Q22" s="663">
        <v>0</v>
      </c>
      <c r="R22" s="664">
        <v>0</v>
      </c>
      <c r="S22" s="682">
        <v>0</v>
      </c>
      <c r="T22" s="681">
        <v>0</v>
      </c>
      <c r="U22" s="663">
        <v>0</v>
      </c>
      <c r="V22" s="663">
        <v>0</v>
      </c>
      <c r="W22" s="664">
        <v>0</v>
      </c>
      <c r="X22" s="682">
        <v>0</v>
      </c>
    </row>
    <row r="23" spans="1:24" s="651" customFormat="1" ht="9.75">
      <c r="A23" s="710" t="s">
        <v>20</v>
      </c>
      <c r="B23" s="672" t="s">
        <v>98</v>
      </c>
      <c r="C23" s="672"/>
      <c r="D23" s="711" t="s">
        <v>25</v>
      </c>
      <c r="E23" s="681">
        <f t="shared" si="6"/>
        <v>0</v>
      </c>
      <c r="F23" s="663">
        <f t="shared" si="6"/>
        <v>0</v>
      </c>
      <c r="G23" s="663">
        <f t="shared" si="6"/>
        <v>0</v>
      </c>
      <c r="H23" s="664">
        <v>0</v>
      </c>
      <c r="I23" s="675">
        <f t="shared" si="6"/>
        <v>0</v>
      </c>
      <c r="J23" s="705">
        <v>0</v>
      </c>
      <c r="K23" s="663">
        <v>0</v>
      </c>
      <c r="L23" s="663">
        <v>0</v>
      </c>
      <c r="M23" s="664">
        <v>0</v>
      </c>
      <c r="N23" s="682">
        <v>0</v>
      </c>
      <c r="O23" s="696">
        <v>0</v>
      </c>
      <c r="P23" s="663">
        <v>0</v>
      </c>
      <c r="Q23" s="663">
        <v>0</v>
      </c>
      <c r="R23" s="664">
        <v>0</v>
      </c>
      <c r="S23" s="682">
        <v>0</v>
      </c>
      <c r="T23" s="681">
        <v>0</v>
      </c>
      <c r="U23" s="663">
        <v>0</v>
      </c>
      <c r="V23" s="663">
        <v>0</v>
      </c>
      <c r="W23" s="664">
        <v>0</v>
      </c>
      <c r="X23" s="682">
        <v>0</v>
      </c>
    </row>
    <row r="24" spans="1:24" s="651" customFormat="1" ht="9.75">
      <c r="A24" s="710" t="s">
        <v>21</v>
      </c>
      <c r="B24" s="672" t="s">
        <v>71</v>
      </c>
      <c r="C24" s="672"/>
      <c r="D24" s="711" t="s">
        <v>25</v>
      </c>
      <c r="E24" s="681">
        <f t="shared" si="6"/>
        <v>0</v>
      </c>
      <c r="F24" s="663">
        <f t="shared" si="6"/>
        <v>0</v>
      </c>
      <c r="G24" s="663">
        <f t="shared" si="6"/>
        <v>0</v>
      </c>
      <c r="H24" s="664">
        <v>0</v>
      </c>
      <c r="I24" s="675">
        <f t="shared" si="6"/>
        <v>0</v>
      </c>
      <c r="J24" s="705">
        <v>0</v>
      </c>
      <c r="K24" s="663">
        <v>0</v>
      </c>
      <c r="L24" s="663">
        <v>0</v>
      </c>
      <c r="M24" s="664">
        <v>0</v>
      </c>
      <c r="N24" s="682">
        <v>0</v>
      </c>
      <c r="O24" s="696">
        <v>0</v>
      </c>
      <c r="P24" s="663">
        <v>0</v>
      </c>
      <c r="Q24" s="663">
        <v>0</v>
      </c>
      <c r="R24" s="664">
        <v>0</v>
      </c>
      <c r="S24" s="682">
        <v>0</v>
      </c>
      <c r="T24" s="681">
        <v>0</v>
      </c>
      <c r="U24" s="663">
        <v>0</v>
      </c>
      <c r="V24" s="663">
        <v>0</v>
      </c>
      <c r="W24" s="664">
        <v>0</v>
      </c>
      <c r="X24" s="682">
        <v>0</v>
      </c>
    </row>
    <row r="25" spans="1:24" s="651" customFormat="1" ht="9.75">
      <c r="A25" s="710" t="s">
        <v>22</v>
      </c>
      <c r="B25" s="672" t="s">
        <v>66</v>
      </c>
      <c r="C25" s="672"/>
      <c r="D25" s="711" t="s">
        <v>25</v>
      </c>
      <c r="E25" s="681">
        <f t="shared" si="6"/>
        <v>0</v>
      </c>
      <c r="F25" s="663">
        <f t="shared" si="6"/>
        <v>0</v>
      </c>
      <c r="G25" s="663">
        <f t="shared" si="6"/>
        <v>0</v>
      </c>
      <c r="H25" s="664">
        <v>0</v>
      </c>
      <c r="I25" s="675">
        <f t="shared" si="6"/>
        <v>0</v>
      </c>
      <c r="J25" s="705">
        <v>0</v>
      </c>
      <c r="K25" s="666">
        <v>0</v>
      </c>
      <c r="L25" s="666">
        <v>0</v>
      </c>
      <c r="M25" s="664">
        <v>0</v>
      </c>
      <c r="N25" s="686">
        <v>0</v>
      </c>
      <c r="O25" s="698">
        <v>0</v>
      </c>
      <c r="P25" s="666">
        <v>0</v>
      </c>
      <c r="Q25" s="666">
        <v>0</v>
      </c>
      <c r="R25" s="664">
        <v>0</v>
      </c>
      <c r="S25" s="689">
        <v>0</v>
      </c>
      <c r="T25" s="685">
        <v>0</v>
      </c>
      <c r="U25" s="666">
        <v>0</v>
      </c>
      <c r="V25" s="666">
        <v>0</v>
      </c>
      <c r="W25" s="664">
        <v>0</v>
      </c>
      <c r="X25" s="689">
        <v>0</v>
      </c>
    </row>
    <row r="26" spans="1:24" s="655" customFormat="1" ht="9.75">
      <c r="A26" s="710" t="s">
        <v>23</v>
      </c>
      <c r="B26" s="1160" t="s">
        <v>67</v>
      </c>
      <c r="C26" s="1160"/>
      <c r="D26" s="711" t="s">
        <v>25</v>
      </c>
      <c r="E26" s="681">
        <f t="shared" si="6"/>
        <v>0</v>
      </c>
      <c r="F26" s="663">
        <f t="shared" si="6"/>
        <v>0</v>
      </c>
      <c r="G26" s="663">
        <f t="shared" si="6"/>
        <v>0</v>
      </c>
      <c r="H26" s="669">
        <v>0</v>
      </c>
      <c r="I26" s="675">
        <f t="shared" si="6"/>
        <v>0</v>
      </c>
      <c r="J26" s="705">
        <v>0</v>
      </c>
      <c r="K26" s="667">
        <v>0</v>
      </c>
      <c r="L26" s="667">
        <v>0</v>
      </c>
      <c r="M26" s="664">
        <v>0</v>
      </c>
      <c r="N26" s="686">
        <v>0</v>
      </c>
      <c r="O26" s="699">
        <v>0</v>
      </c>
      <c r="P26" s="667">
        <v>0</v>
      </c>
      <c r="Q26" s="667">
        <v>0</v>
      </c>
      <c r="R26" s="664">
        <v>0</v>
      </c>
      <c r="S26" s="686">
        <v>0</v>
      </c>
      <c r="T26" s="222">
        <v>0</v>
      </c>
      <c r="U26" s="667">
        <v>0</v>
      </c>
      <c r="V26" s="667">
        <v>0</v>
      </c>
      <c r="W26" s="664">
        <v>0</v>
      </c>
      <c r="X26" s="686">
        <v>0</v>
      </c>
    </row>
    <row r="27" spans="1:24" s="655" customFormat="1" ht="9.75">
      <c r="A27" s="710" t="s">
        <v>43</v>
      </c>
      <c r="B27" s="672" t="s">
        <v>68</v>
      </c>
      <c r="C27" s="672"/>
      <c r="D27" s="711" t="s">
        <v>25</v>
      </c>
      <c r="E27" s="681">
        <f t="shared" si="6"/>
        <v>0</v>
      </c>
      <c r="F27" s="663">
        <f t="shared" si="6"/>
        <v>0</v>
      </c>
      <c r="G27" s="663">
        <f t="shared" si="6"/>
        <v>0</v>
      </c>
      <c r="H27" s="669">
        <v>0</v>
      </c>
      <c r="I27" s="675">
        <f t="shared" si="6"/>
        <v>0</v>
      </c>
      <c r="J27" s="705">
        <v>0</v>
      </c>
      <c r="K27" s="667">
        <v>0</v>
      </c>
      <c r="L27" s="667">
        <v>0</v>
      </c>
      <c r="M27" s="664">
        <v>0</v>
      </c>
      <c r="N27" s="682">
        <v>0</v>
      </c>
      <c r="O27" s="699">
        <v>0</v>
      </c>
      <c r="P27" s="667">
        <v>0</v>
      </c>
      <c r="Q27" s="667">
        <v>0</v>
      </c>
      <c r="R27" s="664">
        <v>0</v>
      </c>
      <c r="S27" s="686">
        <v>0</v>
      </c>
      <c r="T27" s="222">
        <v>0</v>
      </c>
      <c r="U27" s="667">
        <v>0</v>
      </c>
      <c r="V27" s="667">
        <v>0</v>
      </c>
      <c r="W27" s="664">
        <v>0</v>
      </c>
      <c r="X27" s="686">
        <v>0</v>
      </c>
    </row>
    <row r="28" spans="1:24" s="655" customFormat="1" ht="9.75">
      <c r="A28" s="710" t="s">
        <v>49</v>
      </c>
      <c r="B28" s="672" t="s">
        <v>72</v>
      </c>
      <c r="C28" s="672"/>
      <c r="D28" s="711" t="s">
        <v>25</v>
      </c>
      <c r="E28" s="681">
        <f>SUM(J28,O28)</f>
        <v>17887</v>
      </c>
      <c r="F28" s="663">
        <f>SUM(K28,P28)</f>
        <v>118242.42</v>
      </c>
      <c r="G28" s="663">
        <f>SUM(L28,Q28)</f>
        <v>117804.59</v>
      </c>
      <c r="H28" s="669">
        <f>G28/F28*100</f>
        <v>99.62971833627897</v>
      </c>
      <c r="I28" s="675">
        <f>SUM(N28,S28)</f>
        <v>70548</v>
      </c>
      <c r="J28" s="705">
        <v>17887</v>
      </c>
      <c r="K28" s="667">
        <v>118242.42</v>
      </c>
      <c r="L28" s="667">
        <v>117804.59</v>
      </c>
      <c r="M28" s="664">
        <f>L28/K28*100</f>
        <v>99.62971833627897</v>
      </c>
      <c r="N28" s="682">
        <v>70548</v>
      </c>
      <c r="O28" s="699">
        <v>0</v>
      </c>
      <c r="P28" s="667">
        <v>0</v>
      </c>
      <c r="Q28" s="667">
        <v>0</v>
      </c>
      <c r="R28" s="664">
        <v>0</v>
      </c>
      <c r="S28" s="686">
        <v>0</v>
      </c>
      <c r="T28" s="222">
        <v>0</v>
      </c>
      <c r="U28" s="667">
        <v>0</v>
      </c>
      <c r="V28" s="667">
        <v>0</v>
      </c>
      <c r="W28" s="664">
        <v>0</v>
      </c>
      <c r="X28" s="686">
        <v>0</v>
      </c>
    </row>
    <row r="29" spans="1:24" s="656" customFormat="1" ht="9.75">
      <c r="A29" s="710" t="s">
        <v>50</v>
      </c>
      <c r="B29" s="672" t="s">
        <v>65</v>
      </c>
      <c r="C29" s="672"/>
      <c r="D29" s="711" t="s">
        <v>25</v>
      </c>
      <c r="E29" s="681">
        <f t="shared" si="6"/>
        <v>60</v>
      </c>
      <c r="F29" s="663">
        <f t="shared" si="6"/>
        <v>60</v>
      </c>
      <c r="G29" s="663">
        <f t="shared" si="6"/>
        <v>60</v>
      </c>
      <c r="H29" s="669">
        <f t="shared" si="0"/>
        <v>100</v>
      </c>
      <c r="I29" s="675">
        <f t="shared" si="6"/>
        <v>60</v>
      </c>
      <c r="J29" s="705">
        <v>60</v>
      </c>
      <c r="K29" s="667">
        <v>60</v>
      </c>
      <c r="L29" s="667">
        <v>60</v>
      </c>
      <c r="M29" s="664">
        <f t="shared" si="2"/>
        <v>100</v>
      </c>
      <c r="N29" s="686">
        <v>60</v>
      </c>
      <c r="O29" s="699">
        <v>0</v>
      </c>
      <c r="P29" s="667">
        <v>0</v>
      </c>
      <c r="Q29" s="667">
        <v>0</v>
      </c>
      <c r="R29" s="664">
        <v>0</v>
      </c>
      <c r="S29" s="686">
        <v>0</v>
      </c>
      <c r="T29" s="222">
        <v>0</v>
      </c>
      <c r="U29" s="667">
        <v>0</v>
      </c>
      <c r="V29" s="667">
        <v>0</v>
      </c>
      <c r="W29" s="664">
        <v>0</v>
      </c>
      <c r="X29" s="686">
        <v>0</v>
      </c>
    </row>
    <row r="30" spans="1:24" s="651" customFormat="1" ht="9.75">
      <c r="A30" s="710" t="s">
        <v>52</v>
      </c>
      <c r="B30" s="672" t="s">
        <v>51</v>
      </c>
      <c r="C30" s="672"/>
      <c r="D30" s="711" t="s">
        <v>25</v>
      </c>
      <c r="E30" s="681">
        <f t="shared" si="6"/>
        <v>0</v>
      </c>
      <c r="F30" s="663">
        <f t="shared" si="6"/>
        <v>0</v>
      </c>
      <c r="G30" s="663">
        <f t="shared" si="6"/>
        <v>0</v>
      </c>
      <c r="H30" s="669">
        <v>0</v>
      </c>
      <c r="I30" s="675">
        <f t="shared" si="6"/>
        <v>0</v>
      </c>
      <c r="J30" s="705">
        <v>0</v>
      </c>
      <c r="K30" s="667">
        <v>0</v>
      </c>
      <c r="L30" s="667">
        <v>0</v>
      </c>
      <c r="M30" s="664">
        <v>0</v>
      </c>
      <c r="N30" s="686">
        <v>0</v>
      </c>
      <c r="O30" s="699">
        <v>0</v>
      </c>
      <c r="P30" s="667">
        <v>0</v>
      </c>
      <c r="Q30" s="667">
        <v>0</v>
      </c>
      <c r="R30" s="664">
        <v>0</v>
      </c>
      <c r="S30" s="686">
        <v>0</v>
      </c>
      <c r="T30" s="222">
        <v>0</v>
      </c>
      <c r="U30" s="667">
        <v>0</v>
      </c>
      <c r="V30" s="667">
        <v>0</v>
      </c>
      <c r="W30" s="664">
        <v>0</v>
      </c>
      <c r="X30" s="686">
        <v>0</v>
      </c>
    </row>
    <row r="31" spans="1:24" s="659" customFormat="1" ht="9.75">
      <c r="A31" s="710" t="s">
        <v>53</v>
      </c>
      <c r="B31" s="672" t="s">
        <v>69</v>
      </c>
      <c r="C31" s="672"/>
      <c r="D31" s="711" t="s">
        <v>25</v>
      </c>
      <c r="E31" s="681">
        <f t="shared" si="6"/>
        <v>0</v>
      </c>
      <c r="F31" s="663">
        <f t="shared" si="6"/>
        <v>0</v>
      </c>
      <c r="G31" s="663">
        <f t="shared" si="6"/>
        <v>0</v>
      </c>
      <c r="H31" s="669">
        <v>0</v>
      </c>
      <c r="I31" s="675">
        <f t="shared" si="6"/>
        <v>0</v>
      </c>
      <c r="J31" s="705">
        <v>0</v>
      </c>
      <c r="K31" s="670">
        <v>0</v>
      </c>
      <c r="L31" s="670">
        <v>0</v>
      </c>
      <c r="M31" s="664">
        <v>0</v>
      </c>
      <c r="N31" s="692">
        <v>0</v>
      </c>
      <c r="O31" s="700">
        <v>0</v>
      </c>
      <c r="P31" s="670">
        <v>0</v>
      </c>
      <c r="Q31" s="670">
        <v>0</v>
      </c>
      <c r="R31" s="664">
        <v>0</v>
      </c>
      <c r="S31" s="692">
        <v>0</v>
      </c>
      <c r="T31" s="223">
        <v>0</v>
      </c>
      <c r="U31" s="670">
        <v>0</v>
      </c>
      <c r="V31" s="670">
        <v>0</v>
      </c>
      <c r="W31" s="664">
        <v>0</v>
      </c>
      <c r="X31" s="691">
        <v>0</v>
      </c>
    </row>
    <row r="32" spans="1:24" s="659" customFormat="1" ht="9.75">
      <c r="A32" s="710" t="s">
        <v>54</v>
      </c>
      <c r="B32" s="672" t="s">
        <v>70</v>
      </c>
      <c r="C32" s="672"/>
      <c r="D32" s="711" t="s">
        <v>25</v>
      </c>
      <c r="E32" s="681">
        <f t="shared" si="6"/>
        <v>0</v>
      </c>
      <c r="F32" s="663">
        <f t="shared" si="6"/>
        <v>0</v>
      </c>
      <c r="G32" s="663">
        <f t="shared" si="6"/>
        <v>0</v>
      </c>
      <c r="H32" s="669">
        <v>0</v>
      </c>
      <c r="I32" s="675">
        <f t="shared" si="6"/>
        <v>0</v>
      </c>
      <c r="J32" s="707">
        <v>0</v>
      </c>
      <c r="K32" s="671">
        <v>0</v>
      </c>
      <c r="L32" s="671">
        <v>0</v>
      </c>
      <c r="M32" s="664">
        <v>0</v>
      </c>
      <c r="N32" s="691">
        <v>0</v>
      </c>
      <c r="O32" s="701">
        <v>0</v>
      </c>
      <c r="P32" s="671">
        <v>0</v>
      </c>
      <c r="Q32" s="671">
        <v>0</v>
      </c>
      <c r="R32" s="664">
        <v>0</v>
      </c>
      <c r="S32" s="691">
        <v>0</v>
      </c>
      <c r="T32" s="690">
        <v>0</v>
      </c>
      <c r="U32" s="671">
        <v>0</v>
      </c>
      <c r="V32" s="671">
        <v>0</v>
      </c>
      <c r="W32" s="664">
        <v>0</v>
      </c>
      <c r="X32" s="691">
        <v>0</v>
      </c>
    </row>
    <row r="33" spans="1:24" s="659" customFormat="1" ht="9.75">
      <c r="A33" s="708" t="s">
        <v>55</v>
      </c>
      <c r="B33" s="746" t="s">
        <v>99</v>
      </c>
      <c r="C33" s="746"/>
      <c r="D33" s="709" t="s">
        <v>25</v>
      </c>
      <c r="E33" s="677">
        <f>E6-E11</f>
        <v>0</v>
      </c>
      <c r="F33" s="661">
        <f>F6-F11</f>
        <v>0</v>
      </c>
      <c r="G33" s="661">
        <f>G6-G11</f>
        <v>10521.189999999944</v>
      </c>
      <c r="H33" s="195"/>
      <c r="I33" s="674">
        <f>I6-I11</f>
        <v>47334.209999999963</v>
      </c>
      <c r="J33" s="677">
        <f>J6-J11</f>
        <v>0</v>
      </c>
      <c r="K33" s="661">
        <f>K6-K11</f>
        <v>0</v>
      </c>
      <c r="L33" s="661">
        <f>L6-L11</f>
        <v>10521.189999999944</v>
      </c>
      <c r="M33" s="658"/>
      <c r="N33" s="678">
        <f>N6-N11</f>
        <v>47334.209999999963</v>
      </c>
      <c r="O33" s="661">
        <f>O6-O11</f>
        <v>0</v>
      </c>
      <c r="P33" s="661">
        <f>P6-P11</f>
        <v>0</v>
      </c>
      <c r="Q33" s="661">
        <f t="shared" ref="Q33:X33" si="7">Q6-Q11</f>
        <v>0</v>
      </c>
      <c r="R33" s="661">
        <v>0</v>
      </c>
      <c r="S33" s="674">
        <f t="shared" si="7"/>
        <v>0</v>
      </c>
      <c r="T33" s="677">
        <f t="shared" si="7"/>
        <v>0</v>
      </c>
      <c r="U33" s="661">
        <f t="shared" si="7"/>
        <v>0</v>
      </c>
      <c r="V33" s="661">
        <f t="shared" si="7"/>
        <v>0</v>
      </c>
      <c r="W33" s="661">
        <f t="shared" si="7"/>
        <v>0</v>
      </c>
      <c r="X33" s="661">
        <f t="shared" si="7"/>
        <v>0</v>
      </c>
    </row>
    <row r="34" spans="1:24" s="660" customFormat="1" ht="9.75">
      <c r="A34" s="713" t="s">
        <v>57</v>
      </c>
      <c r="B34" s="1157" t="s">
        <v>24</v>
      </c>
      <c r="C34" s="1157"/>
      <c r="D34" s="340" t="s">
        <v>25</v>
      </c>
      <c r="E34" s="1047">
        <f>J34+O34+S34</f>
        <v>32802</v>
      </c>
      <c r="F34" s="1048">
        <v>32871</v>
      </c>
      <c r="G34" s="1048">
        <v>32871</v>
      </c>
      <c r="H34" s="664">
        <f t="shared" si="0"/>
        <v>100</v>
      </c>
      <c r="I34" s="1049">
        <v>33411</v>
      </c>
      <c r="J34" s="1050">
        <v>32802</v>
      </c>
      <c r="K34" s="1051">
        <v>32871</v>
      </c>
      <c r="L34" s="1051">
        <v>32871</v>
      </c>
      <c r="M34" s="664">
        <f t="shared" si="2"/>
        <v>100</v>
      </c>
      <c r="N34" s="1052">
        <v>33411</v>
      </c>
      <c r="O34" s="1053">
        <v>0</v>
      </c>
      <c r="P34" s="1051">
        <v>0</v>
      </c>
      <c r="Q34" s="1051">
        <v>0</v>
      </c>
      <c r="R34" s="664">
        <v>0</v>
      </c>
      <c r="S34" s="1052">
        <v>0</v>
      </c>
      <c r="T34" s="1050">
        <v>0</v>
      </c>
      <c r="U34" s="1051">
        <v>0</v>
      </c>
      <c r="V34" s="1051">
        <v>0</v>
      </c>
      <c r="W34" s="666">
        <v>0</v>
      </c>
      <c r="X34" s="1052">
        <v>0</v>
      </c>
    </row>
    <row r="35" spans="1:24" s="660" customFormat="1" ht="9.75">
      <c r="A35" s="714" t="s">
        <v>58</v>
      </c>
      <c r="B35" s="1156" t="s">
        <v>33</v>
      </c>
      <c r="C35" s="1156"/>
      <c r="D35" s="343" t="s">
        <v>26</v>
      </c>
      <c r="E35" s="1054">
        <f>J35+O35+T35</f>
        <v>5</v>
      </c>
      <c r="F35" s="1055">
        <v>6.5</v>
      </c>
      <c r="G35" s="1055">
        <v>6.5</v>
      </c>
      <c r="H35" s="664">
        <f t="shared" si="0"/>
        <v>100</v>
      </c>
      <c r="I35" s="1056">
        <v>5</v>
      </c>
      <c r="J35" s="1057">
        <v>5</v>
      </c>
      <c r="K35" s="1058">
        <v>6.5</v>
      </c>
      <c r="L35" s="1059">
        <v>6.5</v>
      </c>
      <c r="M35" s="664">
        <f t="shared" si="2"/>
        <v>100</v>
      </c>
      <c r="N35" s="1060">
        <v>5</v>
      </c>
      <c r="O35" s="1061">
        <v>0</v>
      </c>
      <c r="P35" s="1059">
        <v>0</v>
      </c>
      <c r="Q35" s="1059">
        <v>0</v>
      </c>
      <c r="R35" s="664">
        <v>0</v>
      </c>
      <c r="S35" s="1060">
        <v>0</v>
      </c>
      <c r="T35" s="1057">
        <v>0</v>
      </c>
      <c r="U35" s="1059">
        <v>0</v>
      </c>
      <c r="V35" s="1059">
        <v>0</v>
      </c>
      <c r="W35" s="666">
        <v>0</v>
      </c>
      <c r="X35" s="1052">
        <v>0</v>
      </c>
    </row>
    <row r="36" spans="1:24" s="660" customFormat="1" ht="9.75">
      <c r="A36" s="713" t="s">
        <v>59</v>
      </c>
      <c r="B36" s="1157" t="s">
        <v>27</v>
      </c>
      <c r="C36" s="1157"/>
      <c r="D36" s="340" t="s">
        <v>26</v>
      </c>
      <c r="E36" s="1047">
        <f>J36+O36+T36</f>
        <v>6</v>
      </c>
      <c r="F36" s="1048">
        <v>6</v>
      </c>
      <c r="G36" s="1048">
        <v>6</v>
      </c>
      <c r="H36" s="664">
        <f t="shared" si="0"/>
        <v>100</v>
      </c>
      <c r="I36" s="1049">
        <v>6</v>
      </c>
      <c r="J36" s="1050">
        <v>6</v>
      </c>
      <c r="K36" s="1051">
        <v>7</v>
      </c>
      <c r="L36" s="1051">
        <v>7</v>
      </c>
      <c r="M36" s="664">
        <f t="shared" si="2"/>
        <v>100</v>
      </c>
      <c r="N36" s="1052">
        <v>6</v>
      </c>
      <c r="O36" s="1053">
        <v>0</v>
      </c>
      <c r="P36" s="1051">
        <v>0</v>
      </c>
      <c r="Q36" s="1051">
        <v>0</v>
      </c>
      <c r="R36" s="664">
        <v>0</v>
      </c>
      <c r="S36" s="1052">
        <v>0</v>
      </c>
      <c r="T36" s="1050">
        <v>0</v>
      </c>
      <c r="U36" s="1051">
        <v>0</v>
      </c>
      <c r="V36" s="1051">
        <v>0</v>
      </c>
      <c r="W36" s="666">
        <v>0</v>
      </c>
      <c r="X36" s="1052">
        <v>0</v>
      </c>
    </row>
    <row r="37" spans="1:24" s="660" customFormat="1" ht="10.5" thickBot="1">
      <c r="A37" s="1062" t="s">
        <v>240</v>
      </c>
      <c r="B37" s="1682" t="s">
        <v>241</v>
      </c>
      <c r="C37" s="1682"/>
      <c r="D37" s="1063" t="s">
        <v>242</v>
      </c>
      <c r="E37" s="1064">
        <v>0</v>
      </c>
      <c r="F37" s="1065">
        <v>0</v>
      </c>
      <c r="G37" s="1065">
        <v>0</v>
      </c>
      <c r="H37" s="1066">
        <v>0</v>
      </c>
      <c r="I37" s="1067">
        <v>0</v>
      </c>
      <c r="J37" s="1068">
        <v>0</v>
      </c>
      <c r="K37" s="1069">
        <v>0</v>
      </c>
      <c r="L37" s="1069">
        <v>0</v>
      </c>
      <c r="M37" s="1066">
        <v>0</v>
      </c>
      <c r="N37" s="1070">
        <v>0</v>
      </c>
      <c r="O37" s="1068">
        <v>0</v>
      </c>
      <c r="P37" s="1069">
        <v>0</v>
      </c>
      <c r="Q37" s="1069">
        <v>0</v>
      </c>
      <c r="R37" s="1066">
        <v>0</v>
      </c>
      <c r="S37" s="1070">
        <v>0</v>
      </c>
      <c r="T37" s="1068">
        <v>0</v>
      </c>
      <c r="U37" s="1069">
        <v>0</v>
      </c>
      <c r="V37" s="1069">
        <v>0</v>
      </c>
      <c r="W37" s="1071">
        <v>0</v>
      </c>
      <c r="X37" s="1070">
        <v>0</v>
      </c>
    </row>
  </sheetData>
  <mergeCells count="39">
    <mergeCell ref="B36:C36"/>
    <mergeCell ref="B37:C37"/>
    <mergeCell ref="B13:C13"/>
    <mergeCell ref="B15:C15"/>
    <mergeCell ref="B16:C16"/>
    <mergeCell ref="B18:C18"/>
    <mergeCell ref="B19:C19"/>
    <mergeCell ref="B34:C34"/>
    <mergeCell ref="B35:C35"/>
    <mergeCell ref="B20:C20"/>
    <mergeCell ref="B21:C21"/>
    <mergeCell ref="B22:C22"/>
    <mergeCell ref="B26:C26"/>
    <mergeCell ref="B7:C7"/>
    <mergeCell ref="B8:C8"/>
    <mergeCell ref="B11:C11"/>
    <mergeCell ref="E4:E5"/>
    <mergeCell ref="B12:C12"/>
    <mergeCell ref="J4:J5"/>
    <mergeCell ref="E3:I3"/>
    <mergeCell ref="O4:O5"/>
    <mergeCell ref="K4:M4"/>
    <mergeCell ref="B6:C6"/>
    <mergeCell ref="A1:X1"/>
    <mergeCell ref="B10:C10"/>
    <mergeCell ref="T4:T5"/>
    <mergeCell ref="U4:W4"/>
    <mergeCell ref="X4:X5"/>
    <mergeCell ref="T3:X3"/>
    <mergeCell ref="A3:A5"/>
    <mergeCell ref="B3:C5"/>
    <mergeCell ref="D3:D5"/>
    <mergeCell ref="P4:R4"/>
    <mergeCell ref="N4:N5"/>
    <mergeCell ref="O3:S3"/>
    <mergeCell ref="F4:H4"/>
    <mergeCell ref="S4:S5"/>
    <mergeCell ref="I4:I5"/>
    <mergeCell ref="J3:N3"/>
  </mergeCells>
  <pageMargins left="0.23622047244094491" right="0.23622047244094491" top="0.74803149606299213" bottom="0.74803149606299213" header="0.31496062992125984" footer="0.31496062992125984"/>
  <pageSetup paperSize="9" firstPageNumber="206" orientation="landscape" useFirstPageNumber="1"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zoomScaleNormal="100" workbookViewId="0">
      <selection activeCell="A9" sqref="A9:B9"/>
    </sheetView>
  </sheetViews>
  <sheetFormatPr defaultColWidth="16" defaultRowHeight="12.75"/>
  <cols>
    <col min="1" max="1" width="58" style="14" customWidth="1"/>
    <col min="2" max="2" width="33.5" style="14" customWidth="1"/>
    <col min="3" max="5" width="25.75" style="14" customWidth="1"/>
    <col min="6" max="6" width="22.75" style="14" customWidth="1"/>
    <col min="7" max="8" width="16" style="14"/>
    <col min="9" max="9" width="16.75" style="14" customWidth="1"/>
    <col min="10" max="16384" width="16" style="14"/>
  </cols>
  <sheetData>
    <row r="1" spans="1:9" s="277" customFormat="1" ht="18.75">
      <c r="A1" s="277" t="s">
        <v>73</v>
      </c>
      <c r="B1" s="1299" t="s">
        <v>1251</v>
      </c>
      <c r="C1" s="1299"/>
      <c r="D1" s="1299"/>
      <c r="E1" s="1299"/>
      <c r="F1" s="1299"/>
      <c r="G1" s="1299"/>
      <c r="H1" s="1299"/>
      <c r="I1" s="1299"/>
    </row>
    <row r="3" spans="1:9" s="281" customFormat="1" ht="10.5">
      <c r="A3" s="1189" t="s">
        <v>469</v>
      </c>
      <c r="B3" s="1189"/>
      <c r="C3" s="1189"/>
      <c r="D3" s="1189"/>
      <c r="E3" s="1189"/>
      <c r="F3" s="1189"/>
      <c r="G3" s="1189"/>
      <c r="H3" s="1189"/>
      <c r="I3" s="1189"/>
    </row>
    <row r="4" spans="1:9" s="2" customFormat="1" ht="11.25"/>
    <row r="5" spans="1:9" s="282" customFormat="1" ht="9.75">
      <c r="A5" s="1197" t="s">
        <v>74</v>
      </c>
      <c r="B5" s="1198"/>
      <c r="C5" s="271" t="s">
        <v>25</v>
      </c>
      <c r="D5" s="1193" t="s">
        <v>243</v>
      </c>
      <c r="E5" s="1193"/>
      <c r="F5" s="1193"/>
      <c r="G5" s="1193"/>
      <c r="H5" s="1193"/>
      <c r="I5" s="1193"/>
    </row>
    <row r="6" spans="1:9" s="2" customFormat="1" ht="15" customHeight="1">
      <c r="A6" s="1213" t="s">
        <v>414</v>
      </c>
      <c r="B6" s="1213"/>
      <c r="C6" s="365">
        <v>10521.17</v>
      </c>
      <c r="D6" s="1207"/>
      <c r="E6" s="1208"/>
      <c r="F6" s="1208"/>
      <c r="G6" s="1208"/>
      <c r="H6" s="1208"/>
      <c r="I6" s="1209"/>
    </row>
    <row r="7" spans="1:9" s="2" customFormat="1" ht="27" customHeight="1">
      <c r="A7" s="1199" t="s">
        <v>75</v>
      </c>
      <c r="B7" s="1200"/>
      <c r="C7" s="366">
        <v>10521.17</v>
      </c>
      <c r="D7" s="1302" t="s">
        <v>470</v>
      </c>
      <c r="E7" s="1303"/>
      <c r="F7" s="1303"/>
      <c r="G7" s="1303"/>
      <c r="H7" s="1303"/>
      <c r="I7" s="1304"/>
    </row>
    <row r="8" spans="1:9" s="281" customFormat="1" ht="27" customHeight="1">
      <c r="A8" s="1201" t="s">
        <v>76</v>
      </c>
      <c r="B8" s="1202"/>
      <c r="C8" s="367">
        <v>0</v>
      </c>
      <c r="D8" s="1205" t="s">
        <v>257</v>
      </c>
      <c r="E8" s="1290"/>
      <c r="F8" s="1290"/>
      <c r="G8" s="1290"/>
      <c r="H8" s="1290"/>
      <c r="I8" s="1291"/>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471</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0</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3521.17</v>
      </c>
      <c r="D16" s="24"/>
      <c r="E16" s="24"/>
      <c r="F16" s="24"/>
      <c r="G16" s="24"/>
      <c r="H16" s="24"/>
      <c r="I16" s="24"/>
    </row>
    <row r="17" spans="1:9" s="2" customFormat="1" ht="15" customHeight="1">
      <c r="A17" s="1192"/>
      <c r="B17" s="6" t="s">
        <v>82</v>
      </c>
      <c r="C17" s="67">
        <v>7000</v>
      </c>
      <c r="D17" s="25"/>
      <c r="E17" s="25"/>
      <c r="F17" s="25"/>
      <c r="G17" s="25"/>
      <c r="H17" s="25"/>
      <c r="I17" s="25"/>
    </row>
    <row r="18" spans="1:9" s="2" customFormat="1" ht="15" customHeight="1">
      <c r="A18" s="275" t="s">
        <v>414</v>
      </c>
      <c r="B18" s="7"/>
      <c r="C18" s="26">
        <f>SUM(C14:C17)</f>
        <v>10521.17</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27" customHeight="1">
      <c r="A23" s="68" t="s">
        <v>83</v>
      </c>
      <c r="B23" s="148">
        <v>86473.19</v>
      </c>
      <c r="C23" s="32">
        <v>10333.94</v>
      </c>
      <c r="D23" s="32">
        <v>12102.42</v>
      </c>
      <c r="E23" s="32">
        <f>B23+C23-D23</f>
        <v>84704.71</v>
      </c>
      <c r="F23" s="1287" t="s">
        <v>1252</v>
      </c>
      <c r="G23" s="1288"/>
      <c r="H23" s="1288"/>
      <c r="I23" s="1289"/>
    </row>
    <row r="24" spans="1:9" s="2" customFormat="1" ht="24" customHeight="1">
      <c r="A24" s="69" t="s">
        <v>82</v>
      </c>
      <c r="B24" s="148">
        <v>30000.73</v>
      </c>
      <c r="C24" s="368">
        <v>37000.269999999997</v>
      </c>
      <c r="D24" s="33">
        <v>33718</v>
      </c>
      <c r="E24" s="369">
        <f t="shared" ref="E24:E25" si="0">B24+C24-D24</f>
        <v>33283</v>
      </c>
      <c r="F24" s="1292" t="s">
        <v>473</v>
      </c>
      <c r="G24" s="1293"/>
      <c r="H24" s="1293"/>
      <c r="I24" s="1294"/>
    </row>
    <row r="25" spans="1:9" s="2" customFormat="1" ht="27" customHeight="1">
      <c r="A25" s="70" t="s">
        <v>85</v>
      </c>
      <c r="B25" s="148">
        <v>42104.84</v>
      </c>
      <c r="C25" s="370">
        <v>41416</v>
      </c>
      <c r="D25" s="370">
        <v>43357</v>
      </c>
      <c r="E25" s="369">
        <f t="shared" si="0"/>
        <v>40163.839999999997</v>
      </c>
      <c r="F25" s="1295" t="s">
        <v>476</v>
      </c>
      <c r="G25" s="1296"/>
      <c r="H25" s="1296"/>
      <c r="I25" s="1297"/>
    </row>
    <row r="26" spans="1:9" s="281" customFormat="1" ht="10.5">
      <c r="A26" s="3" t="s">
        <v>34</v>
      </c>
      <c r="B26" s="16">
        <f t="shared" ref="B26:E26" si="1">SUM(B23:B25)</f>
        <v>158578.76</v>
      </c>
      <c r="C26" s="16">
        <f t="shared" si="1"/>
        <v>88750.209999999992</v>
      </c>
      <c r="D26" s="16">
        <f t="shared" si="1"/>
        <v>89177.42</v>
      </c>
      <c r="E26" s="16">
        <f t="shared" si="1"/>
        <v>158151.54999999999</v>
      </c>
      <c r="F26" s="1214"/>
      <c r="G26" s="1214"/>
      <c r="H26" s="1214"/>
      <c r="I26" s="1214"/>
    </row>
    <row r="27" spans="1:9" s="2" customFormat="1" ht="13.15" customHeight="1">
      <c r="C27" s="19"/>
    </row>
    <row r="28" spans="1:9" s="2" customFormat="1" ht="11.25">
      <c r="A28" s="1189" t="s">
        <v>430</v>
      </c>
      <c r="B28" s="1189"/>
      <c r="C28" s="1189"/>
      <c r="D28" s="1189"/>
      <c r="E28" s="1189"/>
      <c r="F28" s="1189"/>
      <c r="G28" s="1189"/>
      <c r="H28" s="1189"/>
      <c r="I28" s="1189"/>
    </row>
    <row r="29" spans="1:9" s="2" customFormat="1" ht="11.25">
      <c r="C29" s="19"/>
    </row>
    <row r="30" spans="1:9" s="2" customFormat="1" ht="11.25">
      <c r="A30" s="271" t="s">
        <v>86</v>
      </c>
      <c r="B30" s="271" t="s">
        <v>25</v>
      </c>
      <c r="C30" s="270" t="s">
        <v>87</v>
      </c>
      <c r="D30" s="1193" t="s">
        <v>88</v>
      </c>
      <c r="E30" s="1193"/>
      <c r="F30" s="1193"/>
      <c r="G30" s="1193"/>
      <c r="H30" s="1193"/>
      <c r="I30" s="1193"/>
    </row>
    <row r="31" spans="1:9" s="2" customFormat="1" ht="25.15" customHeight="1">
      <c r="A31" s="371" t="s">
        <v>101</v>
      </c>
      <c r="B31" s="32">
        <v>0</v>
      </c>
      <c r="C31" s="372"/>
      <c r="D31" s="1215"/>
      <c r="E31" s="1216"/>
      <c r="F31" s="1216"/>
      <c r="G31" s="1216"/>
      <c r="H31" s="1216"/>
      <c r="I31" s="1217"/>
    </row>
    <row r="32" spans="1:9" s="281" customFormat="1" ht="11.25">
      <c r="A32" s="3" t="s">
        <v>34</v>
      </c>
      <c r="B32" s="16">
        <f>SUM(B31:B31)</f>
        <v>0</v>
      </c>
      <c r="C32" s="1300"/>
      <c r="D32" s="1300"/>
      <c r="E32" s="1300"/>
      <c r="F32" s="1300"/>
      <c r="G32" s="1300"/>
      <c r="H32" s="1300"/>
      <c r="I32" s="1301"/>
    </row>
    <row r="33" spans="1:9" s="2" customFormat="1" ht="11.25">
      <c r="C33" s="19"/>
    </row>
    <row r="34" spans="1:9" s="2" customFormat="1" ht="11.25">
      <c r="A34" s="1189" t="s">
        <v>431</v>
      </c>
      <c r="B34" s="1189"/>
      <c r="C34" s="1189"/>
      <c r="D34" s="1189"/>
      <c r="E34" s="1189"/>
      <c r="F34" s="1189"/>
      <c r="G34" s="1189"/>
      <c r="H34" s="1189"/>
      <c r="I34" s="1189"/>
    </row>
    <row r="35" spans="1:9" s="2" customFormat="1" ht="11.25">
      <c r="C35" s="19"/>
    </row>
    <row r="36" spans="1:9" s="2" customFormat="1" ht="11.25">
      <c r="A36" s="271" t="s">
        <v>86</v>
      </c>
      <c r="B36" s="271" t="s">
        <v>25</v>
      </c>
      <c r="C36" s="270" t="s">
        <v>87</v>
      </c>
      <c r="D36" s="1193" t="s">
        <v>88</v>
      </c>
      <c r="E36" s="1193"/>
      <c r="F36" s="1193"/>
      <c r="G36" s="1193"/>
      <c r="H36" s="1193"/>
      <c r="I36" s="1193"/>
    </row>
    <row r="37" spans="1:9" s="2" customFormat="1" ht="25.15" customHeight="1">
      <c r="A37" s="371" t="s">
        <v>102</v>
      </c>
      <c r="B37" s="32">
        <v>0</v>
      </c>
      <c r="C37" s="372"/>
      <c r="D37" s="1218"/>
      <c r="E37" s="1219"/>
      <c r="F37" s="1219"/>
      <c r="G37" s="1219"/>
      <c r="H37" s="1219"/>
      <c r="I37" s="1220"/>
    </row>
    <row r="38" spans="1:9" s="281" customFormat="1" ht="10.5">
      <c r="A38" s="3" t="s">
        <v>34</v>
      </c>
      <c r="B38" s="16">
        <f>SUM(B37:B37)</f>
        <v>0</v>
      </c>
      <c r="C38" s="1236"/>
      <c r="D38" s="1236"/>
      <c r="E38" s="1236"/>
      <c r="F38" s="1236"/>
      <c r="G38" s="1236"/>
      <c r="H38" s="1236"/>
      <c r="I38" s="1236"/>
    </row>
    <row r="39" spans="1:9" s="2" customFormat="1" ht="11.25">
      <c r="C39" s="19"/>
    </row>
    <row r="40" spans="1:9" s="2" customFormat="1" ht="11.25">
      <c r="A40" s="1189" t="s">
        <v>432</v>
      </c>
      <c r="B40" s="1189"/>
      <c r="C40" s="1189"/>
      <c r="D40" s="1189"/>
      <c r="E40" s="1189"/>
      <c r="F40" s="1189"/>
      <c r="G40" s="1189"/>
      <c r="H40" s="1189"/>
      <c r="I40" s="1189"/>
    </row>
    <row r="41" spans="1:9" s="2" customFormat="1" ht="11.25">
      <c r="C41" s="19"/>
    </row>
    <row r="42" spans="1:9" s="2" customFormat="1" ht="11.25">
      <c r="A42" s="271" t="s">
        <v>25</v>
      </c>
      <c r="B42" s="270" t="s">
        <v>433</v>
      </c>
      <c r="C42" s="1238" t="s">
        <v>89</v>
      </c>
      <c r="D42" s="1238"/>
      <c r="E42" s="1238"/>
      <c r="F42" s="1238"/>
      <c r="G42" s="1238"/>
      <c r="H42" s="1238"/>
      <c r="I42" s="1238"/>
    </row>
    <row r="43" spans="1:9" s="2" customFormat="1" ht="11.25">
      <c r="A43" s="87">
        <v>0</v>
      </c>
      <c r="B43" s="36">
        <v>0</v>
      </c>
      <c r="C43" s="1239" t="s">
        <v>477</v>
      </c>
      <c r="D43" s="1239"/>
      <c r="E43" s="1239"/>
      <c r="F43" s="1239"/>
      <c r="G43" s="1239"/>
      <c r="H43" s="1239"/>
      <c r="I43" s="1240"/>
    </row>
    <row r="44" spans="1:9" s="281" customFormat="1" ht="10.5">
      <c r="A44" s="16">
        <f>A43</f>
        <v>0</v>
      </c>
      <c r="B44" s="16">
        <f>B43</f>
        <v>0</v>
      </c>
      <c r="C44" s="1233" t="s">
        <v>34</v>
      </c>
      <c r="D44" s="1233"/>
      <c r="E44" s="1233"/>
      <c r="F44" s="1233"/>
      <c r="G44" s="1233"/>
      <c r="H44" s="1233"/>
      <c r="I44" s="1233"/>
    </row>
    <row r="45" spans="1:9" s="2" customFormat="1" ht="11.25">
      <c r="C45" s="19"/>
    </row>
    <row r="46" spans="1:9" s="2" customFormat="1" ht="11.25">
      <c r="A46" s="1189" t="s">
        <v>434</v>
      </c>
      <c r="B46" s="1189"/>
      <c r="C46" s="1189"/>
      <c r="D46" s="1189"/>
      <c r="E46" s="1189"/>
      <c r="F46" s="1189"/>
      <c r="G46" s="1189"/>
      <c r="H46" s="1189"/>
      <c r="I46" s="1189"/>
    </row>
    <row r="47" spans="1:9" s="2" customFormat="1" ht="11.25">
      <c r="C47" s="19"/>
    </row>
    <row r="48" spans="1:9" s="10" customFormat="1" ht="34.15" customHeight="1">
      <c r="A48" s="1234" t="s">
        <v>259</v>
      </c>
      <c r="B48" s="1235"/>
      <c r="C48" s="56" t="s">
        <v>179</v>
      </c>
      <c r="D48" s="56" t="s">
        <v>118</v>
      </c>
      <c r="E48" s="56" t="s">
        <v>119</v>
      </c>
      <c r="F48" s="56" t="s">
        <v>244</v>
      </c>
      <c r="G48" s="56" t="s">
        <v>180</v>
      </c>
    </row>
    <row r="49" spans="1:7" s="2" customFormat="1" ht="10.15" customHeight="1">
      <c r="A49" s="1283" t="s">
        <v>1253</v>
      </c>
      <c r="B49" s="1283"/>
      <c r="C49" s="373" t="s">
        <v>296</v>
      </c>
      <c r="D49" s="374">
        <v>0</v>
      </c>
      <c r="E49" s="374">
        <v>-15000</v>
      </c>
      <c r="F49" s="375" t="s">
        <v>1254</v>
      </c>
      <c r="G49" s="376" t="s">
        <v>1254</v>
      </c>
    </row>
    <row r="50" spans="1:7" s="2" customFormat="1" ht="10.15" customHeight="1">
      <c r="A50" s="1283" t="s">
        <v>1255</v>
      </c>
      <c r="B50" s="1283"/>
      <c r="C50" s="373" t="s">
        <v>225</v>
      </c>
      <c r="D50" s="374">
        <v>0</v>
      </c>
      <c r="E50" s="374">
        <v>15000</v>
      </c>
      <c r="F50" s="375" t="s">
        <v>1254</v>
      </c>
      <c r="G50" s="376" t="s">
        <v>1254</v>
      </c>
    </row>
    <row r="51" spans="1:7" s="2" customFormat="1" ht="10.15" customHeight="1">
      <c r="A51" s="1283" t="s">
        <v>1256</v>
      </c>
      <c r="B51" s="1283"/>
      <c r="C51" s="373" t="s">
        <v>1257</v>
      </c>
      <c r="D51" s="374">
        <v>0</v>
      </c>
      <c r="E51" s="374">
        <v>68970</v>
      </c>
      <c r="F51" s="375" t="s">
        <v>1258</v>
      </c>
      <c r="G51" s="376" t="s">
        <v>1258</v>
      </c>
    </row>
    <row r="52" spans="1:7" s="2" customFormat="1" ht="10.15" customHeight="1">
      <c r="A52" s="1283" t="s">
        <v>1259</v>
      </c>
      <c r="B52" s="1283"/>
      <c r="C52" s="373" t="s">
        <v>272</v>
      </c>
      <c r="D52" s="374">
        <v>0</v>
      </c>
      <c r="E52" s="374">
        <v>23313</v>
      </c>
      <c r="F52" s="375" t="s">
        <v>1258</v>
      </c>
      <c r="G52" s="376" t="s">
        <v>1258</v>
      </c>
    </row>
    <row r="53" spans="1:7" s="2" customFormat="1" ht="10.15" customHeight="1">
      <c r="A53" s="1283" t="s">
        <v>1260</v>
      </c>
      <c r="B53" s="1283"/>
      <c r="C53" s="373" t="s">
        <v>1261</v>
      </c>
      <c r="D53" s="374">
        <v>0</v>
      </c>
      <c r="E53" s="374">
        <v>295</v>
      </c>
      <c r="F53" s="375" t="s">
        <v>1258</v>
      </c>
      <c r="G53" s="376" t="s">
        <v>1258</v>
      </c>
    </row>
    <row r="54" spans="1:7" s="2" customFormat="1" ht="10.15" customHeight="1">
      <c r="A54" s="1283" t="s">
        <v>1262</v>
      </c>
      <c r="B54" s="1283"/>
      <c r="C54" s="373" t="s">
        <v>230</v>
      </c>
      <c r="D54" s="374">
        <v>0</v>
      </c>
      <c r="E54" s="374">
        <v>4220</v>
      </c>
      <c r="F54" s="375" t="s">
        <v>1258</v>
      </c>
      <c r="G54" s="376" t="s">
        <v>1258</v>
      </c>
    </row>
    <row r="55" spans="1:7" s="2" customFormat="1" ht="10.15" customHeight="1">
      <c r="A55" s="1283" t="s">
        <v>1256</v>
      </c>
      <c r="B55" s="1283"/>
      <c r="C55" s="373" t="s">
        <v>260</v>
      </c>
      <c r="D55" s="374">
        <v>96798</v>
      </c>
      <c r="E55" s="374">
        <v>0</v>
      </c>
      <c r="F55" s="375" t="s">
        <v>1258</v>
      </c>
      <c r="G55" s="376" t="s">
        <v>1258</v>
      </c>
    </row>
    <row r="56" spans="1:7" s="2" customFormat="1" ht="10.15" customHeight="1">
      <c r="A56" s="1283" t="s">
        <v>1253</v>
      </c>
      <c r="B56" s="1283"/>
      <c r="C56" s="373" t="s">
        <v>296</v>
      </c>
      <c r="D56" s="374">
        <v>0</v>
      </c>
      <c r="E56" s="374">
        <v>-35000</v>
      </c>
      <c r="F56" s="375" t="s">
        <v>1263</v>
      </c>
      <c r="G56" s="376" t="s">
        <v>1263</v>
      </c>
    </row>
    <row r="57" spans="1:7" s="2" customFormat="1" ht="10.15" customHeight="1">
      <c r="A57" s="1283" t="s">
        <v>1264</v>
      </c>
      <c r="B57" s="1283"/>
      <c r="C57" s="373" t="s">
        <v>1265</v>
      </c>
      <c r="D57" s="374">
        <v>0</v>
      </c>
      <c r="E57" s="374">
        <v>35000</v>
      </c>
      <c r="F57" s="375" t="s">
        <v>1263</v>
      </c>
      <c r="G57" s="376" t="s">
        <v>1263</v>
      </c>
    </row>
    <row r="58" spans="1:7" s="2" customFormat="1" ht="10.15" customHeight="1">
      <c r="A58" s="1283" t="s">
        <v>1266</v>
      </c>
      <c r="B58" s="1283"/>
      <c r="C58" s="373" t="s">
        <v>260</v>
      </c>
      <c r="D58" s="374">
        <v>37253</v>
      </c>
      <c r="E58" s="374">
        <v>0</v>
      </c>
      <c r="F58" s="375" t="s">
        <v>1267</v>
      </c>
      <c r="G58" s="376" t="s">
        <v>1267</v>
      </c>
    </row>
    <row r="59" spans="1:7" s="2" customFormat="1" ht="10.15" customHeight="1">
      <c r="A59" s="1283" t="s">
        <v>1268</v>
      </c>
      <c r="B59" s="1283"/>
      <c r="C59" s="373" t="s">
        <v>225</v>
      </c>
      <c r="D59" s="374">
        <v>0</v>
      </c>
      <c r="E59" s="374">
        <v>37253</v>
      </c>
      <c r="F59" s="375" t="s">
        <v>1267</v>
      </c>
      <c r="G59" s="376" t="s">
        <v>1267</v>
      </c>
    </row>
    <row r="60" spans="1:7" s="2" customFormat="1" ht="10.15" customHeight="1">
      <c r="A60" s="1283" t="s">
        <v>1269</v>
      </c>
      <c r="B60" s="1283"/>
      <c r="C60" s="373" t="s">
        <v>272</v>
      </c>
      <c r="D60" s="374">
        <v>0</v>
      </c>
      <c r="E60" s="374">
        <v>11323</v>
      </c>
      <c r="F60" s="375" t="s">
        <v>1270</v>
      </c>
      <c r="G60" s="376" t="s">
        <v>1270</v>
      </c>
    </row>
    <row r="61" spans="1:7" s="2" customFormat="1" ht="10.15" customHeight="1">
      <c r="A61" s="1283" t="s">
        <v>1271</v>
      </c>
      <c r="B61" s="1283"/>
      <c r="C61" s="373" t="s">
        <v>1261</v>
      </c>
      <c r="D61" s="374">
        <v>0</v>
      </c>
      <c r="E61" s="374">
        <v>141</v>
      </c>
      <c r="F61" s="375" t="s">
        <v>1270</v>
      </c>
      <c r="G61" s="376" t="s">
        <v>1270</v>
      </c>
    </row>
    <row r="62" spans="1:7" s="2" customFormat="1" ht="10.15" customHeight="1">
      <c r="A62" s="1283" t="s">
        <v>1272</v>
      </c>
      <c r="B62" s="1283"/>
      <c r="C62" s="377">
        <v>518</v>
      </c>
      <c r="D62" s="379">
        <v>0</v>
      </c>
      <c r="E62" s="379">
        <v>-11464</v>
      </c>
      <c r="F62" s="375" t="s">
        <v>1270</v>
      </c>
      <c r="G62" s="376" t="s">
        <v>1270</v>
      </c>
    </row>
    <row r="63" spans="1:7" s="2" customFormat="1" ht="10.15" customHeight="1">
      <c r="A63" s="1283" t="s">
        <v>1273</v>
      </c>
      <c r="B63" s="1283"/>
      <c r="C63" s="373" t="s">
        <v>300</v>
      </c>
      <c r="D63" s="380">
        <v>33718</v>
      </c>
      <c r="E63" s="380">
        <v>0</v>
      </c>
      <c r="F63" s="375" t="s">
        <v>505</v>
      </c>
      <c r="G63" s="376" t="s">
        <v>505</v>
      </c>
    </row>
    <row r="64" spans="1:7" s="2" customFormat="1" ht="10.15" customHeight="1">
      <c r="A64" s="1286" t="s">
        <v>1274</v>
      </c>
      <c r="B64" s="1286"/>
      <c r="C64" s="378" t="s">
        <v>1257</v>
      </c>
      <c r="D64" s="381">
        <v>0</v>
      </c>
      <c r="E64" s="381">
        <v>33718</v>
      </c>
      <c r="F64" s="375" t="s">
        <v>505</v>
      </c>
      <c r="G64" s="376" t="s">
        <v>505</v>
      </c>
    </row>
    <row r="65" spans="1:9" s="2" customFormat="1" ht="10.15" customHeight="1">
      <c r="A65" s="1283" t="s">
        <v>1275</v>
      </c>
      <c r="B65" s="1283"/>
      <c r="C65" s="373" t="s">
        <v>227</v>
      </c>
      <c r="D65" s="380">
        <v>12102.42</v>
      </c>
      <c r="E65" s="380">
        <v>0</v>
      </c>
      <c r="F65" s="375" t="s">
        <v>505</v>
      </c>
      <c r="G65" s="376" t="s">
        <v>505</v>
      </c>
    </row>
    <row r="66" spans="1:9" s="2" customFormat="1" ht="10.15" customHeight="1">
      <c r="A66" s="1283" t="s">
        <v>1276</v>
      </c>
      <c r="B66" s="1283"/>
      <c r="C66" s="373" t="s">
        <v>225</v>
      </c>
      <c r="D66" s="380">
        <v>0</v>
      </c>
      <c r="E66" s="380">
        <v>12102.42</v>
      </c>
      <c r="F66" s="375" t="s">
        <v>505</v>
      </c>
      <c r="G66" s="376" t="s">
        <v>505</v>
      </c>
    </row>
    <row r="67" spans="1:9" s="2" customFormat="1" ht="10.15" customHeight="1">
      <c r="A67" s="1305" t="s">
        <v>1277</v>
      </c>
      <c r="B67" s="1306"/>
      <c r="C67" s="378">
        <v>501</v>
      </c>
      <c r="D67" s="381">
        <v>0</v>
      </c>
      <c r="E67" s="381">
        <v>16300</v>
      </c>
      <c r="F67" s="375" t="s">
        <v>505</v>
      </c>
      <c r="G67" s="376" t="s">
        <v>505</v>
      </c>
    </row>
    <row r="68" spans="1:9" s="2" customFormat="1" ht="10.15" customHeight="1">
      <c r="A68" s="1281" t="s">
        <v>1278</v>
      </c>
      <c r="B68" s="1282"/>
      <c r="C68" s="378" t="s">
        <v>1279</v>
      </c>
      <c r="D68" s="381">
        <v>0</v>
      </c>
      <c r="E68" s="381">
        <v>500</v>
      </c>
      <c r="F68" s="375" t="s">
        <v>505</v>
      </c>
      <c r="G68" s="376" t="s">
        <v>505</v>
      </c>
    </row>
    <row r="69" spans="1:9" s="2" customFormat="1" ht="10.15" customHeight="1">
      <c r="A69" s="1283" t="s">
        <v>1280</v>
      </c>
      <c r="B69" s="1283"/>
      <c r="C69" s="378" t="s">
        <v>1281</v>
      </c>
      <c r="D69" s="381">
        <v>0</v>
      </c>
      <c r="E69" s="381">
        <v>3500</v>
      </c>
      <c r="F69" s="375" t="s">
        <v>505</v>
      </c>
      <c r="G69" s="376" t="s">
        <v>505</v>
      </c>
    </row>
    <row r="70" spans="1:9" s="2" customFormat="1" ht="10.15" customHeight="1">
      <c r="A70" s="1283" t="s">
        <v>1282</v>
      </c>
      <c r="B70" s="1283"/>
      <c r="C70" s="378" t="s">
        <v>225</v>
      </c>
      <c r="D70" s="381">
        <v>0</v>
      </c>
      <c r="E70" s="381">
        <v>36000</v>
      </c>
      <c r="F70" s="375" t="s">
        <v>505</v>
      </c>
      <c r="G70" s="376" t="s">
        <v>505</v>
      </c>
    </row>
    <row r="71" spans="1:9" s="2" customFormat="1" ht="10.15" customHeight="1">
      <c r="A71" s="1683" t="s">
        <v>1283</v>
      </c>
      <c r="B71" s="1683"/>
      <c r="C71" s="395" t="s">
        <v>405</v>
      </c>
      <c r="D71" s="396">
        <v>0</v>
      </c>
      <c r="E71" s="396">
        <v>-56300</v>
      </c>
      <c r="F71" s="395" t="s">
        <v>505</v>
      </c>
      <c r="G71" s="397" t="s">
        <v>505</v>
      </c>
    </row>
    <row r="72" spans="1:9" s="2" customFormat="1" ht="10.15" customHeight="1">
      <c r="A72" s="1254" t="s">
        <v>176</v>
      </c>
      <c r="B72" s="1255"/>
      <c r="C72" s="92"/>
      <c r="D72" s="93">
        <f>SUM(D49:D71)</f>
        <v>179871.42</v>
      </c>
      <c r="E72" s="93">
        <f>SUM(E49:E71)</f>
        <v>179871.42</v>
      </c>
      <c r="F72" s="1256"/>
      <c r="G72" s="1257"/>
    </row>
    <row r="73" spans="1:9" s="2" customFormat="1" ht="18" customHeight="1">
      <c r="A73" s="76"/>
      <c r="B73" s="76"/>
      <c r="C73" s="37"/>
      <c r="D73" s="37"/>
      <c r="E73" s="38"/>
    </row>
    <row r="74" spans="1:9" s="2" customFormat="1" ht="11.25">
      <c r="A74" s="1261" t="s">
        <v>459</v>
      </c>
      <c r="B74" s="1261"/>
      <c r="C74" s="1261"/>
      <c r="D74" s="1261"/>
      <c r="E74" s="1261"/>
      <c r="F74" s="1261"/>
      <c r="G74" s="1261"/>
      <c r="H74" s="1261"/>
      <c r="I74" s="1261"/>
    </row>
    <row r="75" spans="1:9" s="2" customFormat="1" ht="11.25">
      <c r="A75" s="2" t="s">
        <v>90</v>
      </c>
    </row>
    <row r="76" spans="1:9" s="2" customFormat="1" ht="11.25">
      <c r="A76" s="1258" t="s">
        <v>516</v>
      </c>
      <c r="B76" s="1259"/>
      <c r="C76" s="1259"/>
      <c r="D76" s="1259"/>
      <c r="E76" s="1259"/>
      <c r="F76" s="1259"/>
      <c r="G76" s="1259"/>
      <c r="H76" s="1259"/>
      <c r="I76" s="1260"/>
    </row>
    <row r="77" spans="1:9" s="2" customFormat="1" ht="11.25">
      <c r="A77" s="1258"/>
      <c r="B77" s="1259"/>
      <c r="C77" s="1259"/>
      <c r="D77" s="1259"/>
      <c r="E77" s="1259"/>
      <c r="F77" s="1259"/>
      <c r="G77" s="1259"/>
      <c r="H77" s="1259"/>
      <c r="I77" s="1260"/>
    </row>
    <row r="78" spans="1:9" s="2" customFormat="1" ht="0.75" customHeight="1">
      <c r="A78" s="1258"/>
      <c r="B78" s="1259"/>
      <c r="C78" s="1259"/>
      <c r="D78" s="1259"/>
      <c r="E78" s="1259"/>
      <c r="F78" s="1259"/>
      <c r="G78" s="1259"/>
      <c r="H78" s="1259"/>
      <c r="I78" s="1260"/>
    </row>
    <row r="79" spans="1:9" s="2" customFormat="1" ht="11.25" hidden="1"/>
    <row r="80" spans="1:9" s="281" customFormat="1" ht="10.5">
      <c r="A80" s="1189" t="s">
        <v>517</v>
      </c>
      <c r="B80" s="1189"/>
      <c r="C80" s="1189"/>
      <c r="D80" s="1189"/>
      <c r="E80" s="1189"/>
      <c r="F80" s="1189"/>
      <c r="G80" s="1189"/>
      <c r="H80" s="1189"/>
      <c r="I80" s="1189"/>
    </row>
    <row r="81" spans="1:9" s="2" customFormat="1" ht="11.25">
      <c r="A81" s="2" t="s">
        <v>90</v>
      </c>
    </row>
    <row r="82" spans="1:9" s="2" customFormat="1" ht="38.450000000000003" customHeight="1">
      <c r="A82" s="1258" t="s">
        <v>1284</v>
      </c>
      <c r="B82" s="1259"/>
      <c r="C82" s="1259"/>
      <c r="D82" s="1259"/>
      <c r="E82" s="1259"/>
      <c r="F82" s="1259"/>
      <c r="G82" s="1259"/>
      <c r="H82" s="1259"/>
      <c r="I82" s="1260"/>
    </row>
    <row r="83" spans="1:9" s="2" customFormat="1" ht="16.149999999999999" customHeight="1">
      <c r="A83" s="1307"/>
      <c r="B83" s="1307"/>
      <c r="C83" s="1307"/>
      <c r="D83" s="1307"/>
      <c r="E83" s="1307"/>
      <c r="F83" s="1307"/>
      <c r="G83" s="1307"/>
      <c r="H83" s="1307"/>
      <c r="I83" s="1307"/>
    </row>
    <row r="84" spans="1:9" s="2" customFormat="1" ht="16.149999999999999" customHeight="1">
      <c r="A84" s="76"/>
      <c r="B84" s="76"/>
      <c r="C84" s="76"/>
      <c r="D84" s="76"/>
      <c r="E84" s="76"/>
      <c r="F84" s="76"/>
      <c r="G84" s="76"/>
      <c r="H84" s="76"/>
      <c r="I84" s="76"/>
    </row>
    <row r="85" spans="1:9">
      <c r="A85" s="2" t="s">
        <v>273</v>
      </c>
    </row>
    <row r="86" spans="1:9">
      <c r="A86" s="2" t="s">
        <v>1285</v>
      </c>
    </row>
    <row r="87" spans="1:9">
      <c r="A87" s="2"/>
    </row>
    <row r="88" spans="1:9">
      <c r="A88" s="20" t="s">
        <v>1286</v>
      </c>
    </row>
  </sheetData>
  <mergeCells count="66">
    <mergeCell ref="F72:G72"/>
    <mergeCell ref="A74:I74"/>
    <mergeCell ref="A77:I77"/>
    <mergeCell ref="A83:I83"/>
    <mergeCell ref="D36:I36"/>
    <mergeCell ref="C38:I38"/>
    <mergeCell ref="A40:I40"/>
    <mergeCell ref="C42:I42"/>
    <mergeCell ref="A46:I46"/>
    <mergeCell ref="A76:I76"/>
    <mergeCell ref="A78:I78"/>
    <mergeCell ref="A80:I80"/>
    <mergeCell ref="A82:I82"/>
    <mergeCell ref="A64:B64"/>
    <mergeCell ref="A65:B65"/>
    <mergeCell ref="A66:B66"/>
    <mergeCell ref="B1:I1"/>
    <mergeCell ref="A28:I28"/>
    <mergeCell ref="D30:I30"/>
    <mergeCell ref="C32:I32"/>
    <mergeCell ref="A34:I34"/>
    <mergeCell ref="A15:A17"/>
    <mergeCell ref="A3:I3"/>
    <mergeCell ref="A5:B5"/>
    <mergeCell ref="D5:I5"/>
    <mergeCell ref="A6:B6"/>
    <mergeCell ref="D6:I6"/>
    <mergeCell ref="A7:B7"/>
    <mergeCell ref="D7:I7"/>
    <mergeCell ref="A8:B8"/>
    <mergeCell ref="D8:I8"/>
    <mergeCell ref="A9:B9"/>
    <mergeCell ref="A72:B72"/>
    <mergeCell ref="A63:B63"/>
    <mergeCell ref="A55:B55"/>
    <mergeCell ref="A56:B56"/>
    <mergeCell ref="A57:B57"/>
    <mergeCell ref="A58:B58"/>
    <mergeCell ref="A59:B59"/>
    <mergeCell ref="A60:B60"/>
    <mergeCell ref="A61:B61"/>
    <mergeCell ref="A62:B62"/>
    <mergeCell ref="A67:B67"/>
    <mergeCell ref="A68:B68"/>
    <mergeCell ref="A69:B69"/>
    <mergeCell ref="A70:B70"/>
    <mergeCell ref="A71:B71"/>
    <mergeCell ref="A51:B51"/>
    <mergeCell ref="A52:B52"/>
    <mergeCell ref="A53:B53"/>
    <mergeCell ref="A54:B54"/>
    <mergeCell ref="C43:I43"/>
    <mergeCell ref="C44:I44"/>
    <mergeCell ref="A49:B49"/>
    <mergeCell ref="A50:B50"/>
    <mergeCell ref="A48:B48"/>
    <mergeCell ref="D9:I9"/>
    <mergeCell ref="A11:I11"/>
    <mergeCell ref="D37:I37"/>
    <mergeCell ref="A20:I20"/>
    <mergeCell ref="F22:I22"/>
    <mergeCell ref="F23:I23"/>
    <mergeCell ref="F24:I24"/>
    <mergeCell ref="F25:I25"/>
    <mergeCell ref="F26:I26"/>
    <mergeCell ref="D31:I31"/>
  </mergeCells>
  <pageMargins left="0.23622047244094491" right="0.23622047244094491" top="0.74803149606299213" bottom="0.74803149606299213" header="0.31496062992125984" footer="0.31496062992125984"/>
  <pageSetup paperSize="9" firstPageNumber="207" fitToHeight="5" orientation="landscape" useFirstPageNumber="1"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H17" sqref="H17"/>
    </sheetView>
  </sheetViews>
  <sheetFormatPr defaultColWidth="6.5" defaultRowHeight="8.25"/>
  <cols>
    <col min="1" max="1" width="5.5" style="649" customWidth="1"/>
    <col min="2" max="2" width="6.5" style="648" customWidth="1"/>
    <col min="3" max="3" width="45.5" style="648" customWidth="1"/>
    <col min="4" max="4" width="9.5" style="648" customWidth="1"/>
    <col min="5" max="5" width="11" style="648" customWidth="1"/>
    <col min="6" max="6" width="11.75" style="648" customWidth="1"/>
    <col min="7" max="7" width="11" style="648" customWidth="1"/>
    <col min="8" max="8" width="8.75" style="648" customWidth="1"/>
    <col min="9" max="10" width="11" style="648" customWidth="1"/>
    <col min="11" max="11" width="11.5" style="648" customWidth="1"/>
    <col min="12" max="12" width="11" style="648" customWidth="1"/>
    <col min="13" max="13" width="8.75" style="648" customWidth="1"/>
    <col min="14" max="15" width="11" style="648" customWidth="1"/>
    <col min="16" max="16" width="11.5" style="648" customWidth="1"/>
    <col min="17" max="17" width="11" style="648" customWidth="1"/>
    <col min="18" max="18" width="8.75" style="648" customWidth="1"/>
    <col min="19" max="20" width="11" style="648" customWidth="1"/>
    <col min="21" max="21" width="11.5" style="648" customWidth="1"/>
    <col min="22" max="22" width="11" style="648" customWidth="1"/>
    <col min="23" max="23" width="8.75" style="648" customWidth="1"/>
    <col min="24" max="24" width="11" style="648" customWidth="1"/>
    <col min="25" max="16384" width="6.5" style="648"/>
  </cols>
  <sheetData>
    <row r="1" spans="1:24" s="650" customFormat="1" ht="15.75">
      <c r="A1" s="1684" t="s">
        <v>181</v>
      </c>
      <c r="B1" s="1684"/>
      <c r="C1" s="1684"/>
      <c r="D1" s="1684"/>
      <c r="E1" s="1684"/>
      <c r="F1" s="1684"/>
      <c r="G1" s="1684"/>
      <c r="H1" s="1684"/>
      <c r="I1" s="1684"/>
      <c r="J1" s="1684"/>
      <c r="K1" s="1684"/>
      <c r="L1" s="1684"/>
      <c r="M1" s="1684"/>
      <c r="N1" s="1684"/>
      <c r="O1" s="1684"/>
      <c r="P1" s="1684"/>
      <c r="Q1" s="1684"/>
      <c r="R1" s="1684"/>
      <c r="S1" s="1684"/>
      <c r="T1" s="1684"/>
      <c r="U1" s="1684"/>
      <c r="V1" s="1684"/>
      <c r="W1" s="1684"/>
      <c r="X1" s="1684"/>
    </row>
    <row r="2" spans="1:24" ht="9" thickBot="1"/>
    <row r="3" spans="1:24" s="651"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652"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653" customFormat="1" ht="10.5" thickBot="1">
      <c r="A5" s="1163"/>
      <c r="B5" s="1167"/>
      <c r="C5" s="1167"/>
      <c r="D5" s="1182"/>
      <c r="E5" s="1176"/>
      <c r="F5" s="246" t="s">
        <v>97</v>
      </c>
      <c r="G5" s="246" t="s">
        <v>35</v>
      </c>
      <c r="H5" s="246" t="s">
        <v>236</v>
      </c>
      <c r="I5" s="1179"/>
      <c r="J5" s="1176"/>
      <c r="K5" s="246" t="s">
        <v>97</v>
      </c>
      <c r="L5" s="246" t="s">
        <v>35</v>
      </c>
      <c r="M5" s="246" t="s">
        <v>236</v>
      </c>
      <c r="N5" s="1179"/>
      <c r="O5" s="1176"/>
      <c r="P5" s="246" t="s">
        <v>97</v>
      </c>
      <c r="Q5" s="246" t="s">
        <v>35</v>
      </c>
      <c r="R5" s="246" t="s">
        <v>236</v>
      </c>
      <c r="S5" s="1179"/>
      <c r="T5" s="1176"/>
      <c r="U5" s="246" t="s">
        <v>97</v>
      </c>
      <c r="V5" s="246" t="s">
        <v>35</v>
      </c>
      <c r="W5" s="246" t="s">
        <v>236</v>
      </c>
      <c r="X5" s="1179"/>
    </row>
    <row r="6" spans="1:24" s="651" customFormat="1" ht="9.75" customHeight="1">
      <c r="A6" s="247" t="s">
        <v>0</v>
      </c>
      <c r="B6" s="1172" t="s">
        <v>1</v>
      </c>
      <c r="C6" s="1172"/>
      <c r="D6" s="248" t="s">
        <v>25</v>
      </c>
      <c r="E6" s="249">
        <f>SUM(E7:E9)</f>
        <v>9501000</v>
      </c>
      <c r="F6" s="250">
        <f>SUM(F7:F9)</f>
        <v>9056842</v>
      </c>
      <c r="G6" s="250">
        <f>SUM(G7:G9)</f>
        <v>8966069.3399999999</v>
      </c>
      <c r="H6" s="251">
        <f t="shared" ref="H6:H29" si="0">G6/F6*100</f>
        <v>98.997744909318271</v>
      </c>
      <c r="I6" s="252">
        <f>SUM(I7:I9)</f>
        <v>9206535.0399999991</v>
      </c>
      <c r="J6" s="249">
        <f>SUM(J7:J9)</f>
        <v>9501000</v>
      </c>
      <c r="K6" s="250">
        <f t="shared" ref="K6:X6" si="1">SUM(K7:K9)</f>
        <v>8844842</v>
      </c>
      <c r="L6" s="250">
        <f t="shared" si="1"/>
        <v>8754069.3399999999</v>
      </c>
      <c r="M6" s="251">
        <f t="shared" ref="M6:M29" si="2">L6/K6*100</f>
        <v>98.97372208570826</v>
      </c>
      <c r="N6" s="252">
        <f t="shared" si="1"/>
        <v>8976043.0399999991</v>
      </c>
      <c r="O6" s="249">
        <f t="shared" si="1"/>
        <v>0</v>
      </c>
      <c r="P6" s="250">
        <f t="shared" si="1"/>
        <v>212000</v>
      </c>
      <c r="Q6" s="250">
        <f t="shared" si="1"/>
        <v>212000</v>
      </c>
      <c r="R6" s="251">
        <f t="shared" ref="R6:R28" si="3">Q6/P6*100</f>
        <v>100</v>
      </c>
      <c r="S6" s="252">
        <f t="shared" si="1"/>
        <v>230492</v>
      </c>
      <c r="T6" s="249">
        <f t="shared" si="1"/>
        <v>2550000</v>
      </c>
      <c r="U6" s="250">
        <f t="shared" si="1"/>
        <v>1361000</v>
      </c>
      <c r="V6" s="250">
        <f t="shared" si="1"/>
        <v>1331125</v>
      </c>
      <c r="W6" s="251">
        <f t="shared" ref="W6:W29" si="4">V6/U6*100</f>
        <v>97.80492285084496</v>
      </c>
      <c r="X6" s="252">
        <f t="shared" si="1"/>
        <v>690672.76</v>
      </c>
    </row>
    <row r="7" spans="1:24" s="651" customFormat="1" ht="9.75">
      <c r="A7" s="710" t="s">
        <v>2</v>
      </c>
      <c r="B7" s="1160" t="s">
        <v>44</v>
      </c>
      <c r="C7" s="1160"/>
      <c r="D7" s="245" t="s">
        <v>25</v>
      </c>
      <c r="E7" s="681">
        <f t="shared" ref="E7:G10" si="5">SUM(J7,O7)</f>
        <v>3800000</v>
      </c>
      <c r="F7" s="663">
        <f t="shared" si="5"/>
        <v>3283842</v>
      </c>
      <c r="G7" s="663">
        <f t="shared" si="5"/>
        <v>3193968</v>
      </c>
      <c r="H7" s="664">
        <f t="shared" si="0"/>
        <v>97.263144816346212</v>
      </c>
      <c r="I7" s="675">
        <f>SUM(N7,S7)</f>
        <v>2796957.04</v>
      </c>
      <c r="J7" s="702">
        <v>3800000</v>
      </c>
      <c r="K7" s="665">
        <v>3283842</v>
      </c>
      <c r="L7" s="665">
        <v>3193968</v>
      </c>
      <c r="M7" s="664">
        <f t="shared" si="2"/>
        <v>97.263144816346212</v>
      </c>
      <c r="N7" s="665">
        <v>2796957.04</v>
      </c>
      <c r="O7" s="695">
        <v>0</v>
      </c>
      <c r="P7" s="665">
        <v>0</v>
      </c>
      <c r="Q7" s="665">
        <v>0</v>
      </c>
      <c r="R7" s="664">
        <v>0</v>
      </c>
      <c r="S7" s="680">
        <v>0</v>
      </c>
      <c r="T7" s="679">
        <v>2550000</v>
      </c>
      <c r="U7" s="679">
        <v>1361000</v>
      </c>
      <c r="V7" s="665">
        <v>1331125</v>
      </c>
      <c r="W7" s="664">
        <f t="shared" si="4"/>
        <v>97.80492285084496</v>
      </c>
      <c r="X7" s="665">
        <v>690672.76</v>
      </c>
    </row>
    <row r="8" spans="1:24" s="651" customFormat="1" ht="9.75">
      <c r="A8" s="712" t="s">
        <v>3</v>
      </c>
      <c r="B8" s="1173" t="s">
        <v>45</v>
      </c>
      <c r="C8" s="1173"/>
      <c r="D8" s="245" t="s">
        <v>25</v>
      </c>
      <c r="E8" s="681">
        <f t="shared" si="5"/>
        <v>1000</v>
      </c>
      <c r="F8" s="663">
        <f t="shared" si="5"/>
        <v>1000</v>
      </c>
      <c r="G8" s="663">
        <f t="shared" si="5"/>
        <v>101.34</v>
      </c>
      <c r="H8" s="664">
        <f t="shared" si="0"/>
        <v>10.134</v>
      </c>
      <c r="I8" s="675">
        <f>SUM(N8,S8)</f>
        <v>420</v>
      </c>
      <c r="J8" s="703">
        <v>1000</v>
      </c>
      <c r="K8" s="703">
        <v>1000</v>
      </c>
      <c r="L8" s="663">
        <v>101.34</v>
      </c>
      <c r="M8" s="664">
        <f t="shared" si="2"/>
        <v>10.134</v>
      </c>
      <c r="N8" s="663">
        <v>420</v>
      </c>
      <c r="O8" s="696">
        <v>0</v>
      </c>
      <c r="P8" s="663">
        <v>0</v>
      </c>
      <c r="Q8" s="663">
        <v>0</v>
      </c>
      <c r="R8" s="664">
        <v>0</v>
      </c>
      <c r="S8" s="682">
        <v>0</v>
      </c>
      <c r="T8" s="681">
        <v>0</v>
      </c>
      <c r="U8" s="681">
        <v>0</v>
      </c>
      <c r="V8" s="663">
        <v>0</v>
      </c>
      <c r="W8" s="664">
        <v>0</v>
      </c>
      <c r="X8" s="663">
        <v>0</v>
      </c>
    </row>
    <row r="9" spans="1:24" s="651" customFormat="1" ht="9.75">
      <c r="A9" s="712" t="s">
        <v>4</v>
      </c>
      <c r="B9" s="187" t="s">
        <v>60</v>
      </c>
      <c r="C9" s="673"/>
      <c r="D9" s="245" t="s">
        <v>25</v>
      </c>
      <c r="E9" s="681">
        <f t="shared" si="5"/>
        <v>5700000</v>
      </c>
      <c r="F9" s="663">
        <f t="shared" si="5"/>
        <v>5772000</v>
      </c>
      <c r="G9" s="663">
        <f t="shared" si="5"/>
        <v>5772000</v>
      </c>
      <c r="H9" s="664">
        <f t="shared" si="0"/>
        <v>100</v>
      </c>
      <c r="I9" s="675">
        <f>SUM(N9,S9)</f>
        <v>6409158</v>
      </c>
      <c r="J9" s="703">
        <v>5700000</v>
      </c>
      <c r="K9" s="703">
        <v>5560000</v>
      </c>
      <c r="L9" s="663">
        <v>5560000</v>
      </c>
      <c r="M9" s="664">
        <f t="shared" si="2"/>
        <v>100</v>
      </c>
      <c r="N9" s="663">
        <v>6178666</v>
      </c>
      <c r="O9" s="696">
        <v>0</v>
      </c>
      <c r="P9" s="663">
        <v>212000</v>
      </c>
      <c r="Q9" s="663">
        <v>212000</v>
      </c>
      <c r="R9" s="112">
        <f t="shared" ref="R9" si="6">Q9/P9*100</f>
        <v>100</v>
      </c>
      <c r="S9" s="663">
        <v>230492</v>
      </c>
      <c r="T9" s="681">
        <v>0</v>
      </c>
      <c r="U9" s="681">
        <v>0</v>
      </c>
      <c r="V9" s="663">
        <v>0</v>
      </c>
      <c r="W9" s="664">
        <v>0</v>
      </c>
      <c r="X9" s="663">
        <v>0</v>
      </c>
    </row>
    <row r="10" spans="1:24" s="651" customFormat="1" ht="9.75">
      <c r="A10" s="708" t="s">
        <v>5</v>
      </c>
      <c r="B10" s="1158" t="s">
        <v>7</v>
      </c>
      <c r="C10" s="1158"/>
      <c r="D10" s="245" t="s">
        <v>25</v>
      </c>
      <c r="E10" s="683">
        <f t="shared" si="5"/>
        <v>0</v>
      </c>
      <c r="F10" s="662">
        <f t="shared" si="5"/>
        <v>0</v>
      </c>
      <c r="G10" s="662">
        <f t="shared" si="5"/>
        <v>0</v>
      </c>
      <c r="H10" s="658">
        <v>0</v>
      </c>
      <c r="I10" s="662">
        <v>6723762</v>
      </c>
      <c r="J10" s="704"/>
      <c r="K10" s="662">
        <v>0</v>
      </c>
      <c r="L10" s="662">
        <v>0</v>
      </c>
      <c r="M10" s="658">
        <v>0</v>
      </c>
      <c r="N10" s="662">
        <v>5933762</v>
      </c>
      <c r="O10" s="683">
        <v>0</v>
      </c>
      <c r="P10" s="662">
        <v>0</v>
      </c>
      <c r="Q10" s="662">
        <v>0</v>
      </c>
      <c r="R10" s="658">
        <v>0</v>
      </c>
      <c r="S10" s="662">
        <v>340000</v>
      </c>
      <c r="T10" s="683">
        <v>0</v>
      </c>
      <c r="U10" s="662">
        <v>0</v>
      </c>
      <c r="V10" s="662">
        <v>0</v>
      </c>
      <c r="W10" s="658">
        <v>0</v>
      </c>
      <c r="X10" s="684">
        <v>0</v>
      </c>
    </row>
    <row r="11" spans="1:24" s="651" customFormat="1" ht="9.75">
      <c r="A11" s="708" t="s">
        <v>6</v>
      </c>
      <c r="B11" s="1158" t="s">
        <v>9</v>
      </c>
      <c r="C11" s="1158"/>
      <c r="D11" s="245" t="s">
        <v>25</v>
      </c>
      <c r="E11" s="677">
        <f>SUM(E12:E31)</f>
        <v>9501000</v>
      </c>
      <c r="F11" s="661">
        <f>SUM(F12:F31)</f>
        <v>9056842</v>
      </c>
      <c r="G11" s="661">
        <f>SUM(G12:G31)</f>
        <v>8931894.7400000002</v>
      </c>
      <c r="H11" s="658">
        <f t="shared" si="0"/>
        <v>98.620410293124252</v>
      </c>
      <c r="I11" s="678">
        <f>SUM(I12:I31)</f>
        <v>9204756.5099999998</v>
      </c>
      <c r="J11" s="677">
        <f>SUM(J12:J31)</f>
        <v>9501000</v>
      </c>
      <c r="K11" s="661">
        <f>SUM(K12:K31)</f>
        <v>8844842</v>
      </c>
      <c r="L11" s="661">
        <f>SUM(L12:L31)</f>
        <v>8719894.7400000002</v>
      </c>
      <c r="M11" s="658">
        <f t="shared" si="2"/>
        <v>98.587343222185325</v>
      </c>
      <c r="N11" s="678">
        <f>SUM(N12:N31)</f>
        <v>8974264.5099999998</v>
      </c>
      <c r="O11" s="677">
        <f>SUM(O12:O31)</f>
        <v>0</v>
      </c>
      <c r="P11" s="661">
        <f>SUM(P12:P31)</f>
        <v>212000</v>
      </c>
      <c r="Q11" s="661">
        <f>SUM(Q12:Q31)</f>
        <v>212000</v>
      </c>
      <c r="R11" s="658">
        <f t="shared" si="3"/>
        <v>100</v>
      </c>
      <c r="S11" s="678">
        <f>SUM(S12:S31)</f>
        <v>230492</v>
      </c>
      <c r="T11" s="677">
        <f>SUM(T12:T31)</f>
        <v>2510000</v>
      </c>
      <c r="U11" s="661">
        <f>SUM(U12:U31)</f>
        <v>1361000</v>
      </c>
      <c r="V11" s="661">
        <f>SUM(V12:V31)</f>
        <v>1306053.0900000001</v>
      </c>
      <c r="W11" s="658">
        <f t="shared" si="4"/>
        <v>95.962754592211624</v>
      </c>
      <c r="X11" s="678">
        <f>SUM(X12:X31)</f>
        <v>893155.17</v>
      </c>
    </row>
    <row r="12" spans="1:24" s="651" customFormat="1" ht="9.75">
      <c r="A12" s="232" t="s">
        <v>8</v>
      </c>
      <c r="B12" s="1159" t="s">
        <v>28</v>
      </c>
      <c r="C12" s="1159"/>
      <c r="D12" s="245" t="s">
        <v>25</v>
      </c>
      <c r="E12" s="681">
        <f t="shared" ref="E12:I29" si="7">SUM(J12,O12)</f>
        <v>238000</v>
      </c>
      <c r="F12" s="663">
        <f t="shared" si="7"/>
        <v>298000</v>
      </c>
      <c r="G12" s="663">
        <f t="shared" si="7"/>
        <v>289086.28999999998</v>
      </c>
      <c r="H12" s="664">
        <f t="shared" si="0"/>
        <v>97.008822147651003</v>
      </c>
      <c r="I12" s="675">
        <f t="shared" si="7"/>
        <v>212249.25</v>
      </c>
      <c r="J12" s="705">
        <v>238000</v>
      </c>
      <c r="K12" s="705">
        <v>298000</v>
      </c>
      <c r="L12" s="666">
        <v>289086.28999999998</v>
      </c>
      <c r="M12" s="664">
        <f t="shared" si="2"/>
        <v>97.008822147651003</v>
      </c>
      <c r="N12" s="666">
        <v>204313.25</v>
      </c>
      <c r="O12" s="698">
        <v>0</v>
      </c>
      <c r="P12" s="666">
        <v>0</v>
      </c>
      <c r="Q12" s="666">
        <v>0</v>
      </c>
      <c r="R12" s="664">
        <v>0</v>
      </c>
      <c r="S12" s="666">
        <v>7936</v>
      </c>
      <c r="T12" s="685">
        <v>1324602</v>
      </c>
      <c r="U12" s="685">
        <v>732118</v>
      </c>
      <c r="V12" s="52">
        <v>678179.43</v>
      </c>
      <c r="W12" s="664">
        <f t="shared" si="4"/>
        <v>92.632530548354225</v>
      </c>
      <c r="X12" s="52">
        <v>372945.13</v>
      </c>
    </row>
    <row r="13" spans="1:24" s="651" customFormat="1" ht="9.75">
      <c r="A13" s="710" t="s">
        <v>10</v>
      </c>
      <c r="B13" s="1160" t="s">
        <v>29</v>
      </c>
      <c r="C13" s="1160"/>
      <c r="D13" s="245" t="s">
        <v>25</v>
      </c>
      <c r="E13" s="681">
        <f t="shared" si="7"/>
        <v>770000</v>
      </c>
      <c r="F13" s="663">
        <f t="shared" si="7"/>
        <v>625182</v>
      </c>
      <c r="G13" s="663">
        <f t="shared" si="7"/>
        <v>625116.1</v>
      </c>
      <c r="H13" s="664">
        <f t="shared" si="0"/>
        <v>99.989459069518944</v>
      </c>
      <c r="I13" s="675">
        <f t="shared" si="7"/>
        <v>526535.06999999995</v>
      </c>
      <c r="J13" s="705">
        <v>770000</v>
      </c>
      <c r="K13" s="705">
        <v>462882</v>
      </c>
      <c r="L13" s="663">
        <v>462816.1</v>
      </c>
      <c r="M13" s="664">
        <f t="shared" si="2"/>
        <v>99.985763110252719</v>
      </c>
      <c r="N13" s="663">
        <v>526535.06999999995</v>
      </c>
      <c r="O13" s="696">
        <v>0</v>
      </c>
      <c r="P13" s="663">
        <v>162300</v>
      </c>
      <c r="Q13" s="663">
        <v>162300</v>
      </c>
      <c r="R13" s="664">
        <v>0</v>
      </c>
      <c r="S13" s="663">
        <v>0</v>
      </c>
      <c r="T13" s="681">
        <v>56900</v>
      </c>
      <c r="U13" s="681">
        <v>43900</v>
      </c>
      <c r="V13" s="53">
        <v>43150.29</v>
      </c>
      <c r="W13" s="664">
        <f t="shared" si="4"/>
        <v>98.292232346241462</v>
      </c>
      <c r="X13" s="53">
        <v>44311</v>
      </c>
    </row>
    <row r="14" spans="1:24" s="651" customFormat="1" ht="9.75">
      <c r="A14" s="710" t="s">
        <v>11</v>
      </c>
      <c r="B14" s="672" t="s">
        <v>61</v>
      </c>
      <c r="C14" s="672"/>
      <c r="D14" s="245" t="s">
        <v>25</v>
      </c>
      <c r="E14" s="681">
        <f t="shared" si="7"/>
        <v>0</v>
      </c>
      <c r="F14" s="663">
        <f t="shared" si="7"/>
        <v>0</v>
      </c>
      <c r="G14" s="663">
        <f t="shared" si="7"/>
        <v>0</v>
      </c>
      <c r="H14" s="664">
        <v>0</v>
      </c>
      <c r="I14" s="675">
        <f t="shared" si="7"/>
        <v>0</v>
      </c>
      <c r="J14" s="705">
        <v>0</v>
      </c>
      <c r="K14" s="705">
        <v>0</v>
      </c>
      <c r="L14" s="663">
        <v>0</v>
      </c>
      <c r="M14" s="664">
        <v>0</v>
      </c>
      <c r="N14" s="663">
        <v>0</v>
      </c>
      <c r="O14" s="696">
        <v>0</v>
      </c>
      <c r="P14" s="663">
        <v>0</v>
      </c>
      <c r="Q14" s="663">
        <v>0</v>
      </c>
      <c r="R14" s="664">
        <v>0</v>
      </c>
      <c r="S14" s="663">
        <v>0</v>
      </c>
      <c r="T14" s="681">
        <v>0</v>
      </c>
      <c r="U14" s="681">
        <v>0</v>
      </c>
      <c r="V14" s="53">
        <v>0</v>
      </c>
      <c r="W14" s="664">
        <v>0</v>
      </c>
      <c r="X14" s="53">
        <v>8661</v>
      </c>
    </row>
    <row r="15" spans="1:24" s="651" customFormat="1" ht="9.75">
      <c r="A15" s="710" t="s">
        <v>12</v>
      </c>
      <c r="B15" s="1160" t="s">
        <v>62</v>
      </c>
      <c r="C15" s="1160"/>
      <c r="D15" s="245" t="s">
        <v>25</v>
      </c>
      <c r="E15" s="681">
        <f t="shared" si="7"/>
        <v>45000</v>
      </c>
      <c r="F15" s="663">
        <f t="shared" si="7"/>
        <v>180842</v>
      </c>
      <c r="G15" s="663">
        <f t="shared" si="7"/>
        <v>177002.7</v>
      </c>
      <c r="H15" s="664">
        <f t="shared" si="0"/>
        <v>97.876986540737221</v>
      </c>
      <c r="I15" s="675">
        <f t="shared" si="7"/>
        <v>529440.19999999995</v>
      </c>
      <c r="J15" s="705">
        <v>45000</v>
      </c>
      <c r="K15" s="705">
        <v>180842</v>
      </c>
      <c r="L15" s="663">
        <v>177002.7</v>
      </c>
      <c r="M15" s="664">
        <f t="shared" si="2"/>
        <v>97.876986540737221</v>
      </c>
      <c r="N15" s="663">
        <v>529440.19999999995</v>
      </c>
      <c r="O15" s="696">
        <v>0</v>
      </c>
      <c r="P15" s="663">
        <v>0</v>
      </c>
      <c r="Q15" s="663">
        <v>0</v>
      </c>
      <c r="R15" s="664">
        <v>0</v>
      </c>
      <c r="S15" s="663">
        <v>0</v>
      </c>
      <c r="T15" s="681">
        <v>10000</v>
      </c>
      <c r="U15" s="681">
        <v>0</v>
      </c>
      <c r="V15" s="53">
        <v>0</v>
      </c>
      <c r="W15" s="664">
        <v>0</v>
      </c>
      <c r="X15" s="53">
        <v>5723</v>
      </c>
    </row>
    <row r="16" spans="1:24" s="651" customFormat="1" ht="9.75">
      <c r="A16" s="710" t="s">
        <v>13</v>
      </c>
      <c r="B16" s="1160" t="s">
        <v>30</v>
      </c>
      <c r="C16" s="1160"/>
      <c r="D16" s="245" t="s">
        <v>25</v>
      </c>
      <c r="E16" s="681">
        <f t="shared" si="7"/>
        <v>30000</v>
      </c>
      <c r="F16" s="663">
        <f t="shared" si="7"/>
        <v>56000</v>
      </c>
      <c r="G16" s="663">
        <f t="shared" si="7"/>
        <v>55992</v>
      </c>
      <c r="H16" s="664">
        <f t="shared" si="0"/>
        <v>99.985714285714295</v>
      </c>
      <c r="I16" s="675">
        <f t="shared" si="7"/>
        <v>17384</v>
      </c>
      <c r="J16" s="705">
        <v>30000</v>
      </c>
      <c r="K16" s="705">
        <v>56000</v>
      </c>
      <c r="L16" s="663">
        <v>55992</v>
      </c>
      <c r="M16" s="664">
        <f t="shared" si="2"/>
        <v>99.985714285714295</v>
      </c>
      <c r="N16" s="663">
        <v>17384</v>
      </c>
      <c r="O16" s="696">
        <v>0</v>
      </c>
      <c r="P16" s="663">
        <v>0</v>
      </c>
      <c r="Q16" s="663">
        <v>0</v>
      </c>
      <c r="R16" s="664">
        <v>0</v>
      </c>
      <c r="S16" s="663">
        <v>0</v>
      </c>
      <c r="T16" s="681">
        <v>5000</v>
      </c>
      <c r="U16" s="681">
        <v>5000</v>
      </c>
      <c r="V16" s="53">
        <v>4741</v>
      </c>
      <c r="W16" s="664">
        <f t="shared" si="4"/>
        <v>94.820000000000007</v>
      </c>
      <c r="X16" s="53">
        <v>4548</v>
      </c>
    </row>
    <row r="17" spans="1:24" s="651" customFormat="1" ht="9.75">
      <c r="A17" s="710" t="s">
        <v>14</v>
      </c>
      <c r="B17" s="672" t="s">
        <v>46</v>
      </c>
      <c r="C17" s="672"/>
      <c r="D17" s="245" t="s">
        <v>25</v>
      </c>
      <c r="E17" s="681">
        <f t="shared" si="7"/>
        <v>20000</v>
      </c>
      <c r="F17" s="663">
        <f t="shared" si="7"/>
        <v>15000</v>
      </c>
      <c r="G17" s="663">
        <f t="shared" si="7"/>
        <v>13587</v>
      </c>
      <c r="H17" s="664">
        <f t="shared" si="0"/>
        <v>90.58</v>
      </c>
      <c r="I17" s="675">
        <f t="shared" si="7"/>
        <v>26192</v>
      </c>
      <c r="J17" s="705">
        <v>20000</v>
      </c>
      <c r="K17" s="705">
        <v>15000</v>
      </c>
      <c r="L17" s="663">
        <v>13587</v>
      </c>
      <c r="M17" s="664">
        <f t="shared" si="2"/>
        <v>90.58</v>
      </c>
      <c r="N17" s="663">
        <v>26192</v>
      </c>
      <c r="O17" s="696">
        <v>0</v>
      </c>
      <c r="P17" s="663">
        <v>0</v>
      </c>
      <c r="Q17" s="663">
        <v>0</v>
      </c>
      <c r="R17" s="664">
        <v>0</v>
      </c>
      <c r="S17" s="663">
        <v>0</v>
      </c>
      <c r="T17" s="681">
        <v>0</v>
      </c>
      <c r="U17" s="681">
        <v>0</v>
      </c>
      <c r="V17" s="53">
        <v>0</v>
      </c>
      <c r="W17" s="666">
        <v>0</v>
      </c>
      <c r="X17" s="53">
        <v>0</v>
      </c>
    </row>
    <row r="18" spans="1:24" s="651" customFormat="1" ht="9.75">
      <c r="A18" s="710" t="s">
        <v>15</v>
      </c>
      <c r="B18" s="1160" t="s">
        <v>31</v>
      </c>
      <c r="C18" s="1160"/>
      <c r="D18" s="245" t="s">
        <v>25</v>
      </c>
      <c r="E18" s="681">
        <f t="shared" si="7"/>
        <v>3074186</v>
      </c>
      <c r="F18" s="663">
        <f t="shared" si="7"/>
        <v>2629640</v>
      </c>
      <c r="G18" s="663">
        <f t="shared" si="7"/>
        <v>2550303.15</v>
      </c>
      <c r="H18" s="664">
        <f t="shared" si="0"/>
        <v>96.982976757274756</v>
      </c>
      <c r="I18" s="675">
        <f t="shared" si="7"/>
        <v>2317557.13</v>
      </c>
      <c r="J18" s="705">
        <v>3074186</v>
      </c>
      <c r="K18" s="705">
        <v>2611940</v>
      </c>
      <c r="L18" s="663">
        <v>2532603.15</v>
      </c>
      <c r="M18" s="664">
        <f t="shared" si="2"/>
        <v>96.962531681432182</v>
      </c>
      <c r="N18" s="663">
        <v>2276277.13</v>
      </c>
      <c r="O18" s="696">
        <v>0</v>
      </c>
      <c r="P18" s="663">
        <v>17700</v>
      </c>
      <c r="Q18" s="663">
        <v>17700</v>
      </c>
      <c r="R18" s="664">
        <f t="shared" si="3"/>
        <v>100</v>
      </c>
      <c r="S18" s="663">
        <v>41280</v>
      </c>
      <c r="T18" s="681">
        <v>26600</v>
      </c>
      <c r="U18" s="681">
        <v>82702</v>
      </c>
      <c r="V18" s="53">
        <v>82702.37</v>
      </c>
      <c r="W18" s="664">
        <f t="shared" si="4"/>
        <v>100.00044738942226</v>
      </c>
      <c r="X18" s="53">
        <v>50539</v>
      </c>
    </row>
    <row r="19" spans="1:24" s="654" customFormat="1" ht="9.75">
      <c r="A19" s="710" t="s">
        <v>16</v>
      </c>
      <c r="B19" s="1160" t="s">
        <v>32</v>
      </c>
      <c r="C19" s="1160"/>
      <c r="D19" s="245" t="s">
        <v>25</v>
      </c>
      <c r="E19" s="681">
        <f t="shared" si="7"/>
        <v>3152420</v>
      </c>
      <c r="F19" s="663">
        <f t="shared" si="7"/>
        <v>3067547</v>
      </c>
      <c r="G19" s="663">
        <f t="shared" si="7"/>
        <v>3067547</v>
      </c>
      <c r="H19" s="664">
        <f t="shared" si="0"/>
        <v>100</v>
      </c>
      <c r="I19" s="675">
        <f t="shared" si="7"/>
        <v>2770427</v>
      </c>
      <c r="J19" s="706">
        <v>3152420</v>
      </c>
      <c r="K19" s="706">
        <v>3067547</v>
      </c>
      <c r="L19" s="663">
        <v>3067547</v>
      </c>
      <c r="M19" s="664">
        <f t="shared" si="2"/>
        <v>100</v>
      </c>
      <c r="N19" s="663">
        <v>2657736</v>
      </c>
      <c r="O19" s="696">
        <v>0</v>
      </c>
      <c r="P19" s="663">
        <v>0</v>
      </c>
      <c r="Q19" s="663">
        <v>0</v>
      </c>
      <c r="R19" s="664">
        <v>0</v>
      </c>
      <c r="S19" s="663">
        <v>112691</v>
      </c>
      <c r="T19" s="687">
        <v>745000</v>
      </c>
      <c r="U19" s="687">
        <v>343913</v>
      </c>
      <c r="V19" s="52">
        <v>343913</v>
      </c>
      <c r="W19" s="664">
        <f t="shared" si="4"/>
        <v>100</v>
      </c>
      <c r="X19" s="52">
        <v>299827</v>
      </c>
    </row>
    <row r="20" spans="1:24" s="651" customFormat="1" ht="9.75">
      <c r="A20" s="710" t="s">
        <v>17</v>
      </c>
      <c r="B20" s="1160" t="s">
        <v>47</v>
      </c>
      <c r="C20" s="1160"/>
      <c r="D20" s="245" t="s">
        <v>25</v>
      </c>
      <c r="E20" s="681">
        <f t="shared" si="7"/>
        <v>1066630</v>
      </c>
      <c r="F20" s="663">
        <f t="shared" si="7"/>
        <v>950544</v>
      </c>
      <c r="G20" s="663">
        <f t="shared" si="7"/>
        <v>919637</v>
      </c>
      <c r="H20" s="664">
        <f t="shared" si="0"/>
        <v>96.748493494251704</v>
      </c>
      <c r="I20" s="675">
        <f t="shared" si="7"/>
        <v>878822</v>
      </c>
      <c r="J20" s="705">
        <v>1066630</v>
      </c>
      <c r="K20" s="705">
        <v>950544</v>
      </c>
      <c r="L20" s="663">
        <v>919637</v>
      </c>
      <c r="M20" s="664">
        <f t="shared" si="2"/>
        <v>96.748493494251704</v>
      </c>
      <c r="N20" s="663">
        <v>840729</v>
      </c>
      <c r="O20" s="696">
        <v>0</v>
      </c>
      <c r="P20" s="663">
        <v>0</v>
      </c>
      <c r="Q20" s="663">
        <v>0</v>
      </c>
      <c r="R20" s="664">
        <v>0</v>
      </c>
      <c r="S20" s="663">
        <v>38093</v>
      </c>
      <c r="T20" s="681">
        <v>254200</v>
      </c>
      <c r="U20" s="681">
        <v>34472</v>
      </c>
      <c r="V20" s="53">
        <v>34472</v>
      </c>
      <c r="W20" s="664">
        <f t="shared" si="4"/>
        <v>100</v>
      </c>
      <c r="X20" s="53">
        <v>57392</v>
      </c>
    </row>
    <row r="21" spans="1:24" s="651" customFormat="1" ht="9.75">
      <c r="A21" s="710" t="s">
        <v>18</v>
      </c>
      <c r="B21" s="1160" t="s">
        <v>48</v>
      </c>
      <c r="C21" s="1160"/>
      <c r="D21" s="245" t="s">
        <v>25</v>
      </c>
      <c r="E21" s="681">
        <f t="shared" si="7"/>
        <v>78000</v>
      </c>
      <c r="F21" s="663">
        <f t="shared" si="7"/>
        <v>78959</v>
      </c>
      <c r="G21" s="663">
        <f t="shared" si="7"/>
        <v>78959</v>
      </c>
      <c r="H21" s="664">
        <f t="shared" si="0"/>
        <v>100</v>
      </c>
      <c r="I21" s="675">
        <f t="shared" si="7"/>
        <v>77056</v>
      </c>
      <c r="J21" s="705">
        <v>78000</v>
      </c>
      <c r="K21" s="705">
        <v>78959</v>
      </c>
      <c r="L21" s="663">
        <v>78959</v>
      </c>
      <c r="M21" s="664">
        <f t="shared" si="2"/>
        <v>100</v>
      </c>
      <c r="N21" s="663">
        <v>77056</v>
      </c>
      <c r="O21" s="696">
        <v>0</v>
      </c>
      <c r="P21" s="663">
        <v>0</v>
      </c>
      <c r="Q21" s="663">
        <v>0</v>
      </c>
      <c r="R21" s="664">
        <v>0</v>
      </c>
      <c r="S21" s="663">
        <v>0</v>
      </c>
      <c r="T21" s="681">
        <v>0</v>
      </c>
      <c r="U21" s="681">
        <v>0</v>
      </c>
      <c r="V21" s="53">
        <v>0</v>
      </c>
      <c r="W21" s="253">
        <v>0</v>
      </c>
      <c r="X21" s="53">
        <v>0</v>
      </c>
    </row>
    <row r="22" spans="1:24" s="651" customFormat="1" ht="9.75">
      <c r="A22" s="710" t="s">
        <v>19</v>
      </c>
      <c r="B22" s="1160" t="s">
        <v>63</v>
      </c>
      <c r="C22" s="1160"/>
      <c r="D22" s="245" t="s">
        <v>25</v>
      </c>
      <c r="E22" s="681">
        <f t="shared" si="7"/>
        <v>7000</v>
      </c>
      <c r="F22" s="663">
        <f t="shared" si="7"/>
        <v>1500</v>
      </c>
      <c r="G22" s="663">
        <f t="shared" si="7"/>
        <v>1500</v>
      </c>
      <c r="H22" s="664">
        <f t="shared" si="0"/>
        <v>100</v>
      </c>
      <c r="I22" s="675">
        <f t="shared" si="7"/>
        <v>11000</v>
      </c>
      <c r="J22" s="705">
        <v>7000</v>
      </c>
      <c r="K22" s="705">
        <v>1500</v>
      </c>
      <c r="L22" s="663">
        <v>1500</v>
      </c>
      <c r="M22" s="664">
        <f t="shared" si="2"/>
        <v>100</v>
      </c>
      <c r="N22" s="663">
        <f>6000+5000</f>
        <v>11000</v>
      </c>
      <c r="O22" s="696">
        <v>0</v>
      </c>
      <c r="P22" s="663">
        <v>0</v>
      </c>
      <c r="Q22" s="663">
        <v>0</v>
      </c>
      <c r="R22" s="664">
        <v>0</v>
      </c>
      <c r="S22" s="663">
        <v>0</v>
      </c>
      <c r="T22" s="681">
        <v>0</v>
      </c>
      <c r="U22" s="681">
        <v>0</v>
      </c>
      <c r="V22" s="53">
        <v>0</v>
      </c>
      <c r="W22" s="253">
        <v>0</v>
      </c>
      <c r="X22" s="53">
        <v>0</v>
      </c>
    </row>
    <row r="23" spans="1:24" s="651" customFormat="1" ht="9.75">
      <c r="A23" s="710" t="s">
        <v>20</v>
      </c>
      <c r="B23" s="672" t="s">
        <v>64</v>
      </c>
      <c r="C23" s="672"/>
      <c r="D23" s="245" t="s">
        <v>25</v>
      </c>
      <c r="E23" s="681">
        <f t="shared" si="7"/>
        <v>0</v>
      </c>
      <c r="F23" s="663">
        <f t="shared" si="7"/>
        <v>28000</v>
      </c>
      <c r="G23" s="663">
        <f t="shared" si="7"/>
        <v>28000</v>
      </c>
      <c r="H23" s="664">
        <f t="shared" si="0"/>
        <v>100</v>
      </c>
      <c r="I23" s="675">
        <f t="shared" si="7"/>
        <v>10500</v>
      </c>
      <c r="J23" s="705">
        <v>0</v>
      </c>
      <c r="K23" s="705">
        <v>28000</v>
      </c>
      <c r="L23" s="663">
        <v>28000</v>
      </c>
      <c r="M23" s="664">
        <f t="shared" si="2"/>
        <v>100</v>
      </c>
      <c r="N23" s="663">
        <v>10500</v>
      </c>
      <c r="O23" s="696">
        <v>0</v>
      </c>
      <c r="P23" s="663">
        <v>0</v>
      </c>
      <c r="Q23" s="663">
        <v>0</v>
      </c>
      <c r="R23" s="664">
        <v>0</v>
      </c>
      <c r="S23" s="663">
        <v>0</v>
      </c>
      <c r="T23" s="681">
        <v>0</v>
      </c>
      <c r="U23" s="681">
        <v>0</v>
      </c>
      <c r="V23" s="53">
        <v>0</v>
      </c>
      <c r="W23" s="253">
        <v>0</v>
      </c>
      <c r="X23" s="53">
        <v>0</v>
      </c>
    </row>
    <row r="24" spans="1:24" s="651" customFormat="1" ht="9.75">
      <c r="A24" s="710" t="s">
        <v>21</v>
      </c>
      <c r="B24" s="672" t="s">
        <v>71</v>
      </c>
      <c r="C24" s="672"/>
      <c r="D24" s="245" t="s">
        <v>25</v>
      </c>
      <c r="E24" s="681">
        <f t="shared" si="7"/>
        <v>0</v>
      </c>
      <c r="F24" s="663">
        <f t="shared" si="7"/>
        <v>0</v>
      </c>
      <c r="G24" s="663">
        <f t="shared" si="7"/>
        <v>0</v>
      </c>
      <c r="H24" s="135">
        <v>0</v>
      </c>
      <c r="I24" s="675">
        <f t="shared" si="7"/>
        <v>0</v>
      </c>
      <c r="J24" s="705">
        <v>0</v>
      </c>
      <c r="K24" s="705">
        <v>0</v>
      </c>
      <c r="L24" s="663">
        <v>0</v>
      </c>
      <c r="M24" s="664">
        <v>0</v>
      </c>
      <c r="N24" s="663">
        <v>0</v>
      </c>
      <c r="O24" s="696">
        <v>0</v>
      </c>
      <c r="P24" s="663">
        <v>0</v>
      </c>
      <c r="Q24" s="663">
        <v>0</v>
      </c>
      <c r="R24" s="664">
        <v>0</v>
      </c>
      <c r="S24" s="663">
        <v>0</v>
      </c>
      <c r="T24" s="681">
        <v>0</v>
      </c>
      <c r="U24" s="681">
        <v>0</v>
      </c>
      <c r="V24" s="53">
        <v>0</v>
      </c>
      <c r="W24" s="253">
        <v>0</v>
      </c>
      <c r="X24" s="53">
        <v>0</v>
      </c>
    </row>
    <row r="25" spans="1:24" s="651" customFormat="1" ht="9.75">
      <c r="A25" s="232" t="s">
        <v>22</v>
      </c>
      <c r="B25" s="264" t="s">
        <v>66</v>
      </c>
      <c r="C25" s="264"/>
      <c r="D25" s="245" t="s">
        <v>25</v>
      </c>
      <c r="E25" s="681">
        <f t="shared" si="7"/>
        <v>0</v>
      </c>
      <c r="F25" s="663">
        <f t="shared" si="7"/>
        <v>0</v>
      </c>
      <c r="G25" s="663">
        <f t="shared" si="7"/>
        <v>0</v>
      </c>
      <c r="H25" s="664">
        <v>0</v>
      </c>
      <c r="I25" s="675">
        <f t="shared" si="7"/>
        <v>15000</v>
      </c>
      <c r="J25" s="705">
        <v>0</v>
      </c>
      <c r="K25" s="705">
        <v>0</v>
      </c>
      <c r="L25" s="666">
        <v>0</v>
      </c>
      <c r="M25" s="664">
        <v>0</v>
      </c>
      <c r="N25" s="666">
        <v>15000</v>
      </c>
      <c r="O25" s="698">
        <v>0</v>
      </c>
      <c r="P25" s="666">
        <v>0</v>
      </c>
      <c r="Q25" s="666">
        <v>0</v>
      </c>
      <c r="R25" s="664">
        <v>0</v>
      </c>
      <c r="S25" s="666">
        <v>0</v>
      </c>
      <c r="T25" s="685">
        <v>0</v>
      </c>
      <c r="U25" s="685">
        <v>0</v>
      </c>
      <c r="V25" s="52">
        <v>0</v>
      </c>
      <c r="W25" s="253">
        <v>0</v>
      </c>
      <c r="X25" s="52">
        <v>0</v>
      </c>
    </row>
    <row r="26" spans="1:24" s="655" customFormat="1" ht="9.75">
      <c r="A26" s="710" t="s">
        <v>23</v>
      </c>
      <c r="B26" s="1160" t="s">
        <v>67</v>
      </c>
      <c r="C26" s="1160"/>
      <c r="D26" s="245" t="s">
        <v>25</v>
      </c>
      <c r="E26" s="681">
        <f t="shared" si="7"/>
        <v>988764</v>
      </c>
      <c r="F26" s="663">
        <f t="shared" si="7"/>
        <v>1005882</v>
      </c>
      <c r="G26" s="663">
        <f t="shared" si="7"/>
        <v>1005882</v>
      </c>
      <c r="H26" s="664">
        <f>G26/F26*100</f>
        <v>100</v>
      </c>
      <c r="I26" s="675">
        <f>SUM(N26,S26)</f>
        <v>434988</v>
      </c>
      <c r="J26" s="705">
        <v>988764</v>
      </c>
      <c r="K26" s="705">
        <v>1005882</v>
      </c>
      <c r="L26" s="667">
        <v>1005882</v>
      </c>
      <c r="M26" s="664">
        <f>L26/K26*100</f>
        <v>100</v>
      </c>
      <c r="N26" s="667">
        <f>361361+73627</f>
        <v>434988</v>
      </c>
      <c r="O26" s="699">
        <v>0</v>
      </c>
      <c r="P26" s="667">
        <v>0</v>
      </c>
      <c r="Q26" s="667">
        <v>0</v>
      </c>
      <c r="R26" s="664">
        <v>0</v>
      </c>
      <c r="S26" s="667">
        <v>0</v>
      </c>
      <c r="T26" s="685">
        <v>87698</v>
      </c>
      <c r="U26" s="685">
        <v>88626</v>
      </c>
      <c r="V26" s="52">
        <v>88626</v>
      </c>
      <c r="W26" s="664">
        <f>V26/U26*100</f>
        <v>100</v>
      </c>
      <c r="X26" s="52">
        <v>46847</v>
      </c>
    </row>
    <row r="27" spans="1:24" s="656" customFormat="1" ht="9.75">
      <c r="A27" s="710" t="s">
        <v>43</v>
      </c>
      <c r="B27" s="672" t="s">
        <v>68</v>
      </c>
      <c r="C27" s="672"/>
      <c r="D27" s="245" t="s">
        <v>25</v>
      </c>
      <c r="E27" s="681">
        <f t="shared" si="7"/>
        <v>0</v>
      </c>
      <c r="F27" s="663">
        <f t="shared" si="7"/>
        <v>0</v>
      </c>
      <c r="G27" s="663">
        <f t="shared" si="7"/>
        <v>0</v>
      </c>
      <c r="H27" s="667">
        <v>0</v>
      </c>
      <c r="I27" s="675">
        <f t="shared" si="7"/>
        <v>0</v>
      </c>
      <c r="J27" s="705">
        <v>0</v>
      </c>
      <c r="K27" s="705">
        <v>0</v>
      </c>
      <c r="L27" s="667">
        <v>0</v>
      </c>
      <c r="M27" s="664">
        <v>0</v>
      </c>
      <c r="N27" s="667">
        <v>0</v>
      </c>
      <c r="O27" s="699">
        <v>0</v>
      </c>
      <c r="P27" s="667">
        <v>0</v>
      </c>
      <c r="Q27" s="667">
        <v>0</v>
      </c>
      <c r="R27" s="664">
        <v>0</v>
      </c>
      <c r="S27" s="667">
        <v>0</v>
      </c>
      <c r="T27" s="685">
        <v>0</v>
      </c>
      <c r="U27" s="685">
        <v>0</v>
      </c>
      <c r="V27" s="52">
        <v>0</v>
      </c>
      <c r="W27" s="664">
        <v>0</v>
      </c>
      <c r="X27" s="52">
        <v>0</v>
      </c>
    </row>
    <row r="28" spans="1:24" s="656" customFormat="1" ht="9.75">
      <c r="A28" s="710" t="s">
        <v>49</v>
      </c>
      <c r="B28" s="672" t="s">
        <v>72</v>
      </c>
      <c r="C28" s="672"/>
      <c r="D28" s="245" t="s">
        <v>25</v>
      </c>
      <c r="E28" s="681">
        <f>SUM(J28,O28)</f>
        <v>30000</v>
      </c>
      <c r="F28" s="663">
        <f>SUM(K28,P28)</f>
        <v>106000</v>
      </c>
      <c r="G28" s="663">
        <f>SUM(L28,Q28)</f>
        <v>105624</v>
      </c>
      <c r="H28" s="664">
        <f>G28/F28*100</f>
        <v>99.645283018867929</v>
      </c>
      <c r="I28" s="675">
        <f>SUM(N28,S28)</f>
        <v>1363730.86</v>
      </c>
      <c r="J28" s="705">
        <v>30000</v>
      </c>
      <c r="K28" s="705">
        <v>74000</v>
      </c>
      <c r="L28" s="667">
        <v>73624</v>
      </c>
      <c r="M28" s="664">
        <f>L28/K28*100</f>
        <v>99.491891891891896</v>
      </c>
      <c r="N28" s="667">
        <f>1363730.86-30492</f>
        <v>1333238.8600000001</v>
      </c>
      <c r="O28" s="699">
        <v>0</v>
      </c>
      <c r="P28" s="667">
        <v>32000</v>
      </c>
      <c r="Q28" s="667">
        <v>32000</v>
      </c>
      <c r="R28" s="664">
        <f t="shared" si="3"/>
        <v>100</v>
      </c>
      <c r="S28" s="667">
        <v>30492</v>
      </c>
      <c r="T28" s="685">
        <v>0</v>
      </c>
      <c r="U28" s="685">
        <v>30269</v>
      </c>
      <c r="V28" s="52">
        <v>30269</v>
      </c>
      <c r="W28" s="664">
        <f t="shared" ref="W28" si="8">V28/U28*100</f>
        <v>100</v>
      </c>
      <c r="X28" s="52">
        <v>1643.04</v>
      </c>
    </row>
    <row r="29" spans="1:24" s="655" customFormat="1" ht="9.75">
      <c r="A29" s="710" t="s">
        <v>50</v>
      </c>
      <c r="B29" s="1160" t="s">
        <v>65</v>
      </c>
      <c r="C29" s="1160"/>
      <c r="D29" s="245" t="s">
        <v>25</v>
      </c>
      <c r="E29" s="681">
        <f t="shared" si="7"/>
        <v>1000</v>
      </c>
      <c r="F29" s="663">
        <f t="shared" si="7"/>
        <v>13646</v>
      </c>
      <c r="G29" s="663">
        <f t="shared" si="7"/>
        <v>13646</v>
      </c>
      <c r="H29" s="664">
        <f t="shared" si="0"/>
        <v>100</v>
      </c>
      <c r="I29" s="675">
        <f t="shared" si="7"/>
        <v>13875</v>
      </c>
      <c r="J29" s="705">
        <v>1000</v>
      </c>
      <c r="K29" s="705">
        <v>13646</v>
      </c>
      <c r="L29" s="667">
        <v>13646</v>
      </c>
      <c r="M29" s="664">
        <f t="shared" si="2"/>
        <v>100</v>
      </c>
      <c r="N29" s="667">
        <v>13875</v>
      </c>
      <c r="O29" s="699">
        <v>0</v>
      </c>
      <c r="P29" s="667">
        <v>0</v>
      </c>
      <c r="Q29" s="667">
        <v>0</v>
      </c>
      <c r="R29" s="664">
        <v>0</v>
      </c>
      <c r="S29" s="667">
        <v>0</v>
      </c>
      <c r="T29" s="685">
        <v>0</v>
      </c>
      <c r="U29" s="685">
        <v>0</v>
      </c>
      <c r="V29" s="52">
        <v>0</v>
      </c>
      <c r="W29" s="664" t="e">
        <f t="shared" si="4"/>
        <v>#DIV/0!</v>
      </c>
      <c r="X29" s="52">
        <v>719</v>
      </c>
    </row>
    <row r="30" spans="1:24" s="651" customFormat="1" ht="9.75">
      <c r="A30" s="710" t="s">
        <v>52</v>
      </c>
      <c r="B30" s="672" t="s">
        <v>51</v>
      </c>
      <c r="C30" s="672"/>
      <c r="D30" s="245" t="s">
        <v>25</v>
      </c>
      <c r="E30" s="681">
        <f t="shared" ref="E30:G31" si="9">SUM(J30,O30)</f>
        <v>0</v>
      </c>
      <c r="F30" s="663">
        <f t="shared" si="9"/>
        <v>100</v>
      </c>
      <c r="G30" s="663">
        <f t="shared" si="9"/>
        <v>12.5</v>
      </c>
      <c r="H30" s="666">
        <v>0</v>
      </c>
      <c r="I30" s="675">
        <f>SUM(N30,S30)</f>
        <v>0</v>
      </c>
      <c r="J30" s="705">
        <v>0</v>
      </c>
      <c r="K30" s="705">
        <v>100</v>
      </c>
      <c r="L30" s="667">
        <v>12.5</v>
      </c>
      <c r="M30" s="666">
        <v>0</v>
      </c>
      <c r="N30" s="667">
        <v>0</v>
      </c>
      <c r="O30" s="699">
        <v>0</v>
      </c>
      <c r="P30" s="667">
        <v>0</v>
      </c>
      <c r="Q30" s="667">
        <v>0</v>
      </c>
      <c r="R30" s="664">
        <v>0</v>
      </c>
      <c r="S30" s="667">
        <v>0</v>
      </c>
      <c r="T30" s="685">
        <v>0</v>
      </c>
      <c r="U30" s="685">
        <v>0</v>
      </c>
      <c r="V30" s="52">
        <v>0</v>
      </c>
      <c r="W30" s="253">
        <v>0</v>
      </c>
      <c r="X30" s="52">
        <v>0</v>
      </c>
    </row>
    <row r="31" spans="1:24" s="659" customFormat="1" ht="9.75">
      <c r="A31" s="710" t="s">
        <v>53</v>
      </c>
      <c r="B31" s="672" t="s">
        <v>69</v>
      </c>
      <c r="C31" s="672"/>
      <c r="D31" s="245" t="s">
        <v>25</v>
      </c>
      <c r="E31" s="681">
        <f t="shared" si="9"/>
        <v>0</v>
      </c>
      <c r="F31" s="663">
        <f t="shared" si="9"/>
        <v>0</v>
      </c>
      <c r="G31" s="663">
        <f t="shared" si="9"/>
        <v>0</v>
      </c>
      <c r="H31" s="666">
        <v>0</v>
      </c>
      <c r="I31" s="675">
        <f>SUM(N31,S31)</f>
        <v>0</v>
      </c>
      <c r="J31" s="705">
        <v>0</v>
      </c>
      <c r="K31" s="705">
        <v>0</v>
      </c>
      <c r="L31" s="670">
        <v>0</v>
      </c>
      <c r="M31" s="666">
        <v>0</v>
      </c>
      <c r="N31" s="670">
        <v>0</v>
      </c>
      <c r="O31" s="700">
        <v>0</v>
      </c>
      <c r="P31" s="670">
        <v>0</v>
      </c>
      <c r="Q31" s="670">
        <v>0</v>
      </c>
      <c r="R31" s="664">
        <v>0</v>
      </c>
      <c r="S31" s="670">
        <v>0</v>
      </c>
      <c r="T31" s="690">
        <v>0</v>
      </c>
      <c r="U31" s="690">
        <v>0</v>
      </c>
      <c r="V31" s="52">
        <v>0</v>
      </c>
      <c r="W31" s="253">
        <v>0</v>
      </c>
      <c r="X31" s="52">
        <v>0</v>
      </c>
    </row>
    <row r="32" spans="1:24" s="659" customFormat="1" ht="9.75">
      <c r="A32" s="232" t="s">
        <v>54</v>
      </c>
      <c r="B32" s="264" t="s">
        <v>70</v>
      </c>
      <c r="C32" s="264"/>
      <c r="D32" s="245" t="s">
        <v>25</v>
      </c>
      <c r="E32" s="681">
        <f>SUM(J32,O32)</f>
        <v>0</v>
      </c>
      <c r="F32" s="663">
        <f>SUM(K32,P32)</f>
        <v>0</v>
      </c>
      <c r="G32" s="663">
        <f>SUM(L32,Q32)</f>
        <v>0</v>
      </c>
      <c r="H32" s="666">
        <v>0</v>
      </c>
      <c r="I32" s="675">
        <f>SUM(N32,S32)</f>
        <v>0</v>
      </c>
      <c r="J32" s="707">
        <v>0</v>
      </c>
      <c r="K32" s="707">
        <v>0</v>
      </c>
      <c r="L32" s="671">
        <v>0</v>
      </c>
      <c r="M32" s="666">
        <v>0</v>
      </c>
      <c r="N32" s="671">
        <v>0</v>
      </c>
      <c r="O32" s="701">
        <v>0</v>
      </c>
      <c r="P32" s="671">
        <v>0</v>
      </c>
      <c r="Q32" s="671">
        <v>0</v>
      </c>
      <c r="R32" s="664">
        <v>0</v>
      </c>
      <c r="S32" s="671">
        <v>0</v>
      </c>
      <c r="T32" s="690">
        <v>0</v>
      </c>
      <c r="U32" s="690">
        <v>0</v>
      </c>
      <c r="V32" s="671">
        <v>0</v>
      </c>
      <c r="W32" s="253">
        <v>0</v>
      </c>
      <c r="X32" s="671">
        <v>0</v>
      </c>
    </row>
    <row r="33" spans="1:24" s="659" customFormat="1" ht="9.75">
      <c r="A33" s="708" t="s">
        <v>55</v>
      </c>
      <c r="B33" s="746" t="s">
        <v>56</v>
      </c>
      <c r="C33" s="746"/>
      <c r="D33" s="245" t="s">
        <v>25</v>
      </c>
      <c r="E33" s="677">
        <f>E6-E11</f>
        <v>0</v>
      </c>
      <c r="F33" s="661">
        <f t="shared" ref="F33:G33" si="10">F6-F11</f>
        <v>0</v>
      </c>
      <c r="G33" s="661">
        <f t="shared" si="10"/>
        <v>34174.599999999627</v>
      </c>
      <c r="H33" s="195">
        <v>0</v>
      </c>
      <c r="I33" s="678">
        <f t="shared" ref="I33:L33" si="11">I6-I11</f>
        <v>1778.5299999993294</v>
      </c>
      <c r="J33" s="677">
        <f t="shared" si="11"/>
        <v>0</v>
      </c>
      <c r="K33" s="661">
        <f t="shared" si="11"/>
        <v>0</v>
      </c>
      <c r="L33" s="661">
        <f t="shared" si="11"/>
        <v>34174.599999999627</v>
      </c>
      <c r="M33" s="658">
        <v>0</v>
      </c>
      <c r="N33" s="678">
        <f t="shared" ref="N33:Q33" si="12">N6-N11</f>
        <v>1778.5299999993294</v>
      </c>
      <c r="O33" s="677">
        <f t="shared" si="12"/>
        <v>0</v>
      </c>
      <c r="P33" s="661">
        <f t="shared" si="12"/>
        <v>0</v>
      </c>
      <c r="Q33" s="661">
        <f t="shared" si="12"/>
        <v>0</v>
      </c>
      <c r="R33" s="658">
        <v>0</v>
      </c>
      <c r="S33" s="678">
        <f t="shared" ref="S33:V33" si="13">S6-S11</f>
        <v>0</v>
      </c>
      <c r="T33" s="677">
        <f t="shared" si="13"/>
        <v>40000</v>
      </c>
      <c r="U33" s="661">
        <f t="shared" si="13"/>
        <v>0</v>
      </c>
      <c r="V33" s="661">
        <f t="shared" si="13"/>
        <v>25071.909999999916</v>
      </c>
      <c r="W33" s="658">
        <v>0</v>
      </c>
      <c r="X33" s="678">
        <f>X6-X11</f>
        <v>-202482.41000000003</v>
      </c>
    </row>
    <row r="34" spans="1:24" s="660" customFormat="1" ht="9.75">
      <c r="A34" s="713" t="s">
        <v>57</v>
      </c>
      <c r="B34" s="1157" t="s">
        <v>237</v>
      </c>
      <c r="C34" s="1157"/>
      <c r="D34" s="715" t="s">
        <v>25</v>
      </c>
      <c r="E34" s="233"/>
      <c r="F34" s="234"/>
      <c r="G34" s="234"/>
      <c r="H34" s="669"/>
      <c r="I34" s="237"/>
      <c r="J34" s="716"/>
      <c r="K34" s="717"/>
      <c r="L34" s="51">
        <v>27835</v>
      </c>
      <c r="M34" s="664"/>
      <c r="N34" s="51">
        <v>27125</v>
      </c>
      <c r="O34" s="239"/>
      <c r="P34" s="240"/>
      <c r="Q34" s="240"/>
      <c r="R34" s="664"/>
      <c r="S34" s="243"/>
      <c r="T34" s="716"/>
      <c r="U34" s="717"/>
      <c r="V34" s="717"/>
      <c r="W34" s="664">
        <v>0</v>
      </c>
      <c r="X34" s="718"/>
    </row>
    <row r="35" spans="1:24" s="660" customFormat="1" ht="9.75">
      <c r="A35" s="714" t="s">
        <v>58</v>
      </c>
      <c r="B35" s="1156" t="s">
        <v>238</v>
      </c>
      <c r="C35" s="1156"/>
      <c r="D35" s="719" t="s">
        <v>26</v>
      </c>
      <c r="E35" s="233"/>
      <c r="F35" s="234"/>
      <c r="G35" s="234"/>
      <c r="H35" s="669"/>
      <c r="I35" s="237"/>
      <c r="J35" s="716"/>
      <c r="K35" s="717"/>
      <c r="L35" s="51">
        <v>4</v>
      </c>
      <c r="M35" s="664"/>
      <c r="N35" s="51">
        <v>4</v>
      </c>
      <c r="O35" s="239"/>
      <c r="P35" s="240"/>
      <c r="Q35" s="240"/>
      <c r="R35" s="664"/>
      <c r="S35" s="243"/>
      <c r="T35" s="716"/>
      <c r="U35" s="717"/>
      <c r="V35" s="717">
        <v>1</v>
      </c>
      <c r="W35" s="664">
        <v>0</v>
      </c>
      <c r="X35" s="718"/>
    </row>
    <row r="36" spans="1:24" s="660" customFormat="1" ht="9.75">
      <c r="A36" s="714" t="s">
        <v>59</v>
      </c>
      <c r="B36" s="1156" t="s">
        <v>239</v>
      </c>
      <c r="C36" s="1156"/>
      <c r="D36" s="719" t="s">
        <v>26</v>
      </c>
      <c r="E36" s="233"/>
      <c r="F36" s="234"/>
      <c r="G36" s="234"/>
      <c r="H36" s="669"/>
      <c r="I36" s="237"/>
      <c r="J36" s="716"/>
      <c r="K36" s="717"/>
      <c r="L36" s="51">
        <v>5</v>
      </c>
      <c r="M36" s="664"/>
      <c r="N36" s="51">
        <v>5</v>
      </c>
      <c r="O36" s="239"/>
      <c r="P36" s="240"/>
      <c r="Q36" s="240"/>
      <c r="R36" s="664"/>
      <c r="S36" s="243"/>
      <c r="T36" s="716"/>
      <c r="U36" s="717"/>
      <c r="V36" s="717">
        <v>1</v>
      </c>
      <c r="W36" s="664">
        <v>0</v>
      </c>
      <c r="X36" s="718"/>
    </row>
    <row r="37" spans="1:24" s="660" customFormat="1" ht="10.5" thickBot="1">
      <c r="A37" s="720" t="s">
        <v>240</v>
      </c>
      <c r="B37" s="1174" t="s">
        <v>241</v>
      </c>
      <c r="C37" s="1174"/>
      <c r="D37" s="721" t="s">
        <v>242</v>
      </c>
      <c r="E37" s="235"/>
      <c r="F37" s="236"/>
      <c r="G37" s="236"/>
      <c r="H37" s="693"/>
      <c r="I37" s="238"/>
      <c r="J37" s="722"/>
      <c r="K37" s="723"/>
      <c r="L37" s="723">
        <v>16</v>
      </c>
      <c r="M37" s="724"/>
      <c r="N37" s="723">
        <v>27</v>
      </c>
      <c r="O37" s="241"/>
      <c r="P37" s="242"/>
      <c r="Q37" s="242"/>
      <c r="R37" s="724"/>
      <c r="S37" s="244"/>
      <c r="T37" s="722"/>
      <c r="U37" s="723"/>
      <c r="V37" s="723">
        <v>14</v>
      </c>
      <c r="W37" s="724">
        <v>0</v>
      </c>
      <c r="X37" s="725"/>
    </row>
  </sheetData>
  <mergeCells count="40">
    <mergeCell ref="B37:C37"/>
    <mergeCell ref="O3:S3"/>
    <mergeCell ref="T3:X3"/>
    <mergeCell ref="E4:E5"/>
    <mergeCell ref="F4:H4"/>
    <mergeCell ref="O4:O5"/>
    <mergeCell ref="P4:R4"/>
    <mergeCell ref="S4:S5"/>
    <mergeCell ref="T4:T5"/>
    <mergeCell ref="U4:W4"/>
    <mergeCell ref="X4:X5"/>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A1:X1"/>
    <mergeCell ref="B7:C7"/>
    <mergeCell ref="I4:I5"/>
    <mergeCell ref="J4:J5"/>
    <mergeCell ref="K4:M4"/>
    <mergeCell ref="N4:N5"/>
    <mergeCell ref="B6:C6"/>
    <mergeCell ref="A3:A5"/>
    <mergeCell ref="B3:C5"/>
    <mergeCell ref="D3:D5"/>
    <mergeCell ref="E3:I3"/>
    <mergeCell ref="J3:N3"/>
  </mergeCells>
  <pageMargins left="0.23622047244094491" right="0.23622047244094491" top="0.74803149606299213" bottom="0.74803149606299213" header="0.31496062992125984" footer="0.31496062992125984"/>
  <pageSetup paperSize="9" scale="95" firstPageNumber="210" orientation="landscape" useFirstPageNumber="1"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3"/>
  <sheetViews>
    <sheetView tabSelected="1" zoomScaleNormal="100" workbookViewId="0">
      <selection activeCell="E14" sqref="E14"/>
    </sheetView>
  </sheetViews>
  <sheetFormatPr defaultColWidth="25.25" defaultRowHeight="8.25"/>
  <cols>
    <col min="1" max="1" width="58" style="280" customWidth="1"/>
    <col min="2" max="2" width="33.5" style="280" customWidth="1"/>
    <col min="3" max="5" width="25.75" style="280" customWidth="1"/>
    <col min="6" max="6" width="22.75" style="280" customWidth="1"/>
    <col min="7" max="26" width="16" style="280" customWidth="1"/>
    <col min="27" max="16384" width="25.25" style="280"/>
  </cols>
  <sheetData>
    <row r="1" spans="1:26" ht="18.75">
      <c r="A1" s="1072" t="s">
        <v>73</v>
      </c>
      <c r="B1" s="1744" t="s">
        <v>1287</v>
      </c>
      <c r="C1" s="1721"/>
      <c r="D1" s="1721"/>
      <c r="E1" s="1721"/>
      <c r="F1" s="1721"/>
      <c r="G1" s="1721"/>
      <c r="H1" s="1721"/>
      <c r="I1" s="1721"/>
      <c r="J1" s="1072"/>
      <c r="K1" s="1072"/>
      <c r="L1" s="1072"/>
      <c r="M1" s="1072"/>
      <c r="N1" s="1072"/>
      <c r="O1" s="1072"/>
      <c r="P1" s="1072"/>
      <c r="Q1" s="1072"/>
      <c r="R1" s="1072"/>
      <c r="S1" s="1072"/>
      <c r="T1" s="1072"/>
      <c r="U1" s="1072"/>
      <c r="V1" s="1072"/>
      <c r="W1" s="1072"/>
      <c r="X1" s="1072"/>
      <c r="Y1" s="1072"/>
      <c r="Z1" s="1072"/>
    </row>
    <row r="2" spans="1:26" ht="12.75" customHeight="1">
      <c r="A2" s="1073"/>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row>
    <row r="3" spans="1:26" ht="12.75" customHeight="1">
      <c r="A3" s="1688" t="s">
        <v>412</v>
      </c>
      <c r="B3" s="1689"/>
      <c r="C3" s="1689"/>
      <c r="D3" s="1689"/>
      <c r="E3" s="1689"/>
      <c r="F3" s="1689"/>
      <c r="G3" s="1689"/>
      <c r="H3" s="1689"/>
      <c r="I3" s="1689"/>
      <c r="J3" s="1074"/>
      <c r="K3" s="1074"/>
      <c r="L3" s="1074"/>
      <c r="M3" s="1074"/>
      <c r="N3" s="1074"/>
      <c r="O3" s="1074"/>
      <c r="P3" s="1074"/>
      <c r="Q3" s="1074"/>
      <c r="R3" s="1074"/>
      <c r="S3" s="1074"/>
      <c r="T3" s="1074"/>
      <c r="U3" s="1074"/>
      <c r="V3" s="1074"/>
      <c r="W3" s="1074"/>
      <c r="X3" s="1074"/>
      <c r="Y3" s="1074"/>
      <c r="Z3" s="1074"/>
    </row>
    <row r="4" spans="1:26" ht="12.75" customHeight="1">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row>
    <row r="5" spans="1:26" ht="12.75" customHeight="1">
      <c r="A5" s="1690" t="s">
        <v>74</v>
      </c>
      <c r="B5" s="1691"/>
      <c r="C5" s="1076" t="s">
        <v>25</v>
      </c>
      <c r="D5" s="1690" t="s">
        <v>413</v>
      </c>
      <c r="E5" s="1692"/>
      <c r="F5" s="1692"/>
      <c r="G5" s="1692"/>
      <c r="H5" s="1692"/>
      <c r="I5" s="1691"/>
      <c r="J5" s="1077"/>
      <c r="K5" s="1077"/>
      <c r="L5" s="1077"/>
      <c r="M5" s="1077"/>
      <c r="N5" s="1077"/>
      <c r="O5" s="1077"/>
      <c r="P5" s="1077"/>
      <c r="Q5" s="1077"/>
      <c r="R5" s="1077"/>
      <c r="S5" s="1077"/>
      <c r="T5" s="1077"/>
      <c r="U5" s="1077"/>
      <c r="V5" s="1077"/>
      <c r="W5" s="1077"/>
      <c r="X5" s="1077"/>
      <c r="Y5" s="1077"/>
      <c r="Z5" s="1077"/>
    </row>
    <row r="6" spans="1:26" ht="15" customHeight="1">
      <c r="A6" s="1693" t="s">
        <v>414</v>
      </c>
      <c r="B6" s="1691"/>
      <c r="C6" s="1078">
        <f>SUM(C7:C9)</f>
        <v>59247.41</v>
      </c>
      <c r="D6" s="1694"/>
      <c r="E6" s="1695"/>
      <c r="F6" s="1695"/>
      <c r="G6" s="1695"/>
      <c r="H6" s="1695"/>
      <c r="I6" s="1696"/>
      <c r="J6" s="1075"/>
      <c r="K6" s="1075"/>
      <c r="L6" s="1075"/>
      <c r="M6" s="1075"/>
      <c r="N6" s="1075"/>
      <c r="O6" s="1075"/>
      <c r="P6" s="1075"/>
      <c r="Q6" s="1075"/>
      <c r="R6" s="1075"/>
      <c r="S6" s="1075"/>
      <c r="T6" s="1075"/>
      <c r="U6" s="1075"/>
      <c r="V6" s="1075"/>
      <c r="W6" s="1075"/>
      <c r="X6" s="1075"/>
      <c r="Y6" s="1075"/>
      <c r="Z6" s="1075"/>
    </row>
    <row r="7" spans="1:26" ht="33.75" customHeight="1">
      <c r="A7" s="1697" t="s">
        <v>75</v>
      </c>
      <c r="B7" s="1698"/>
      <c r="C7" s="1079">
        <v>34175.18</v>
      </c>
      <c r="D7" s="1699" t="s">
        <v>1288</v>
      </c>
      <c r="E7" s="1700"/>
      <c r="F7" s="1700"/>
      <c r="G7" s="1700"/>
      <c r="H7" s="1700"/>
      <c r="I7" s="1701"/>
      <c r="J7" s="1075"/>
      <c r="K7" s="1075"/>
      <c r="L7" s="1075"/>
      <c r="M7" s="1075"/>
      <c r="N7" s="1075"/>
      <c r="O7" s="1075"/>
      <c r="P7" s="1075"/>
      <c r="Q7" s="1075"/>
      <c r="R7" s="1075"/>
      <c r="S7" s="1075"/>
      <c r="T7" s="1075"/>
      <c r="U7" s="1075"/>
      <c r="V7" s="1075"/>
      <c r="W7" s="1075"/>
      <c r="X7" s="1075"/>
      <c r="Y7" s="1075"/>
      <c r="Z7" s="1075"/>
    </row>
    <row r="8" spans="1:26" ht="53.25" customHeight="1">
      <c r="A8" s="1702" t="s">
        <v>76</v>
      </c>
      <c r="B8" s="1703"/>
      <c r="C8" s="1080">
        <v>25072.23</v>
      </c>
      <c r="D8" s="1704" t="s">
        <v>1289</v>
      </c>
      <c r="E8" s="1705"/>
      <c r="F8" s="1705"/>
      <c r="G8" s="1705"/>
      <c r="H8" s="1705"/>
      <c r="I8" s="1706"/>
      <c r="J8" s="1074"/>
      <c r="K8" s="1074"/>
      <c r="L8" s="1074"/>
      <c r="M8" s="1074"/>
      <c r="N8" s="1074"/>
      <c r="O8" s="1074"/>
      <c r="P8" s="1074"/>
      <c r="Q8" s="1074"/>
      <c r="R8" s="1074"/>
      <c r="S8" s="1074"/>
      <c r="T8" s="1074"/>
      <c r="U8" s="1074"/>
      <c r="V8" s="1074"/>
      <c r="W8" s="1074"/>
      <c r="X8" s="1074"/>
      <c r="Y8" s="1074"/>
      <c r="Z8" s="1074"/>
    </row>
    <row r="9" spans="1:26" ht="15" customHeight="1">
      <c r="A9" s="1707" t="s">
        <v>77</v>
      </c>
      <c r="B9" s="1708"/>
      <c r="C9" s="1081">
        <v>0</v>
      </c>
      <c r="D9" s="1709"/>
      <c r="E9" s="1710"/>
      <c r="F9" s="1710"/>
      <c r="G9" s="1710"/>
      <c r="H9" s="1710"/>
      <c r="I9" s="1711"/>
      <c r="J9" s="1074"/>
      <c r="K9" s="1074"/>
      <c r="L9" s="1074"/>
      <c r="M9" s="1074"/>
      <c r="N9" s="1074"/>
      <c r="O9" s="1074"/>
      <c r="P9" s="1074"/>
      <c r="Q9" s="1074"/>
      <c r="R9" s="1074"/>
      <c r="S9" s="1074"/>
      <c r="T9" s="1074"/>
      <c r="U9" s="1074"/>
      <c r="V9" s="1074"/>
      <c r="W9" s="1074"/>
      <c r="X9" s="1074"/>
      <c r="Y9" s="1074"/>
      <c r="Z9" s="1074"/>
    </row>
    <row r="10" spans="1:26" ht="12.75" customHeight="1">
      <c r="A10" s="1075"/>
      <c r="B10" s="1075"/>
      <c r="C10" s="1082"/>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row>
    <row r="11" spans="1:26" ht="12.75" customHeight="1">
      <c r="A11" s="1688" t="s">
        <v>419</v>
      </c>
      <c r="B11" s="1689"/>
      <c r="C11" s="1689"/>
      <c r="D11" s="1689"/>
      <c r="E11" s="1689"/>
      <c r="F11" s="1689"/>
      <c r="G11" s="1689"/>
      <c r="H11" s="1689"/>
      <c r="I11" s="1689"/>
      <c r="J11" s="1075"/>
      <c r="K11" s="1075"/>
      <c r="L11" s="1075"/>
      <c r="M11" s="1075"/>
      <c r="N11" s="1075"/>
      <c r="O11" s="1075"/>
      <c r="P11" s="1075"/>
      <c r="Q11" s="1075"/>
      <c r="R11" s="1075"/>
      <c r="S11" s="1075"/>
      <c r="T11" s="1075"/>
      <c r="U11" s="1075"/>
      <c r="V11" s="1075"/>
      <c r="W11" s="1075"/>
      <c r="X11" s="1075"/>
      <c r="Y11" s="1075"/>
      <c r="Z11" s="1075"/>
    </row>
    <row r="12" spans="1:26" ht="12.75" customHeight="1">
      <c r="A12" s="1075"/>
      <c r="B12" s="1075"/>
      <c r="C12" s="1082"/>
      <c r="D12" s="1075"/>
      <c r="E12" s="1075"/>
      <c r="F12" s="1075"/>
      <c r="G12" s="1075"/>
      <c r="H12" s="1075"/>
      <c r="I12" s="1075"/>
      <c r="J12" s="1075"/>
      <c r="K12" s="1075"/>
      <c r="L12" s="1075"/>
      <c r="M12" s="1075"/>
      <c r="N12" s="1075"/>
      <c r="O12" s="1075"/>
      <c r="P12" s="1075"/>
      <c r="Q12" s="1075"/>
      <c r="R12" s="1075"/>
      <c r="S12" s="1075"/>
      <c r="T12" s="1075"/>
      <c r="U12" s="1075"/>
      <c r="V12" s="1075"/>
      <c r="W12" s="1075"/>
      <c r="X12" s="1075"/>
      <c r="Y12" s="1075"/>
      <c r="Z12" s="1075"/>
    </row>
    <row r="13" spans="1:26" ht="12.75" customHeight="1">
      <c r="A13" s="1076" t="s">
        <v>74</v>
      </c>
      <c r="B13" s="1076" t="s">
        <v>78</v>
      </c>
      <c r="C13" s="1076" t="s">
        <v>25</v>
      </c>
      <c r="D13" s="1083"/>
      <c r="E13" s="1083"/>
      <c r="F13" s="1083"/>
      <c r="G13" s="1083"/>
      <c r="H13" s="1083"/>
      <c r="I13" s="1083"/>
      <c r="J13" s="1084"/>
      <c r="K13" s="1084"/>
      <c r="L13" s="1084"/>
      <c r="M13" s="1084"/>
      <c r="N13" s="1084"/>
      <c r="O13" s="1084"/>
      <c r="P13" s="1084"/>
      <c r="Q13" s="1084"/>
      <c r="R13" s="1084"/>
      <c r="S13" s="1084"/>
      <c r="T13" s="1084"/>
      <c r="U13" s="1084"/>
      <c r="V13" s="1084"/>
      <c r="W13" s="1084"/>
      <c r="X13" s="1084"/>
      <c r="Y13" s="1084"/>
      <c r="Z13" s="1084"/>
    </row>
    <row r="14" spans="1:26" ht="15" customHeight="1">
      <c r="A14" s="1085" t="s">
        <v>79</v>
      </c>
      <c r="B14" s="1086"/>
      <c r="C14" s="1087">
        <v>30907</v>
      </c>
      <c r="D14" s="1088"/>
      <c r="E14" s="1088"/>
      <c r="F14" s="1088"/>
      <c r="G14" s="1088"/>
      <c r="H14" s="1088"/>
      <c r="I14" s="1088"/>
      <c r="J14" s="1075"/>
      <c r="K14" s="1075"/>
      <c r="L14" s="1075"/>
      <c r="M14" s="1075"/>
      <c r="N14" s="1075"/>
      <c r="O14" s="1075"/>
      <c r="P14" s="1075"/>
      <c r="Q14" s="1075"/>
      <c r="R14" s="1075"/>
      <c r="S14" s="1075"/>
      <c r="T14" s="1075"/>
      <c r="U14" s="1075"/>
      <c r="V14" s="1075"/>
      <c r="W14" s="1075"/>
      <c r="X14" s="1075"/>
      <c r="Y14" s="1075"/>
      <c r="Z14" s="1075"/>
    </row>
    <row r="15" spans="1:26" ht="15" customHeight="1">
      <c r="A15" s="1685" t="s">
        <v>80</v>
      </c>
      <c r="B15" s="1089" t="s">
        <v>91</v>
      </c>
      <c r="C15" s="1090">
        <v>0</v>
      </c>
      <c r="D15" s="1088"/>
      <c r="E15" s="1088"/>
      <c r="F15" s="1088"/>
      <c r="G15" s="1088"/>
      <c r="H15" s="1088"/>
      <c r="I15" s="1088"/>
      <c r="J15" s="1075"/>
      <c r="K15" s="1075"/>
      <c r="L15" s="1075"/>
      <c r="M15" s="1075"/>
      <c r="N15" s="1075"/>
      <c r="O15" s="1075"/>
      <c r="P15" s="1075"/>
      <c r="Q15" s="1075"/>
      <c r="R15" s="1075"/>
      <c r="S15" s="1075"/>
      <c r="T15" s="1075"/>
      <c r="U15" s="1075"/>
      <c r="V15" s="1075"/>
      <c r="W15" s="1075"/>
      <c r="X15" s="1075"/>
      <c r="Y15" s="1075"/>
      <c r="Z15" s="1075"/>
    </row>
    <row r="16" spans="1:26" ht="15" customHeight="1">
      <c r="A16" s="1686"/>
      <c r="B16" s="1091" t="s">
        <v>81</v>
      </c>
      <c r="C16" s="1092">
        <v>18340.41</v>
      </c>
      <c r="D16" s="1093"/>
      <c r="E16" s="1093"/>
      <c r="F16" s="1093"/>
      <c r="G16" s="1093"/>
      <c r="H16" s="1093"/>
      <c r="I16" s="1093"/>
      <c r="J16" s="1075"/>
      <c r="K16" s="1075"/>
      <c r="L16" s="1075"/>
      <c r="M16" s="1075"/>
      <c r="N16" s="1075"/>
      <c r="O16" s="1075"/>
      <c r="P16" s="1075"/>
      <c r="Q16" s="1075"/>
      <c r="R16" s="1075"/>
      <c r="S16" s="1075"/>
      <c r="T16" s="1075"/>
      <c r="U16" s="1075"/>
      <c r="V16" s="1075"/>
      <c r="W16" s="1075"/>
      <c r="X16" s="1075"/>
      <c r="Y16" s="1075"/>
      <c r="Z16" s="1075"/>
    </row>
    <row r="17" spans="1:26" ht="15" customHeight="1">
      <c r="A17" s="1687"/>
      <c r="B17" s="1094" t="s">
        <v>82</v>
      </c>
      <c r="C17" s="1095">
        <v>10000</v>
      </c>
      <c r="D17" s="1096"/>
      <c r="E17" s="1096"/>
      <c r="F17" s="1096"/>
      <c r="G17" s="1096"/>
      <c r="H17" s="1096"/>
      <c r="I17" s="1096"/>
      <c r="J17" s="1075"/>
      <c r="K17" s="1075"/>
      <c r="L17" s="1075"/>
      <c r="M17" s="1075"/>
      <c r="N17" s="1075"/>
      <c r="O17" s="1075"/>
      <c r="P17" s="1075"/>
      <c r="Q17" s="1075"/>
      <c r="R17" s="1075"/>
      <c r="S17" s="1075"/>
      <c r="T17" s="1075"/>
      <c r="U17" s="1075"/>
      <c r="V17" s="1075"/>
      <c r="W17" s="1075"/>
      <c r="X17" s="1075"/>
      <c r="Y17" s="1075"/>
      <c r="Z17" s="1075"/>
    </row>
    <row r="18" spans="1:26" ht="15" customHeight="1">
      <c r="A18" s="1097" t="s">
        <v>414</v>
      </c>
      <c r="B18" s="1098"/>
      <c r="C18" s="1099">
        <f>SUM(C14:C17)</f>
        <v>59247.41</v>
      </c>
      <c r="D18" s="1100"/>
      <c r="E18" s="1100"/>
      <c r="F18" s="1100"/>
      <c r="G18" s="1100"/>
      <c r="H18" s="1100"/>
      <c r="I18" s="1100"/>
      <c r="J18" s="1075"/>
      <c r="K18" s="1075"/>
      <c r="L18" s="1075"/>
      <c r="M18" s="1075"/>
      <c r="N18" s="1075"/>
      <c r="O18" s="1075"/>
      <c r="P18" s="1075"/>
      <c r="Q18" s="1075"/>
      <c r="R18" s="1075"/>
      <c r="S18" s="1075"/>
      <c r="T18" s="1075"/>
      <c r="U18" s="1075"/>
      <c r="V18" s="1075"/>
      <c r="W18" s="1075"/>
      <c r="X18" s="1075"/>
      <c r="Y18" s="1075"/>
      <c r="Z18" s="1075"/>
    </row>
    <row r="19" spans="1:26" ht="12.75" customHeight="1">
      <c r="A19" s="1101"/>
      <c r="B19" s="1075"/>
      <c r="C19" s="1082"/>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row>
    <row r="20" spans="1:26" ht="12.75" customHeight="1">
      <c r="A20" s="1688" t="s">
        <v>420</v>
      </c>
      <c r="B20" s="1689"/>
      <c r="C20" s="1689"/>
      <c r="D20" s="1689"/>
      <c r="E20" s="1689"/>
      <c r="F20" s="1689"/>
      <c r="G20" s="1689"/>
      <c r="H20" s="1689"/>
      <c r="I20" s="1689"/>
      <c r="J20" s="1075"/>
      <c r="K20" s="1075"/>
      <c r="L20" s="1075"/>
      <c r="M20" s="1075"/>
      <c r="N20" s="1075"/>
      <c r="O20" s="1075"/>
      <c r="P20" s="1075"/>
      <c r="Q20" s="1075"/>
      <c r="R20" s="1075"/>
      <c r="S20" s="1075"/>
      <c r="T20" s="1075"/>
      <c r="U20" s="1075"/>
      <c r="V20" s="1075"/>
      <c r="W20" s="1075"/>
      <c r="X20" s="1075"/>
      <c r="Y20" s="1075"/>
      <c r="Z20" s="1075"/>
    </row>
    <row r="21" spans="1:26" ht="12.75" customHeight="1">
      <c r="A21" s="1075"/>
      <c r="B21" s="1075"/>
      <c r="C21" s="1082"/>
      <c r="D21" s="1075"/>
      <c r="E21" s="1075"/>
      <c r="F21" s="1075"/>
      <c r="G21" s="1075"/>
      <c r="H21" s="1075"/>
      <c r="I21" s="1075"/>
      <c r="J21" s="1075"/>
      <c r="K21" s="1075"/>
      <c r="L21" s="1075"/>
      <c r="M21" s="1075"/>
      <c r="N21" s="1075"/>
      <c r="O21" s="1075"/>
      <c r="P21" s="1075"/>
      <c r="Q21" s="1075"/>
      <c r="R21" s="1075"/>
      <c r="S21" s="1075"/>
      <c r="T21" s="1075"/>
      <c r="U21" s="1075"/>
      <c r="V21" s="1075"/>
      <c r="W21" s="1075"/>
      <c r="X21" s="1075"/>
      <c r="Y21" s="1075"/>
      <c r="Z21" s="1075"/>
    </row>
    <row r="22" spans="1:26" ht="12.75" customHeight="1">
      <c r="A22" s="1076" t="s">
        <v>78</v>
      </c>
      <c r="B22" s="1076" t="s">
        <v>421</v>
      </c>
      <c r="C22" s="1102" t="s">
        <v>422</v>
      </c>
      <c r="D22" s="1076" t="s">
        <v>423</v>
      </c>
      <c r="E22" s="1076" t="s">
        <v>424</v>
      </c>
      <c r="F22" s="1690" t="s">
        <v>425</v>
      </c>
      <c r="G22" s="1692"/>
      <c r="H22" s="1692"/>
      <c r="I22" s="1691"/>
      <c r="J22" s="1077"/>
      <c r="K22" s="1077"/>
      <c r="L22" s="1077"/>
      <c r="M22" s="1077"/>
      <c r="N22" s="1077"/>
      <c r="O22" s="1077"/>
      <c r="P22" s="1077"/>
      <c r="Q22" s="1077"/>
      <c r="R22" s="1077"/>
      <c r="S22" s="1077"/>
      <c r="T22" s="1077"/>
      <c r="U22" s="1077"/>
      <c r="V22" s="1077"/>
      <c r="W22" s="1077"/>
      <c r="X22" s="1077"/>
      <c r="Y22" s="1077"/>
      <c r="Z22" s="1077"/>
    </row>
    <row r="23" spans="1:26" ht="15">
      <c r="A23" s="1103" t="s">
        <v>83</v>
      </c>
      <c r="B23" s="1104">
        <v>77927.95</v>
      </c>
      <c r="C23" s="1104">
        <v>1778.53</v>
      </c>
      <c r="D23" s="1104">
        <v>20000</v>
      </c>
      <c r="E23" s="1104">
        <f t="shared" ref="E23:E26" si="0">B23+C23-D23</f>
        <v>59706.479999999996</v>
      </c>
      <c r="F23" s="1712" t="s">
        <v>1290</v>
      </c>
      <c r="G23" s="1713"/>
      <c r="H23" s="1713"/>
      <c r="I23" s="1714"/>
      <c r="J23" s="1075"/>
      <c r="K23" s="1075"/>
      <c r="L23" s="1075"/>
      <c r="M23" s="1075"/>
      <c r="N23" s="1075"/>
      <c r="O23" s="1075"/>
      <c r="P23" s="1075"/>
      <c r="Q23" s="1075"/>
      <c r="R23" s="1075"/>
      <c r="S23" s="1075"/>
      <c r="T23" s="1075"/>
      <c r="U23" s="1075"/>
      <c r="V23" s="1075"/>
      <c r="W23" s="1075"/>
      <c r="X23" s="1075"/>
      <c r="Y23" s="1075"/>
      <c r="Z23" s="1075"/>
    </row>
    <row r="24" spans="1:26" ht="15">
      <c r="A24" s="1105" t="s">
        <v>84</v>
      </c>
      <c r="B24" s="1106">
        <v>254271.2</v>
      </c>
      <c r="C24" s="1106">
        <v>1094508</v>
      </c>
      <c r="D24" s="1106">
        <v>630548</v>
      </c>
      <c r="E24" s="1106">
        <f t="shared" si="0"/>
        <v>718231.2</v>
      </c>
      <c r="F24" s="1715" t="s">
        <v>1291</v>
      </c>
      <c r="G24" s="1705"/>
      <c r="H24" s="1705"/>
      <c r="I24" s="1706"/>
      <c r="J24" s="1075"/>
      <c r="K24" s="1075"/>
      <c r="L24" s="1075"/>
      <c r="M24" s="1075"/>
      <c r="N24" s="1075"/>
      <c r="O24" s="1075"/>
      <c r="P24" s="1075"/>
      <c r="Q24" s="1075"/>
      <c r="R24" s="1075"/>
      <c r="S24" s="1075"/>
      <c r="T24" s="1075"/>
      <c r="U24" s="1075"/>
      <c r="V24" s="1075"/>
      <c r="W24" s="1075"/>
      <c r="X24" s="1075"/>
      <c r="Y24" s="1075"/>
      <c r="Z24" s="1075"/>
    </row>
    <row r="25" spans="1:26" ht="15">
      <c r="A25" s="1105" t="s">
        <v>82</v>
      </c>
      <c r="B25" s="1106">
        <v>24700</v>
      </c>
      <c r="C25" s="1106">
        <v>0</v>
      </c>
      <c r="D25" s="1106">
        <v>0</v>
      </c>
      <c r="E25" s="1106">
        <f t="shared" si="0"/>
        <v>24700</v>
      </c>
      <c r="F25" s="1716" t="s">
        <v>1292</v>
      </c>
      <c r="G25" s="1705"/>
      <c r="H25" s="1705"/>
      <c r="I25" s="1706"/>
      <c r="J25" s="1075"/>
      <c r="K25" s="1075"/>
      <c r="L25" s="1075"/>
      <c r="M25" s="1075"/>
      <c r="N25" s="1075"/>
      <c r="O25" s="1075"/>
      <c r="P25" s="1075"/>
      <c r="Q25" s="1075"/>
      <c r="R25" s="1075"/>
      <c r="S25" s="1075"/>
      <c r="T25" s="1075"/>
      <c r="U25" s="1075"/>
      <c r="V25" s="1075"/>
      <c r="W25" s="1075"/>
      <c r="X25" s="1075"/>
      <c r="Y25" s="1075"/>
      <c r="Z25" s="1075"/>
    </row>
    <row r="26" spans="1:26" ht="15">
      <c r="A26" s="1107" t="s">
        <v>85</v>
      </c>
      <c r="B26" s="1108">
        <v>49008</v>
      </c>
      <c r="C26" s="1108">
        <v>39484</v>
      </c>
      <c r="D26" s="1108">
        <v>22364</v>
      </c>
      <c r="E26" s="1106">
        <f t="shared" si="0"/>
        <v>66128</v>
      </c>
      <c r="F26" s="1717" t="s">
        <v>1293</v>
      </c>
      <c r="G26" s="1710"/>
      <c r="H26" s="1710"/>
      <c r="I26" s="1711"/>
      <c r="J26" s="1075"/>
      <c r="K26" s="1075"/>
      <c r="L26" s="1075"/>
      <c r="M26" s="1075"/>
      <c r="N26" s="1075"/>
      <c r="O26" s="1075"/>
      <c r="P26" s="1075"/>
      <c r="Q26" s="1075"/>
      <c r="R26" s="1075"/>
      <c r="S26" s="1075"/>
      <c r="T26" s="1075"/>
      <c r="U26" s="1075"/>
      <c r="V26" s="1075"/>
      <c r="W26" s="1075"/>
      <c r="X26" s="1075"/>
      <c r="Y26" s="1075"/>
      <c r="Z26" s="1075"/>
    </row>
    <row r="27" spans="1:26" ht="12.75" customHeight="1">
      <c r="A27" s="1109" t="s">
        <v>34</v>
      </c>
      <c r="B27" s="1078">
        <f t="shared" ref="B27:E27" si="1">SUM(B23:B26)</f>
        <v>405907.15</v>
      </c>
      <c r="C27" s="1078">
        <f t="shared" si="1"/>
        <v>1135770.53</v>
      </c>
      <c r="D27" s="1078">
        <f t="shared" si="1"/>
        <v>672912</v>
      </c>
      <c r="E27" s="1078">
        <f t="shared" si="1"/>
        <v>868765.67999999993</v>
      </c>
      <c r="F27" s="1718"/>
      <c r="G27" s="1692"/>
      <c r="H27" s="1692"/>
      <c r="I27" s="1691"/>
      <c r="J27" s="1074"/>
      <c r="K27" s="1074"/>
      <c r="L27" s="1074"/>
      <c r="M27" s="1074"/>
      <c r="N27" s="1074"/>
      <c r="O27" s="1074"/>
      <c r="P27" s="1074"/>
      <c r="Q27" s="1074"/>
      <c r="R27" s="1074"/>
      <c r="S27" s="1074"/>
      <c r="T27" s="1074"/>
      <c r="U27" s="1074"/>
      <c r="V27" s="1074"/>
      <c r="W27" s="1074"/>
      <c r="X27" s="1074"/>
      <c r="Y27" s="1074"/>
      <c r="Z27" s="1074"/>
    </row>
    <row r="28" spans="1:26" ht="12.75" customHeight="1">
      <c r="A28" s="1075"/>
      <c r="B28" s="1075"/>
      <c r="C28" s="1082"/>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row>
    <row r="29" spans="1:26" ht="12.75" customHeight="1">
      <c r="A29" s="1688" t="s">
        <v>430</v>
      </c>
      <c r="B29" s="1689"/>
      <c r="C29" s="1689"/>
      <c r="D29" s="1689"/>
      <c r="E29" s="1689"/>
      <c r="F29" s="1689"/>
      <c r="G29" s="1689"/>
      <c r="H29" s="1689"/>
      <c r="I29" s="1689"/>
      <c r="J29" s="1075"/>
      <c r="K29" s="1075"/>
      <c r="L29" s="1075"/>
      <c r="M29" s="1075"/>
      <c r="N29" s="1075"/>
      <c r="O29" s="1075"/>
      <c r="P29" s="1075"/>
      <c r="Q29" s="1075"/>
      <c r="R29" s="1075"/>
      <c r="S29" s="1075"/>
      <c r="T29" s="1075"/>
      <c r="U29" s="1075"/>
      <c r="V29" s="1075"/>
      <c r="W29" s="1075"/>
      <c r="X29" s="1075"/>
      <c r="Y29" s="1075"/>
      <c r="Z29" s="1075"/>
    </row>
    <row r="30" spans="1:26" ht="12.75" customHeight="1">
      <c r="A30" s="1075"/>
      <c r="B30" s="1075"/>
      <c r="C30" s="1082"/>
      <c r="D30" s="1075"/>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row>
    <row r="31" spans="1:26" ht="12.75" customHeight="1">
      <c r="A31" s="1076" t="s">
        <v>86</v>
      </c>
      <c r="B31" s="1076" t="s">
        <v>25</v>
      </c>
      <c r="C31" s="1102" t="s">
        <v>87</v>
      </c>
      <c r="D31" s="1690" t="s">
        <v>88</v>
      </c>
      <c r="E31" s="1692"/>
      <c r="F31" s="1692"/>
      <c r="G31" s="1692"/>
      <c r="H31" s="1692"/>
      <c r="I31" s="1691"/>
      <c r="J31" s="1075"/>
      <c r="K31" s="1075"/>
      <c r="L31" s="1075"/>
      <c r="M31" s="1075"/>
      <c r="N31" s="1075"/>
      <c r="O31" s="1075"/>
      <c r="P31" s="1075"/>
      <c r="Q31" s="1075"/>
      <c r="R31" s="1075"/>
      <c r="S31" s="1075"/>
      <c r="T31" s="1075"/>
      <c r="U31" s="1075"/>
      <c r="V31" s="1075"/>
      <c r="W31" s="1075"/>
      <c r="X31" s="1075"/>
      <c r="Y31" s="1075"/>
      <c r="Z31" s="1075"/>
    </row>
    <row r="32" spans="1:26" ht="15" customHeight="1">
      <c r="A32" s="1110" t="s">
        <v>182</v>
      </c>
      <c r="B32" s="1104"/>
      <c r="C32" s="1111"/>
      <c r="D32" s="1719"/>
      <c r="E32" s="1695"/>
      <c r="F32" s="1695"/>
      <c r="G32" s="1695"/>
      <c r="H32" s="1695"/>
      <c r="I32" s="1696"/>
      <c r="J32" s="1075"/>
      <c r="K32" s="1075"/>
      <c r="L32" s="1075"/>
      <c r="M32" s="1075"/>
      <c r="N32" s="1075"/>
      <c r="O32" s="1075"/>
      <c r="P32" s="1075"/>
      <c r="Q32" s="1075"/>
      <c r="R32" s="1075"/>
      <c r="S32" s="1075"/>
      <c r="T32" s="1075"/>
      <c r="U32" s="1075"/>
      <c r="V32" s="1075"/>
      <c r="W32" s="1075"/>
      <c r="X32" s="1075"/>
      <c r="Y32" s="1075"/>
      <c r="Z32" s="1075"/>
    </row>
    <row r="33" spans="1:26" ht="15" customHeight="1">
      <c r="A33" s="1112"/>
      <c r="B33" s="1108"/>
      <c r="C33" s="1113"/>
      <c r="D33" s="1720"/>
      <c r="E33" s="1721"/>
      <c r="F33" s="1721"/>
      <c r="G33" s="1721"/>
      <c r="H33" s="1721"/>
      <c r="I33" s="1722"/>
      <c r="J33" s="1075"/>
      <c r="K33" s="1075"/>
      <c r="L33" s="1075"/>
      <c r="M33" s="1075"/>
      <c r="N33" s="1075"/>
      <c r="O33" s="1075"/>
      <c r="P33" s="1075"/>
      <c r="Q33" s="1075"/>
      <c r="R33" s="1075"/>
      <c r="S33" s="1075"/>
      <c r="T33" s="1075"/>
      <c r="U33" s="1075"/>
      <c r="V33" s="1075"/>
      <c r="W33" s="1075"/>
      <c r="X33" s="1075"/>
      <c r="Y33" s="1075"/>
      <c r="Z33" s="1075"/>
    </row>
    <row r="34" spans="1:26" ht="15" customHeight="1">
      <c r="A34" s="1114"/>
      <c r="B34" s="1115"/>
      <c r="C34" s="1116"/>
      <c r="D34" s="1723"/>
      <c r="E34" s="1724"/>
      <c r="F34" s="1724"/>
      <c r="G34" s="1724"/>
      <c r="H34" s="1724"/>
      <c r="I34" s="1725"/>
      <c r="J34" s="1075"/>
      <c r="K34" s="1075"/>
      <c r="L34" s="1075"/>
      <c r="M34" s="1075"/>
      <c r="N34" s="1075"/>
      <c r="O34" s="1075"/>
      <c r="P34" s="1075"/>
      <c r="Q34" s="1075"/>
      <c r="R34" s="1075"/>
      <c r="S34" s="1075"/>
      <c r="T34" s="1075"/>
      <c r="U34" s="1075"/>
      <c r="V34" s="1075"/>
      <c r="W34" s="1075"/>
      <c r="X34" s="1075"/>
      <c r="Y34" s="1075"/>
      <c r="Z34" s="1075"/>
    </row>
    <row r="35" spans="1:26" ht="12.75" customHeight="1">
      <c r="A35" s="1117" t="s">
        <v>34</v>
      </c>
      <c r="B35" s="1118">
        <f>SUM(B32:B34)</f>
        <v>0</v>
      </c>
      <c r="C35" s="1726"/>
      <c r="D35" s="1724"/>
      <c r="E35" s="1724"/>
      <c r="F35" s="1724"/>
      <c r="G35" s="1724"/>
      <c r="H35" s="1724"/>
      <c r="I35" s="1727"/>
      <c r="J35" s="1074"/>
      <c r="K35" s="1074"/>
      <c r="L35" s="1074"/>
      <c r="M35" s="1074"/>
      <c r="N35" s="1074"/>
      <c r="O35" s="1074"/>
      <c r="P35" s="1074"/>
      <c r="Q35" s="1074"/>
      <c r="R35" s="1074"/>
      <c r="S35" s="1074"/>
      <c r="T35" s="1074"/>
      <c r="U35" s="1074"/>
      <c r="V35" s="1074"/>
      <c r="W35" s="1074"/>
      <c r="X35" s="1074"/>
      <c r="Y35" s="1074"/>
      <c r="Z35" s="1074"/>
    </row>
    <row r="36" spans="1:26" ht="12.75" customHeight="1">
      <c r="A36" s="1075"/>
      <c r="B36" s="1075"/>
      <c r="C36" s="1082"/>
      <c r="D36" s="1075"/>
      <c r="E36" s="1075"/>
      <c r="F36" s="1075"/>
      <c r="G36" s="1075"/>
      <c r="H36" s="1075"/>
      <c r="I36" s="1075"/>
      <c r="J36" s="1075"/>
      <c r="K36" s="1075"/>
      <c r="L36" s="1075"/>
      <c r="M36" s="1075"/>
      <c r="N36" s="1075"/>
      <c r="O36" s="1075"/>
      <c r="P36" s="1075"/>
      <c r="Q36" s="1075"/>
      <c r="R36" s="1075"/>
      <c r="S36" s="1075"/>
      <c r="T36" s="1075"/>
      <c r="U36" s="1075"/>
      <c r="V36" s="1075"/>
      <c r="W36" s="1075"/>
      <c r="X36" s="1075"/>
      <c r="Y36" s="1075"/>
      <c r="Z36" s="1075"/>
    </row>
    <row r="37" spans="1:26" ht="12.75" customHeight="1">
      <c r="A37" s="1688" t="s">
        <v>431</v>
      </c>
      <c r="B37" s="1689"/>
      <c r="C37" s="1689"/>
      <c r="D37" s="1689"/>
      <c r="E37" s="1689"/>
      <c r="F37" s="1689"/>
      <c r="G37" s="1689"/>
      <c r="H37" s="1689"/>
      <c r="I37" s="1689"/>
      <c r="J37" s="1075"/>
      <c r="K37" s="1075"/>
      <c r="L37" s="1075"/>
      <c r="M37" s="1075"/>
      <c r="N37" s="1075"/>
      <c r="O37" s="1075"/>
      <c r="P37" s="1075"/>
      <c r="Q37" s="1075"/>
      <c r="R37" s="1075"/>
      <c r="S37" s="1075"/>
      <c r="T37" s="1075"/>
      <c r="U37" s="1075"/>
      <c r="V37" s="1075"/>
      <c r="W37" s="1075"/>
      <c r="X37" s="1075"/>
      <c r="Y37" s="1075"/>
      <c r="Z37" s="1075"/>
    </row>
    <row r="38" spans="1:26" ht="12.75" customHeight="1">
      <c r="A38" s="1075"/>
      <c r="B38" s="1075"/>
      <c r="C38" s="1082"/>
      <c r="D38" s="1075"/>
      <c r="E38" s="1075"/>
      <c r="F38" s="1075"/>
      <c r="G38" s="1075"/>
      <c r="H38" s="1075"/>
      <c r="I38" s="1075"/>
      <c r="J38" s="1075"/>
      <c r="K38" s="1075"/>
      <c r="L38" s="1075"/>
      <c r="M38" s="1075"/>
      <c r="N38" s="1075"/>
      <c r="O38" s="1075"/>
      <c r="P38" s="1075"/>
      <c r="Q38" s="1075"/>
      <c r="R38" s="1075"/>
      <c r="S38" s="1075"/>
      <c r="T38" s="1075"/>
      <c r="U38" s="1075"/>
      <c r="V38" s="1075"/>
      <c r="W38" s="1075"/>
      <c r="X38" s="1075"/>
      <c r="Y38" s="1075"/>
      <c r="Z38" s="1075"/>
    </row>
    <row r="39" spans="1:26" ht="12.75" customHeight="1">
      <c r="A39" s="1076" t="s">
        <v>86</v>
      </c>
      <c r="B39" s="1076" t="s">
        <v>25</v>
      </c>
      <c r="C39" s="1102" t="s">
        <v>87</v>
      </c>
      <c r="D39" s="1690" t="s">
        <v>88</v>
      </c>
      <c r="E39" s="1692"/>
      <c r="F39" s="1692"/>
      <c r="G39" s="1692"/>
      <c r="H39" s="1692"/>
      <c r="I39" s="1691"/>
      <c r="J39" s="1075"/>
      <c r="K39" s="1075"/>
      <c r="L39" s="1075"/>
      <c r="M39" s="1075"/>
      <c r="N39" s="1075"/>
      <c r="O39" s="1075"/>
      <c r="P39" s="1075"/>
      <c r="Q39" s="1075"/>
      <c r="R39" s="1075"/>
      <c r="S39" s="1075"/>
      <c r="T39" s="1075"/>
      <c r="U39" s="1075"/>
      <c r="V39" s="1075"/>
      <c r="W39" s="1075"/>
      <c r="X39" s="1075"/>
      <c r="Y39" s="1075"/>
      <c r="Z39" s="1075"/>
    </row>
    <row r="40" spans="1:26" ht="15" customHeight="1">
      <c r="A40" s="1110" t="s">
        <v>183</v>
      </c>
      <c r="B40" s="1104"/>
      <c r="C40" s="1111"/>
      <c r="D40" s="1728"/>
      <c r="E40" s="1700"/>
      <c r="F40" s="1700"/>
      <c r="G40" s="1700"/>
      <c r="H40" s="1700"/>
      <c r="I40" s="1701"/>
      <c r="J40" s="1075"/>
      <c r="K40" s="1075"/>
      <c r="L40" s="1075"/>
      <c r="M40" s="1075"/>
      <c r="N40" s="1075"/>
      <c r="O40" s="1075"/>
      <c r="P40" s="1075"/>
      <c r="Q40" s="1075"/>
      <c r="R40" s="1075"/>
      <c r="S40" s="1075"/>
      <c r="T40" s="1075"/>
      <c r="U40" s="1075"/>
      <c r="V40" s="1075"/>
      <c r="W40" s="1075"/>
      <c r="X40" s="1075"/>
      <c r="Y40" s="1075"/>
      <c r="Z40" s="1075"/>
    </row>
    <row r="41" spans="1:26" ht="15" customHeight="1">
      <c r="A41" s="1119"/>
      <c r="B41" s="1106"/>
      <c r="C41" s="1120"/>
      <c r="D41" s="1729"/>
      <c r="E41" s="1705"/>
      <c r="F41" s="1705"/>
      <c r="G41" s="1705"/>
      <c r="H41" s="1705"/>
      <c r="I41" s="1706"/>
      <c r="J41" s="1075"/>
      <c r="K41" s="1075"/>
      <c r="L41" s="1075"/>
      <c r="M41" s="1075"/>
      <c r="N41" s="1075"/>
      <c r="O41" s="1075"/>
      <c r="P41" s="1075"/>
      <c r="Q41" s="1075"/>
      <c r="R41" s="1075"/>
      <c r="S41" s="1075"/>
      <c r="T41" s="1075"/>
      <c r="U41" s="1075"/>
      <c r="V41" s="1075"/>
      <c r="W41" s="1075"/>
      <c r="X41" s="1075"/>
      <c r="Y41" s="1075"/>
      <c r="Z41" s="1075"/>
    </row>
    <row r="42" spans="1:26" ht="15" customHeight="1">
      <c r="A42" s="1119"/>
      <c r="B42" s="1106"/>
      <c r="C42" s="1120"/>
      <c r="D42" s="1729"/>
      <c r="E42" s="1705"/>
      <c r="F42" s="1705"/>
      <c r="G42" s="1705"/>
      <c r="H42" s="1705"/>
      <c r="I42" s="1706"/>
      <c r="J42" s="1075"/>
      <c r="K42" s="1075"/>
      <c r="L42" s="1075"/>
      <c r="M42" s="1075"/>
      <c r="N42" s="1075"/>
      <c r="O42" s="1075"/>
      <c r="P42" s="1075"/>
      <c r="Q42" s="1075"/>
      <c r="R42" s="1075"/>
      <c r="S42" s="1075"/>
      <c r="T42" s="1075"/>
      <c r="U42" s="1075"/>
      <c r="V42" s="1075"/>
      <c r="W42" s="1075"/>
      <c r="X42" s="1075"/>
      <c r="Y42" s="1075"/>
      <c r="Z42" s="1075"/>
    </row>
    <row r="43" spans="1:26" ht="12.75" customHeight="1">
      <c r="A43" s="1109" t="s">
        <v>34</v>
      </c>
      <c r="B43" s="1078">
        <f>SUM(B40:B42)</f>
        <v>0</v>
      </c>
      <c r="C43" s="1730"/>
      <c r="D43" s="1692"/>
      <c r="E43" s="1692"/>
      <c r="F43" s="1692"/>
      <c r="G43" s="1692"/>
      <c r="H43" s="1692"/>
      <c r="I43" s="1691"/>
      <c r="J43" s="1074"/>
      <c r="K43" s="1074"/>
      <c r="L43" s="1074"/>
      <c r="M43" s="1074"/>
      <c r="N43" s="1074"/>
      <c r="O43" s="1074"/>
      <c r="P43" s="1074"/>
      <c r="Q43" s="1074"/>
      <c r="R43" s="1074"/>
      <c r="S43" s="1074"/>
      <c r="T43" s="1074"/>
      <c r="U43" s="1074"/>
      <c r="V43" s="1074"/>
      <c r="W43" s="1074"/>
      <c r="X43" s="1074"/>
      <c r="Y43" s="1074"/>
      <c r="Z43" s="1074"/>
    </row>
    <row r="44" spans="1:26" ht="12.75" customHeight="1">
      <c r="A44" s="1075"/>
      <c r="B44" s="1075"/>
      <c r="C44" s="1082"/>
      <c r="D44" s="1075"/>
      <c r="E44" s="1075"/>
      <c r="F44" s="1075"/>
      <c r="G44" s="1075"/>
      <c r="H44" s="1075"/>
      <c r="I44" s="1075"/>
      <c r="J44" s="1075"/>
      <c r="K44" s="1075"/>
      <c r="L44" s="1075"/>
      <c r="M44" s="1075"/>
      <c r="N44" s="1075"/>
      <c r="O44" s="1075"/>
      <c r="P44" s="1075"/>
      <c r="Q44" s="1075"/>
      <c r="R44" s="1075"/>
      <c r="S44" s="1075"/>
      <c r="T44" s="1075"/>
      <c r="U44" s="1075"/>
      <c r="V44" s="1075"/>
      <c r="W44" s="1075"/>
      <c r="X44" s="1075"/>
      <c r="Y44" s="1075"/>
      <c r="Z44" s="1075"/>
    </row>
    <row r="45" spans="1:26" ht="12.75" customHeight="1">
      <c r="A45" s="1688" t="s">
        <v>432</v>
      </c>
      <c r="B45" s="1689"/>
      <c r="C45" s="1689"/>
      <c r="D45" s="1689"/>
      <c r="E45" s="1689"/>
      <c r="F45" s="1689"/>
      <c r="G45" s="1689"/>
      <c r="H45" s="1689"/>
      <c r="I45" s="1689"/>
      <c r="J45" s="1075"/>
      <c r="K45" s="1075"/>
      <c r="L45" s="1075"/>
      <c r="M45" s="1075"/>
      <c r="N45" s="1075"/>
      <c r="O45" s="1075"/>
      <c r="P45" s="1075"/>
      <c r="Q45" s="1075"/>
      <c r="R45" s="1075"/>
      <c r="S45" s="1075"/>
      <c r="T45" s="1075"/>
      <c r="U45" s="1075"/>
      <c r="V45" s="1075"/>
      <c r="W45" s="1075"/>
      <c r="X45" s="1075"/>
      <c r="Y45" s="1075"/>
      <c r="Z45" s="1075"/>
    </row>
    <row r="46" spans="1:26" ht="12.75" customHeight="1">
      <c r="A46" s="1075"/>
      <c r="B46" s="1075"/>
      <c r="C46" s="1082"/>
      <c r="D46" s="1075"/>
      <c r="E46" s="1075"/>
      <c r="F46" s="1075"/>
      <c r="G46" s="1075"/>
      <c r="H46" s="1075"/>
      <c r="I46" s="1075"/>
      <c r="J46" s="1075"/>
      <c r="K46" s="1075"/>
      <c r="L46" s="1075"/>
      <c r="M46" s="1075"/>
      <c r="N46" s="1075"/>
      <c r="O46" s="1075"/>
      <c r="P46" s="1075"/>
      <c r="Q46" s="1075"/>
      <c r="R46" s="1075"/>
      <c r="S46" s="1075"/>
      <c r="T46" s="1075"/>
      <c r="U46" s="1075"/>
      <c r="V46" s="1075"/>
      <c r="W46" s="1075"/>
      <c r="X46" s="1075"/>
      <c r="Y46" s="1075"/>
      <c r="Z46" s="1075"/>
    </row>
    <row r="47" spans="1:26" ht="12.75" customHeight="1">
      <c r="A47" s="1076" t="s">
        <v>25</v>
      </c>
      <c r="B47" s="1102" t="s">
        <v>433</v>
      </c>
      <c r="C47" s="1732" t="s">
        <v>89</v>
      </c>
      <c r="D47" s="1692"/>
      <c r="E47" s="1692"/>
      <c r="F47" s="1692"/>
      <c r="G47" s="1692"/>
      <c r="H47" s="1692"/>
      <c r="I47" s="1691"/>
      <c r="J47" s="1075"/>
      <c r="K47" s="1075"/>
      <c r="L47" s="1075"/>
      <c r="M47" s="1075"/>
      <c r="N47" s="1075"/>
      <c r="O47" s="1075"/>
      <c r="P47" s="1075"/>
      <c r="Q47" s="1075"/>
      <c r="R47" s="1075"/>
      <c r="S47" s="1075"/>
      <c r="T47" s="1075"/>
      <c r="U47" s="1075"/>
      <c r="V47" s="1075"/>
      <c r="W47" s="1075"/>
      <c r="X47" s="1075"/>
      <c r="Y47" s="1075"/>
      <c r="Z47" s="1075"/>
    </row>
    <row r="48" spans="1:26" ht="12.75" customHeight="1">
      <c r="A48" s="1121" t="s">
        <v>184</v>
      </c>
      <c r="B48" s="1122"/>
      <c r="C48" s="1733"/>
      <c r="D48" s="1695"/>
      <c r="E48" s="1695"/>
      <c r="F48" s="1695"/>
      <c r="G48" s="1695"/>
      <c r="H48" s="1695"/>
      <c r="I48" s="1696"/>
      <c r="J48" s="1075"/>
      <c r="K48" s="1075"/>
      <c r="L48" s="1075"/>
      <c r="M48" s="1075"/>
      <c r="N48" s="1075"/>
      <c r="O48" s="1075"/>
      <c r="P48" s="1075"/>
      <c r="Q48" s="1075"/>
      <c r="R48" s="1075"/>
      <c r="S48" s="1075"/>
      <c r="T48" s="1075"/>
      <c r="U48" s="1075"/>
      <c r="V48" s="1075"/>
      <c r="W48" s="1075"/>
      <c r="X48" s="1075"/>
      <c r="Y48" s="1075"/>
      <c r="Z48" s="1075"/>
    </row>
    <row r="49" spans="1:26" ht="9.75" customHeight="1">
      <c r="A49" s="1123"/>
      <c r="B49" s="1106"/>
      <c r="C49" s="1734"/>
      <c r="D49" s="1705"/>
      <c r="E49" s="1705"/>
      <c r="F49" s="1705"/>
      <c r="G49" s="1705"/>
      <c r="H49" s="1705"/>
      <c r="I49" s="1706"/>
      <c r="J49" s="1075"/>
      <c r="K49" s="1075"/>
      <c r="L49" s="1075"/>
      <c r="M49" s="1075"/>
      <c r="N49" s="1075"/>
      <c r="O49" s="1075"/>
      <c r="P49" s="1075"/>
      <c r="Q49" s="1075"/>
      <c r="R49" s="1075"/>
      <c r="S49" s="1075"/>
      <c r="T49" s="1075"/>
      <c r="U49" s="1075"/>
      <c r="V49" s="1075"/>
      <c r="W49" s="1075"/>
      <c r="X49" s="1075"/>
      <c r="Y49" s="1075"/>
      <c r="Z49" s="1075"/>
    </row>
    <row r="50" spans="1:26" ht="12.75" customHeight="1">
      <c r="A50" s="1124"/>
      <c r="B50" s="1125"/>
      <c r="C50" s="1735"/>
      <c r="D50" s="1724"/>
      <c r="E50" s="1724"/>
      <c r="F50" s="1724"/>
      <c r="G50" s="1724"/>
      <c r="H50" s="1724"/>
      <c r="I50" s="1725"/>
      <c r="J50" s="1075"/>
      <c r="K50" s="1075"/>
      <c r="L50" s="1075"/>
      <c r="M50" s="1075"/>
      <c r="N50" s="1075"/>
      <c r="O50" s="1075"/>
      <c r="P50" s="1075"/>
      <c r="Q50" s="1075"/>
      <c r="R50" s="1075"/>
      <c r="S50" s="1075"/>
      <c r="T50" s="1075"/>
      <c r="U50" s="1075"/>
      <c r="V50" s="1075"/>
      <c r="W50" s="1075"/>
      <c r="X50" s="1075"/>
      <c r="Y50" s="1075"/>
      <c r="Z50" s="1075"/>
    </row>
    <row r="51" spans="1:26" ht="12.75" customHeight="1">
      <c r="A51" s="1078" t="s">
        <v>34</v>
      </c>
      <c r="B51" s="1078">
        <f>B48+B49+B50</f>
        <v>0</v>
      </c>
      <c r="C51" s="1736" t="s">
        <v>34</v>
      </c>
      <c r="D51" s="1692"/>
      <c r="E51" s="1692"/>
      <c r="F51" s="1692"/>
      <c r="G51" s="1692"/>
      <c r="H51" s="1692"/>
      <c r="I51" s="1691"/>
      <c r="J51" s="1074"/>
      <c r="K51" s="1074"/>
      <c r="L51" s="1074"/>
      <c r="M51" s="1074"/>
      <c r="N51" s="1074"/>
      <c r="O51" s="1074"/>
      <c r="P51" s="1074"/>
      <c r="Q51" s="1074"/>
      <c r="R51" s="1074"/>
      <c r="S51" s="1074"/>
      <c r="T51" s="1074"/>
      <c r="U51" s="1074"/>
      <c r="V51" s="1074"/>
      <c r="W51" s="1074"/>
      <c r="X51" s="1074"/>
      <c r="Y51" s="1074"/>
      <c r="Z51" s="1074"/>
    </row>
    <row r="52" spans="1:26" ht="12.75" customHeight="1">
      <c r="A52" s="1075"/>
      <c r="B52" s="1075"/>
      <c r="C52" s="1082"/>
      <c r="D52" s="1075"/>
      <c r="E52" s="1075"/>
      <c r="F52" s="1075"/>
      <c r="G52" s="1075"/>
      <c r="H52" s="1075"/>
      <c r="I52" s="1075"/>
      <c r="J52" s="1075"/>
      <c r="K52" s="1075"/>
      <c r="L52" s="1075"/>
      <c r="M52" s="1075"/>
      <c r="N52" s="1075"/>
      <c r="O52" s="1075"/>
      <c r="P52" s="1075"/>
      <c r="Q52" s="1075"/>
      <c r="R52" s="1075"/>
      <c r="S52" s="1075"/>
      <c r="T52" s="1075"/>
      <c r="U52" s="1075"/>
      <c r="V52" s="1075"/>
      <c r="W52" s="1075"/>
      <c r="X52" s="1075"/>
      <c r="Y52" s="1075"/>
      <c r="Z52" s="1075"/>
    </row>
    <row r="53" spans="1:26" ht="12.75" customHeight="1">
      <c r="A53" s="1688" t="s">
        <v>434</v>
      </c>
      <c r="B53" s="1689"/>
      <c r="C53" s="1689"/>
      <c r="D53" s="1689"/>
      <c r="E53" s="1689"/>
      <c r="F53" s="1689"/>
      <c r="G53" s="1689"/>
      <c r="H53" s="1689"/>
      <c r="I53" s="1689"/>
      <c r="J53" s="1075"/>
      <c r="K53" s="1075"/>
      <c r="L53" s="1075"/>
      <c r="M53" s="1075"/>
      <c r="N53" s="1075"/>
      <c r="O53" s="1075"/>
      <c r="P53" s="1075"/>
      <c r="Q53" s="1075"/>
      <c r="R53" s="1075"/>
      <c r="S53" s="1075"/>
      <c r="T53" s="1075"/>
      <c r="U53" s="1075"/>
      <c r="V53" s="1075"/>
      <c r="W53" s="1075"/>
      <c r="X53" s="1075"/>
      <c r="Y53" s="1075"/>
      <c r="Z53" s="1075"/>
    </row>
    <row r="54" spans="1:26" ht="12.75" customHeight="1">
      <c r="A54" s="1075" t="s">
        <v>1294</v>
      </c>
      <c r="B54" s="1075"/>
      <c r="C54" s="1082"/>
      <c r="D54" s="1075"/>
      <c r="E54" s="1075"/>
      <c r="F54" s="1075"/>
      <c r="G54" s="1075"/>
      <c r="H54" s="1075"/>
      <c r="I54" s="1075"/>
      <c r="J54" s="1075"/>
      <c r="K54" s="1075"/>
      <c r="L54" s="1075"/>
      <c r="M54" s="1075"/>
      <c r="N54" s="1075"/>
      <c r="O54" s="1075"/>
      <c r="P54" s="1075"/>
      <c r="Q54" s="1075"/>
      <c r="R54" s="1075"/>
      <c r="S54" s="1075"/>
      <c r="T54" s="1075"/>
      <c r="U54" s="1075"/>
      <c r="V54" s="1075"/>
      <c r="W54" s="1075"/>
      <c r="X54" s="1075"/>
      <c r="Y54" s="1075"/>
      <c r="Z54" s="1075"/>
    </row>
    <row r="55" spans="1:26" ht="12.75" customHeight="1">
      <c r="A55" s="1737" t="s">
        <v>259</v>
      </c>
      <c r="B55" s="1691"/>
      <c r="C55" s="1126" t="s">
        <v>179</v>
      </c>
      <c r="D55" s="1126" t="s">
        <v>118</v>
      </c>
      <c r="E55" s="1126" t="s">
        <v>119</v>
      </c>
      <c r="F55" s="1126" t="s">
        <v>244</v>
      </c>
      <c r="G55" s="1126" t="s">
        <v>180</v>
      </c>
      <c r="H55" s="1127"/>
      <c r="I55" s="1127"/>
      <c r="J55" s="1127"/>
      <c r="K55" s="1127"/>
      <c r="L55" s="1127"/>
      <c r="M55" s="1127"/>
      <c r="N55" s="1127"/>
      <c r="O55" s="1127"/>
      <c r="P55" s="1127"/>
      <c r="Q55" s="1127"/>
      <c r="R55" s="1127"/>
      <c r="S55" s="1127"/>
      <c r="T55" s="1127"/>
      <c r="U55" s="1127"/>
      <c r="V55" s="1127"/>
      <c r="W55" s="1127"/>
      <c r="X55" s="1127"/>
      <c r="Y55" s="1127"/>
      <c r="Z55" s="1127"/>
    </row>
    <row r="56" spans="1:26" ht="23.25">
      <c r="A56" s="1738" t="s">
        <v>1295</v>
      </c>
      <c r="B56" s="1739"/>
      <c r="C56" s="1128">
        <v>511</v>
      </c>
      <c r="D56" s="1129">
        <v>0</v>
      </c>
      <c r="E56" s="1129">
        <v>60000</v>
      </c>
      <c r="F56" s="1130" t="s">
        <v>967</v>
      </c>
      <c r="G56" s="1131">
        <v>44286</v>
      </c>
      <c r="H56" s="1075"/>
      <c r="I56" s="1075"/>
      <c r="J56" s="1075"/>
      <c r="K56" s="1075"/>
      <c r="L56" s="1075"/>
      <c r="M56" s="1075"/>
      <c r="N56" s="1075"/>
      <c r="O56" s="1075"/>
      <c r="P56" s="1075"/>
      <c r="Q56" s="1075"/>
      <c r="R56" s="1075"/>
      <c r="S56" s="1075"/>
      <c r="T56" s="1075"/>
      <c r="U56" s="1075"/>
      <c r="V56" s="1075"/>
      <c r="W56" s="1075"/>
      <c r="X56" s="1075"/>
      <c r="Y56" s="1075"/>
      <c r="Z56" s="1075"/>
    </row>
    <row r="57" spans="1:26" ht="23.25">
      <c r="A57" s="1731" t="s">
        <v>1295</v>
      </c>
      <c r="B57" s="1703"/>
      <c r="C57" s="1132">
        <v>672</v>
      </c>
      <c r="D57" s="1133">
        <v>60000</v>
      </c>
      <c r="E57" s="1133">
        <v>0</v>
      </c>
      <c r="F57" s="1134" t="s">
        <v>967</v>
      </c>
      <c r="G57" s="1135">
        <v>44286</v>
      </c>
      <c r="H57" s="1075"/>
      <c r="I57" s="1075"/>
      <c r="J57" s="1075"/>
      <c r="K57" s="1075"/>
      <c r="L57" s="1075"/>
      <c r="M57" s="1075"/>
      <c r="N57" s="1075"/>
      <c r="O57" s="1075"/>
      <c r="P57" s="1075"/>
      <c r="Q57" s="1075"/>
      <c r="R57" s="1075"/>
      <c r="S57" s="1075"/>
      <c r="T57" s="1075"/>
      <c r="U57" s="1075"/>
      <c r="V57" s="1075"/>
      <c r="W57" s="1075"/>
      <c r="X57" s="1075"/>
      <c r="Y57" s="1075"/>
      <c r="Z57" s="1075"/>
    </row>
    <row r="58" spans="1:26" ht="15">
      <c r="A58" s="1731" t="s">
        <v>1296</v>
      </c>
      <c r="B58" s="1703"/>
      <c r="C58" s="1132">
        <v>511</v>
      </c>
      <c r="D58" s="1133">
        <v>0</v>
      </c>
      <c r="E58" s="1133">
        <v>21821</v>
      </c>
      <c r="F58" s="1134">
        <v>0</v>
      </c>
      <c r="G58" s="1135">
        <v>44286</v>
      </c>
      <c r="H58" s="1075"/>
      <c r="I58" s="1075"/>
      <c r="J58" s="1075"/>
      <c r="K58" s="1075"/>
      <c r="L58" s="1075"/>
      <c r="M58" s="1075"/>
      <c r="N58" s="1075"/>
      <c r="O58" s="1075"/>
      <c r="P58" s="1075"/>
      <c r="Q58" s="1075"/>
      <c r="R58" s="1075"/>
      <c r="S58" s="1075"/>
      <c r="T58" s="1075"/>
      <c r="U58" s="1075"/>
      <c r="V58" s="1075"/>
      <c r="W58" s="1075"/>
      <c r="X58" s="1075"/>
      <c r="Y58" s="1075"/>
      <c r="Z58" s="1075"/>
    </row>
    <row r="59" spans="1:26" ht="15">
      <c r="A59" s="1731" t="s">
        <v>1296</v>
      </c>
      <c r="B59" s="1703"/>
      <c r="C59" s="1132">
        <v>648</v>
      </c>
      <c r="D59" s="1133">
        <v>21821</v>
      </c>
      <c r="E59" s="1133">
        <v>0</v>
      </c>
      <c r="F59" s="1134">
        <v>0</v>
      </c>
      <c r="G59" s="1135">
        <v>44286</v>
      </c>
      <c r="H59" s="1075"/>
      <c r="I59" s="1075"/>
      <c r="J59" s="1075"/>
      <c r="K59" s="1075"/>
      <c r="L59" s="1075"/>
      <c r="M59" s="1075"/>
      <c r="N59" s="1075"/>
      <c r="O59" s="1075"/>
      <c r="P59" s="1075"/>
      <c r="Q59" s="1075"/>
      <c r="R59" s="1075"/>
      <c r="S59" s="1075"/>
      <c r="T59" s="1075"/>
      <c r="U59" s="1075"/>
      <c r="V59" s="1075"/>
      <c r="W59" s="1075"/>
      <c r="X59" s="1075"/>
      <c r="Y59" s="1075"/>
      <c r="Z59" s="1075"/>
    </row>
    <row r="60" spans="1:26" ht="15">
      <c r="A60" s="1731" t="s">
        <v>1297</v>
      </c>
      <c r="B60" s="1703"/>
      <c r="C60" s="1132">
        <v>542</v>
      </c>
      <c r="D60" s="1133">
        <v>0</v>
      </c>
      <c r="E60" s="1133">
        <v>28000</v>
      </c>
      <c r="F60" s="1134">
        <v>0</v>
      </c>
      <c r="G60" s="1135">
        <v>44286</v>
      </c>
      <c r="H60" s="1075"/>
      <c r="I60" s="1075"/>
      <c r="J60" s="1075"/>
      <c r="K60" s="1075"/>
      <c r="L60" s="1075"/>
      <c r="M60" s="1075"/>
      <c r="N60" s="1075"/>
      <c r="O60" s="1075"/>
      <c r="P60" s="1075"/>
      <c r="Q60" s="1075"/>
      <c r="R60" s="1075"/>
      <c r="S60" s="1075"/>
      <c r="T60" s="1075"/>
      <c r="U60" s="1075"/>
      <c r="V60" s="1075"/>
      <c r="W60" s="1075"/>
      <c r="X60" s="1075"/>
      <c r="Y60" s="1075"/>
      <c r="Z60" s="1075"/>
    </row>
    <row r="61" spans="1:26" ht="15">
      <c r="A61" s="1731" t="s">
        <v>1297</v>
      </c>
      <c r="B61" s="1703"/>
      <c r="C61" s="1132">
        <v>649</v>
      </c>
      <c r="D61" s="1133">
        <v>28000</v>
      </c>
      <c r="E61" s="1133">
        <v>0</v>
      </c>
      <c r="F61" s="1134">
        <v>0</v>
      </c>
      <c r="G61" s="1135">
        <v>44286</v>
      </c>
      <c r="H61" s="1075"/>
      <c r="I61" s="1075"/>
      <c r="J61" s="1075"/>
      <c r="K61" s="1075"/>
      <c r="L61" s="1075"/>
      <c r="M61" s="1075"/>
      <c r="N61" s="1075"/>
      <c r="O61" s="1075"/>
      <c r="P61" s="1075"/>
      <c r="Q61" s="1075"/>
      <c r="R61" s="1075"/>
      <c r="S61" s="1075"/>
      <c r="T61" s="1075"/>
      <c r="U61" s="1075"/>
      <c r="V61" s="1075"/>
      <c r="W61" s="1075"/>
      <c r="X61" s="1075"/>
      <c r="Y61" s="1075"/>
      <c r="Z61" s="1075"/>
    </row>
    <row r="62" spans="1:26" ht="15">
      <c r="A62" s="1731" t="s">
        <v>1298</v>
      </c>
      <c r="B62" s="1703"/>
      <c r="C62" s="1132">
        <v>511</v>
      </c>
      <c r="D62" s="1133">
        <v>0</v>
      </c>
      <c r="E62" s="1133">
        <v>17000</v>
      </c>
      <c r="F62" s="1134">
        <v>0</v>
      </c>
      <c r="G62" s="1135">
        <v>44377</v>
      </c>
      <c r="H62" s="1075"/>
      <c r="I62" s="1075"/>
      <c r="J62" s="1075"/>
      <c r="K62" s="1075"/>
      <c r="L62" s="1075"/>
      <c r="M62" s="1075"/>
      <c r="N62" s="1075"/>
      <c r="O62" s="1075"/>
      <c r="P62" s="1075"/>
      <c r="Q62" s="1075"/>
      <c r="R62" s="1075"/>
      <c r="S62" s="1075"/>
      <c r="T62" s="1075"/>
      <c r="U62" s="1075"/>
      <c r="V62" s="1075"/>
      <c r="W62" s="1075"/>
      <c r="X62" s="1075"/>
      <c r="Y62" s="1075"/>
      <c r="Z62" s="1075"/>
    </row>
    <row r="63" spans="1:26" ht="15">
      <c r="A63" s="1731" t="s">
        <v>1298</v>
      </c>
      <c r="B63" s="1703"/>
      <c r="C63" s="1132">
        <v>648</v>
      </c>
      <c r="D63" s="1133">
        <v>17000</v>
      </c>
      <c r="E63" s="1133">
        <v>0</v>
      </c>
      <c r="F63" s="1134">
        <v>0</v>
      </c>
      <c r="G63" s="1135">
        <v>44377</v>
      </c>
      <c r="H63" s="1075"/>
      <c r="I63" s="1075"/>
      <c r="J63" s="1075"/>
      <c r="K63" s="1075"/>
      <c r="L63" s="1075"/>
      <c r="M63" s="1075"/>
      <c r="N63" s="1075"/>
      <c r="O63" s="1075"/>
      <c r="P63" s="1075"/>
      <c r="Q63" s="1075"/>
      <c r="R63" s="1075"/>
      <c r="S63" s="1075"/>
      <c r="T63" s="1075"/>
      <c r="U63" s="1075"/>
      <c r="V63" s="1075"/>
      <c r="W63" s="1075"/>
      <c r="X63" s="1075"/>
      <c r="Y63" s="1075"/>
      <c r="Z63" s="1075"/>
    </row>
    <row r="64" spans="1:26" ht="15">
      <c r="A64" s="1731" t="s">
        <v>1299</v>
      </c>
      <c r="B64" s="1703"/>
      <c r="C64" s="1132">
        <v>648</v>
      </c>
      <c r="D64" s="1133">
        <v>29986</v>
      </c>
      <c r="E64" s="1133">
        <v>0</v>
      </c>
      <c r="F64" s="1134">
        <v>0</v>
      </c>
      <c r="G64" s="1135">
        <v>44408</v>
      </c>
      <c r="H64" s="1075"/>
      <c r="I64" s="1075"/>
      <c r="J64" s="1075"/>
      <c r="K64" s="1075"/>
      <c r="L64" s="1075"/>
      <c r="M64" s="1075"/>
      <c r="N64" s="1075"/>
      <c r="O64" s="1075"/>
      <c r="P64" s="1075"/>
      <c r="Q64" s="1075"/>
      <c r="R64" s="1075"/>
      <c r="S64" s="1075"/>
      <c r="T64" s="1075"/>
      <c r="U64" s="1075"/>
      <c r="V64" s="1075"/>
      <c r="W64" s="1075"/>
      <c r="X64" s="1075"/>
      <c r="Y64" s="1075"/>
      <c r="Z64" s="1075"/>
    </row>
    <row r="65" spans="1:26" ht="15">
      <c r="A65" s="1731" t="s">
        <v>1299</v>
      </c>
      <c r="B65" s="1703"/>
      <c r="C65" s="1132">
        <v>511</v>
      </c>
      <c r="D65" s="1133">
        <v>0</v>
      </c>
      <c r="E65" s="1133">
        <v>29986</v>
      </c>
      <c r="F65" s="1134">
        <v>0</v>
      </c>
      <c r="G65" s="1135">
        <v>44408</v>
      </c>
      <c r="H65" s="1075"/>
      <c r="I65" s="1075"/>
      <c r="J65" s="1075"/>
      <c r="K65" s="1075"/>
      <c r="L65" s="1075"/>
      <c r="M65" s="1075"/>
      <c r="N65" s="1075"/>
      <c r="O65" s="1075"/>
      <c r="P65" s="1075"/>
      <c r="Q65" s="1075"/>
      <c r="R65" s="1075"/>
      <c r="S65" s="1075"/>
      <c r="T65" s="1075"/>
      <c r="U65" s="1075"/>
      <c r="V65" s="1075"/>
      <c r="W65" s="1075"/>
      <c r="X65" s="1075"/>
      <c r="Y65" s="1075"/>
      <c r="Z65" s="1075"/>
    </row>
    <row r="66" spans="1:26" ht="15">
      <c r="A66" s="1731" t="s">
        <v>1300</v>
      </c>
      <c r="B66" s="1703"/>
      <c r="C66" s="1132">
        <v>648</v>
      </c>
      <c r="D66" s="1133">
        <v>13866</v>
      </c>
      <c r="E66" s="1133">
        <v>0</v>
      </c>
      <c r="F66" s="1134">
        <v>0</v>
      </c>
      <c r="G66" s="1135">
        <v>44408</v>
      </c>
      <c r="H66" s="1075"/>
      <c r="I66" s="1075"/>
      <c r="J66" s="1075"/>
      <c r="K66" s="1075"/>
      <c r="L66" s="1075"/>
      <c r="M66" s="1075"/>
      <c r="N66" s="1075"/>
      <c r="O66" s="1075"/>
      <c r="P66" s="1075"/>
      <c r="Q66" s="1075"/>
      <c r="R66" s="1075"/>
      <c r="S66" s="1075"/>
      <c r="T66" s="1075"/>
      <c r="U66" s="1075"/>
      <c r="V66" s="1075"/>
      <c r="W66" s="1075"/>
      <c r="X66" s="1075"/>
      <c r="Y66" s="1075"/>
      <c r="Z66" s="1075"/>
    </row>
    <row r="67" spans="1:26" ht="15">
      <c r="A67" s="1731" t="s">
        <v>1300</v>
      </c>
      <c r="B67" s="1703"/>
      <c r="C67" s="1132">
        <v>511</v>
      </c>
      <c r="D67" s="1133">
        <v>0</v>
      </c>
      <c r="E67" s="1133">
        <v>13866</v>
      </c>
      <c r="F67" s="1134">
        <v>0</v>
      </c>
      <c r="G67" s="1135">
        <v>44408</v>
      </c>
      <c r="H67" s="1075"/>
      <c r="I67" s="1075"/>
      <c r="J67" s="1075"/>
      <c r="K67" s="1075"/>
      <c r="L67" s="1075"/>
      <c r="M67" s="1075"/>
      <c r="N67" s="1075"/>
      <c r="O67" s="1075"/>
      <c r="P67" s="1075"/>
      <c r="Q67" s="1075"/>
      <c r="R67" s="1075"/>
      <c r="S67" s="1075"/>
      <c r="T67" s="1075"/>
      <c r="U67" s="1075"/>
      <c r="V67" s="1075"/>
      <c r="W67" s="1075"/>
      <c r="X67" s="1075"/>
      <c r="Y67" s="1075"/>
      <c r="Z67" s="1075"/>
    </row>
    <row r="68" spans="1:26" ht="15">
      <c r="A68" s="1731" t="s">
        <v>1301</v>
      </c>
      <c r="B68" s="1703"/>
      <c r="C68" s="1132">
        <v>648</v>
      </c>
      <c r="D68" s="1133">
        <v>23169</v>
      </c>
      <c r="E68" s="1133">
        <v>0</v>
      </c>
      <c r="F68" s="1134">
        <v>0</v>
      </c>
      <c r="G68" s="1135">
        <v>44469</v>
      </c>
      <c r="H68" s="1075"/>
      <c r="I68" s="1075"/>
      <c r="J68" s="1075"/>
      <c r="K68" s="1075"/>
      <c r="L68" s="1075"/>
      <c r="M68" s="1075"/>
      <c r="N68" s="1075"/>
      <c r="O68" s="1075"/>
      <c r="P68" s="1075"/>
      <c r="Q68" s="1075"/>
      <c r="R68" s="1075"/>
      <c r="S68" s="1075"/>
      <c r="T68" s="1075"/>
      <c r="U68" s="1075"/>
      <c r="V68" s="1075"/>
      <c r="W68" s="1075"/>
      <c r="X68" s="1075"/>
      <c r="Y68" s="1075"/>
      <c r="Z68" s="1075"/>
    </row>
    <row r="69" spans="1:26" ht="15">
      <c r="A69" s="1731" t="s">
        <v>1301</v>
      </c>
      <c r="B69" s="1703"/>
      <c r="C69" s="1132">
        <v>511</v>
      </c>
      <c r="D69" s="1133">
        <v>0</v>
      </c>
      <c r="E69" s="1133">
        <v>23169</v>
      </c>
      <c r="F69" s="1134">
        <v>0</v>
      </c>
      <c r="G69" s="1135">
        <v>44469</v>
      </c>
      <c r="H69" s="1075"/>
      <c r="I69" s="1075"/>
      <c r="J69" s="1075"/>
      <c r="K69" s="1075"/>
      <c r="L69" s="1075"/>
      <c r="M69" s="1075"/>
      <c r="N69" s="1075"/>
      <c r="O69" s="1075"/>
      <c r="P69" s="1075"/>
      <c r="Q69" s="1075"/>
      <c r="R69" s="1075"/>
      <c r="S69" s="1075"/>
      <c r="T69" s="1075"/>
      <c r="U69" s="1075"/>
      <c r="V69" s="1075"/>
      <c r="W69" s="1075"/>
      <c r="X69" s="1075"/>
      <c r="Y69" s="1075"/>
      <c r="Z69" s="1075"/>
    </row>
    <row r="70" spans="1:26" ht="23.25">
      <c r="A70" s="1731" t="s">
        <v>1302</v>
      </c>
      <c r="B70" s="1703"/>
      <c r="C70" s="1132">
        <v>551</v>
      </c>
      <c r="D70" s="1133">
        <v>22770</v>
      </c>
      <c r="E70" s="1133">
        <v>0</v>
      </c>
      <c r="F70" s="1134" t="s">
        <v>1303</v>
      </c>
      <c r="G70" s="1136">
        <v>44561</v>
      </c>
      <c r="H70" s="1075"/>
      <c r="I70" s="1075"/>
      <c r="J70" s="1075"/>
      <c r="K70" s="1075"/>
      <c r="L70" s="1075"/>
      <c r="M70" s="1075"/>
      <c r="N70" s="1075"/>
      <c r="O70" s="1075"/>
      <c r="P70" s="1075"/>
      <c r="Q70" s="1075"/>
      <c r="R70" s="1075"/>
      <c r="S70" s="1075"/>
      <c r="T70" s="1075"/>
      <c r="U70" s="1075"/>
      <c r="V70" s="1075"/>
      <c r="W70" s="1075"/>
      <c r="X70" s="1075"/>
      <c r="Y70" s="1075"/>
      <c r="Z70" s="1075"/>
    </row>
    <row r="71" spans="1:26" ht="23.25">
      <c r="A71" s="1731" t="s">
        <v>1302</v>
      </c>
      <c r="B71" s="1703"/>
      <c r="C71" s="1132">
        <v>502</v>
      </c>
      <c r="D71" s="1133">
        <v>-22770</v>
      </c>
      <c r="E71" s="1133">
        <v>0</v>
      </c>
      <c r="F71" s="1134" t="s">
        <v>1304</v>
      </c>
      <c r="G71" s="1136">
        <v>44561</v>
      </c>
      <c r="H71" s="1075"/>
      <c r="I71" s="1075"/>
      <c r="J71" s="1075"/>
      <c r="K71" s="1075"/>
      <c r="L71" s="1075"/>
      <c r="M71" s="1075"/>
      <c r="N71" s="1075"/>
      <c r="O71" s="1075"/>
      <c r="P71" s="1075"/>
      <c r="Q71" s="1075"/>
      <c r="R71" s="1075"/>
      <c r="S71" s="1075"/>
      <c r="T71" s="1075"/>
      <c r="U71" s="1075"/>
      <c r="V71" s="1075"/>
      <c r="W71" s="1075"/>
      <c r="X71" s="1075"/>
      <c r="Y71" s="1075"/>
      <c r="Z71" s="1075"/>
    </row>
    <row r="72" spans="1:26" ht="34.5">
      <c r="A72" s="1731" t="s">
        <v>1305</v>
      </c>
      <c r="B72" s="1703"/>
      <c r="C72" s="1132">
        <v>672</v>
      </c>
      <c r="D72" s="1133">
        <v>-200000</v>
      </c>
      <c r="E72" s="1133">
        <v>0</v>
      </c>
      <c r="F72" s="1134" t="s">
        <v>1306</v>
      </c>
      <c r="G72" s="1136">
        <v>44561</v>
      </c>
      <c r="H72" s="1075"/>
      <c r="I72" s="1075"/>
      <c r="J72" s="1075"/>
      <c r="K72" s="1075"/>
      <c r="L72" s="1075"/>
      <c r="M72" s="1075"/>
      <c r="N72" s="1075"/>
      <c r="O72" s="1075"/>
      <c r="P72" s="1075"/>
      <c r="Q72" s="1075"/>
      <c r="R72" s="1075"/>
      <c r="S72" s="1075"/>
      <c r="T72" s="1075"/>
      <c r="U72" s="1075"/>
      <c r="V72" s="1075"/>
      <c r="W72" s="1075"/>
      <c r="X72" s="1075"/>
      <c r="Y72" s="1075"/>
      <c r="Z72" s="1075"/>
    </row>
    <row r="73" spans="1:26" ht="34.5">
      <c r="A73" s="1731" t="s">
        <v>406</v>
      </c>
      <c r="B73" s="1703"/>
      <c r="C73" s="1132">
        <v>521</v>
      </c>
      <c r="D73" s="1133">
        <v>0</v>
      </c>
      <c r="E73" s="1133">
        <v>-200000</v>
      </c>
      <c r="F73" s="1134" t="s">
        <v>1307</v>
      </c>
      <c r="G73" s="1136">
        <v>44561</v>
      </c>
      <c r="H73" s="1075"/>
      <c r="I73" s="1075"/>
      <c r="J73" s="1075"/>
      <c r="K73" s="1075"/>
      <c r="L73" s="1075"/>
      <c r="M73" s="1075"/>
      <c r="N73" s="1075"/>
      <c r="O73" s="1075"/>
      <c r="P73" s="1075"/>
      <c r="Q73" s="1075"/>
      <c r="R73" s="1075"/>
      <c r="S73" s="1075"/>
      <c r="T73" s="1075"/>
      <c r="U73" s="1075"/>
      <c r="V73" s="1075"/>
      <c r="W73" s="1075"/>
      <c r="X73" s="1075"/>
      <c r="Y73" s="1075"/>
      <c r="Z73" s="1075"/>
    </row>
    <row r="74" spans="1:26" ht="34.5">
      <c r="A74" s="1731" t="s">
        <v>1308</v>
      </c>
      <c r="B74" s="1703"/>
      <c r="C74" s="1132">
        <v>551</v>
      </c>
      <c r="D74" s="1133">
        <v>0</v>
      </c>
      <c r="E74" s="1133">
        <v>-5652</v>
      </c>
      <c r="F74" s="1134" t="s">
        <v>1309</v>
      </c>
      <c r="G74" s="1136">
        <v>44561</v>
      </c>
      <c r="H74" s="1075"/>
      <c r="I74" s="1075"/>
      <c r="J74" s="1075"/>
      <c r="K74" s="1075"/>
      <c r="L74" s="1075"/>
      <c r="M74" s="1075"/>
      <c r="N74" s="1075"/>
      <c r="O74" s="1075"/>
      <c r="P74" s="1075"/>
      <c r="Q74" s="1075"/>
      <c r="R74" s="1075"/>
      <c r="S74" s="1075"/>
      <c r="T74" s="1075"/>
      <c r="U74" s="1075"/>
      <c r="V74" s="1075"/>
      <c r="W74" s="1075"/>
      <c r="X74" s="1075"/>
      <c r="Y74" s="1075"/>
      <c r="Z74" s="1075"/>
    </row>
    <row r="75" spans="1:26" ht="34.5">
      <c r="A75" s="1731" t="s">
        <v>1308</v>
      </c>
      <c r="B75" s="1703"/>
      <c r="C75" s="1132">
        <v>502</v>
      </c>
      <c r="D75" s="1133">
        <v>0</v>
      </c>
      <c r="E75" s="1133">
        <v>5652</v>
      </c>
      <c r="F75" s="1134" t="s">
        <v>1310</v>
      </c>
      <c r="G75" s="1136">
        <v>44561</v>
      </c>
      <c r="H75" s="1075"/>
      <c r="I75" s="1075"/>
      <c r="J75" s="1075"/>
      <c r="K75" s="1075"/>
      <c r="L75" s="1075"/>
      <c r="M75" s="1075"/>
      <c r="N75" s="1075"/>
      <c r="O75" s="1075"/>
      <c r="P75" s="1075"/>
      <c r="Q75" s="1075"/>
      <c r="R75" s="1075"/>
      <c r="S75" s="1075"/>
      <c r="T75" s="1075"/>
      <c r="U75" s="1075"/>
      <c r="V75" s="1075"/>
      <c r="W75" s="1075"/>
      <c r="X75" s="1075"/>
      <c r="Y75" s="1075"/>
      <c r="Z75" s="1075"/>
    </row>
    <row r="76" spans="1:26" ht="34.5">
      <c r="A76" s="1731" t="s">
        <v>186</v>
      </c>
      <c r="B76" s="1703"/>
      <c r="C76" s="1132">
        <v>502</v>
      </c>
      <c r="D76" s="1133">
        <v>0</v>
      </c>
      <c r="E76" s="1133">
        <v>-220000</v>
      </c>
      <c r="F76" s="1134" t="s">
        <v>1311</v>
      </c>
      <c r="G76" s="1136">
        <v>44561</v>
      </c>
      <c r="H76" s="1075"/>
      <c r="I76" s="1075"/>
      <c r="J76" s="1075"/>
      <c r="K76" s="1075"/>
      <c r="L76" s="1075"/>
      <c r="M76" s="1075"/>
      <c r="N76" s="1075"/>
      <c r="O76" s="1075"/>
      <c r="P76" s="1075"/>
      <c r="Q76" s="1075"/>
      <c r="R76" s="1075"/>
      <c r="S76" s="1075"/>
      <c r="T76" s="1075"/>
      <c r="U76" s="1075"/>
      <c r="V76" s="1075"/>
      <c r="W76" s="1075"/>
      <c r="X76" s="1075"/>
      <c r="Y76" s="1075"/>
      <c r="Z76" s="1075"/>
    </row>
    <row r="77" spans="1:26" ht="34.5">
      <c r="A77" s="1731" t="s">
        <v>186</v>
      </c>
      <c r="B77" s="1703"/>
      <c r="C77" s="1132">
        <v>518</v>
      </c>
      <c r="D77" s="1133">
        <v>0</v>
      </c>
      <c r="E77" s="1133">
        <v>220000</v>
      </c>
      <c r="F77" s="1134" t="s">
        <v>1311</v>
      </c>
      <c r="G77" s="1136">
        <v>44561</v>
      </c>
      <c r="H77" s="1075"/>
      <c r="I77" s="1075"/>
      <c r="J77" s="1075"/>
      <c r="K77" s="1075"/>
      <c r="L77" s="1075"/>
      <c r="M77" s="1075"/>
      <c r="N77" s="1075"/>
      <c r="O77" s="1075"/>
      <c r="P77" s="1075"/>
      <c r="Q77" s="1075"/>
      <c r="R77" s="1075"/>
      <c r="S77" s="1075"/>
      <c r="T77" s="1075"/>
      <c r="U77" s="1075"/>
      <c r="V77" s="1075"/>
      <c r="W77" s="1075"/>
      <c r="X77" s="1075"/>
      <c r="Y77" s="1075"/>
      <c r="Z77" s="1075"/>
    </row>
    <row r="78" spans="1:26" ht="34.5">
      <c r="A78" s="1731" t="s">
        <v>186</v>
      </c>
      <c r="B78" s="1703"/>
      <c r="C78" s="1132">
        <v>502</v>
      </c>
      <c r="D78" s="1133">
        <v>0</v>
      </c>
      <c r="E78" s="1133">
        <v>-70000</v>
      </c>
      <c r="F78" s="1134" t="s">
        <v>1311</v>
      </c>
      <c r="G78" s="1136">
        <v>44561</v>
      </c>
      <c r="H78" s="1075"/>
      <c r="I78" s="1075"/>
      <c r="J78" s="1075"/>
      <c r="K78" s="1075"/>
      <c r="L78" s="1075"/>
      <c r="M78" s="1075"/>
      <c r="N78" s="1075"/>
      <c r="O78" s="1075"/>
      <c r="P78" s="1075"/>
      <c r="Q78" s="1075"/>
      <c r="R78" s="1075"/>
      <c r="S78" s="1075"/>
      <c r="T78" s="1075"/>
      <c r="U78" s="1075"/>
      <c r="V78" s="1075"/>
      <c r="W78" s="1075"/>
      <c r="X78" s="1075"/>
      <c r="Y78" s="1075"/>
      <c r="Z78" s="1075"/>
    </row>
    <row r="79" spans="1:26" ht="34.5">
      <c r="A79" s="1731" t="s">
        <v>186</v>
      </c>
      <c r="B79" s="1703"/>
      <c r="C79" s="1132">
        <v>518</v>
      </c>
      <c r="D79" s="1133">
        <v>0</v>
      </c>
      <c r="E79" s="1133">
        <v>70000</v>
      </c>
      <c r="F79" s="1134" t="s">
        <v>1311</v>
      </c>
      <c r="G79" s="1136">
        <v>44561</v>
      </c>
      <c r="H79" s="1075"/>
      <c r="I79" s="1075"/>
      <c r="J79" s="1075"/>
      <c r="K79" s="1075"/>
      <c r="L79" s="1075"/>
      <c r="M79" s="1075"/>
      <c r="N79" s="1075"/>
      <c r="O79" s="1075"/>
      <c r="P79" s="1075"/>
      <c r="Q79" s="1075"/>
      <c r="R79" s="1075"/>
      <c r="S79" s="1075"/>
      <c r="T79" s="1075"/>
      <c r="U79" s="1075"/>
      <c r="V79" s="1075"/>
      <c r="W79" s="1075"/>
      <c r="X79" s="1075"/>
      <c r="Y79" s="1075"/>
      <c r="Z79" s="1075"/>
    </row>
    <row r="80" spans="1:26" ht="15">
      <c r="A80" s="1731" t="s">
        <v>185</v>
      </c>
      <c r="B80" s="1703"/>
      <c r="C80" s="1132">
        <v>521</v>
      </c>
      <c r="D80" s="1133">
        <v>0</v>
      </c>
      <c r="E80" s="1133">
        <v>115127</v>
      </c>
      <c r="F80" s="1134">
        <v>0</v>
      </c>
      <c r="G80" s="1135">
        <v>44561</v>
      </c>
      <c r="H80" s="1075"/>
      <c r="I80" s="1075"/>
      <c r="J80" s="1075"/>
      <c r="K80" s="1075"/>
      <c r="L80" s="1075"/>
      <c r="M80" s="1075"/>
      <c r="N80" s="1075"/>
      <c r="O80" s="1075"/>
      <c r="P80" s="1075"/>
      <c r="Q80" s="1075"/>
      <c r="R80" s="1075"/>
      <c r="S80" s="1075"/>
      <c r="T80" s="1075"/>
      <c r="U80" s="1075"/>
      <c r="V80" s="1075"/>
      <c r="W80" s="1075"/>
      <c r="X80" s="1075"/>
      <c r="Y80" s="1075"/>
      <c r="Z80" s="1075"/>
    </row>
    <row r="81" spans="1:26" ht="15">
      <c r="A81" s="1731" t="s">
        <v>185</v>
      </c>
      <c r="B81" s="1703"/>
      <c r="C81" s="1132">
        <v>524</v>
      </c>
      <c r="D81" s="1133">
        <v>0</v>
      </c>
      <c r="E81" s="1133">
        <v>-115127</v>
      </c>
      <c r="F81" s="1134">
        <v>0</v>
      </c>
      <c r="G81" s="1135">
        <v>44561</v>
      </c>
      <c r="H81" s="1075"/>
      <c r="I81" s="1075"/>
      <c r="J81" s="1075"/>
      <c r="K81" s="1075"/>
      <c r="L81" s="1075"/>
      <c r="M81" s="1075"/>
      <c r="N81" s="1075"/>
      <c r="O81" s="1075"/>
      <c r="P81" s="1075"/>
      <c r="Q81" s="1075"/>
      <c r="R81" s="1075"/>
      <c r="S81" s="1075"/>
      <c r="T81" s="1075"/>
      <c r="U81" s="1075"/>
      <c r="V81" s="1075"/>
      <c r="W81" s="1075"/>
      <c r="X81" s="1075"/>
      <c r="Y81" s="1075"/>
      <c r="Z81" s="1075"/>
    </row>
    <row r="82" spans="1:26" ht="15">
      <c r="A82" s="1731" t="s">
        <v>185</v>
      </c>
      <c r="B82" s="1703"/>
      <c r="C82" s="1132">
        <v>524</v>
      </c>
      <c r="D82" s="1133">
        <v>0</v>
      </c>
      <c r="E82" s="1133">
        <v>-959</v>
      </c>
      <c r="F82" s="1134">
        <v>0</v>
      </c>
      <c r="G82" s="1135">
        <v>44561</v>
      </c>
      <c r="H82" s="1075"/>
      <c r="I82" s="1075"/>
      <c r="J82" s="1075"/>
      <c r="K82" s="1075"/>
      <c r="L82" s="1075"/>
      <c r="M82" s="1075"/>
      <c r="N82" s="1075"/>
      <c r="O82" s="1075"/>
      <c r="P82" s="1075"/>
      <c r="Q82" s="1075"/>
      <c r="R82" s="1075"/>
      <c r="S82" s="1075"/>
      <c r="T82" s="1075"/>
      <c r="U82" s="1075"/>
      <c r="V82" s="1075"/>
      <c r="W82" s="1075"/>
      <c r="X82" s="1075"/>
      <c r="Y82" s="1075"/>
      <c r="Z82" s="1075"/>
    </row>
    <row r="83" spans="1:26" ht="15">
      <c r="A83" s="1731" t="s">
        <v>185</v>
      </c>
      <c r="B83" s="1703"/>
      <c r="C83" s="1132">
        <v>527</v>
      </c>
      <c r="D83" s="1133">
        <v>0</v>
      </c>
      <c r="E83" s="1133">
        <f>959</f>
        <v>959</v>
      </c>
      <c r="F83" s="1134">
        <v>0</v>
      </c>
      <c r="G83" s="1135">
        <v>44561</v>
      </c>
      <c r="H83" s="1075"/>
      <c r="I83" s="1075"/>
      <c r="J83" s="1075"/>
      <c r="K83" s="1075"/>
      <c r="L83" s="1075"/>
      <c r="M83" s="1075"/>
      <c r="N83" s="1075"/>
      <c r="O83" s="1075"/>
      <c r="P83" s="1075"/>
      <c r="Q83" s="1075"/>
      <c r="R83" s="1075"/>
      <c r="S83" s="1075"/>
      <c r="T83" s="1075"/>
      <c r="U83" s="1075"/>
      <c r="V83" s="1075"/>
      <c r="W83" s="1075"/>
      <c r="X83" s="1075"/>
      <c r="Y83" s="1075"/>
      <c r="Z83" s="1075"/>
    </row>
    <row r="84" spans="1:26" ht="15">
      <c r="A84" s="1731" t="s">
        <v>1312</v>
      </c>
      <c r="B84" s="1703"/>
      <c r="C84" s="1132">
        <v>501</v>
      </c>
      <c r="D84" s="1133">
        <v>0</v>
      </c>
      <c r="E84" s="1133">
        <v>60000</v>
      </c>
      <c r="F84" s="1134">
        <v>0</v>
      </c>
      <c r="G84" s="1135">
        <v>44561</v>
      </c>
      <c r="H84" s="1075"/>
      <c r="I84" s="1075"/>
      <c r="J84" s="1075"/>
      <c r="K84" s="1075"/>
      <c r="L84" s="1075"/>
      <c r="M84" s="1075"/>
      <c r="N84" s="1075"/>
      <c r="O84" s="1075"/>
      <c r="P84" s="1075"/>
      <c r="Q84" s="1075"/>
      <c r="R84" s="1075"/>
      <c r="S84" s="1075"/>
      <c r="T84" s="1075"/>
      <c r="U84" s="1075"/>
      <c r="V84" s="1075"/>
      <c r="W84" s="1075"/>
      <c r="X84" s="1075"/>
      <c r="Y84" s="1075"/>
      <c r="Z84" s="1075"/>
    </row>
    <row r="85" spans="1:26" ht="15">
      <c r="A85" s="1731" t="s">
        <v>1312</v>
      </c>
      <c r="B85" s="1703"/>
      <c r="C85" s="1132">
        <v>512</v>
      </c>
      <c r="D85" s="1133">
        <v>0</v>
      </c>
      <c r="E85" s="1133">
        <v>26000</v>
      </c>
      <c r="F85" s="1134">
        <v>0</v>
      </c>
      <c r="G85" s="1135">
        <v>44561</v>
      </c>
      <c r="H85" s="1075"/>
      <c r="I85" s="1075"/>
      <c r="J85" s="1075"/>
      <c r="K85" s="1075"/>
      <c r="L85" s="1075"/>
      <c r="M85" s="1075"/>
      <c r="N85" s="1075"/>
      <c r="O85" s="1075"/>
      <c r="P85" s="1075"/>
      <c r="Q85" s="1075"/>
      <c r="R85" s="1075"/>
      <c r="S85" s="1075"/>
      <c r="T85" s="1075"/>
      <c r="U85" s="1075"/>
      <c r="V85" s="1075"/>
      <c r="W85" s="1075"/>
      <c r="X85" s="1075"/>
      <c r="Y85" s="1075"/>
      <c r="Z85" s="1075"/>
    </row>
    <row r="86" spans="1:26" ht="15">
      <c r="A86" s="1731" t="s">
        <v>1312</v>
      </c>
      <c r="B86" s="1703"/>
      <c r="C86" s="1132">
        <v>513</v>
      </c>
      <c r="D86" s="1133">
        <v>0</v>
      </c>
      <c r="E86" s="1133">
        <v>-5000</v>
      </c>
      <c r="F86" s="1134">
        <v>0</v>
      </c>
      <c r="G86" s="1135">
        <v>44561</v>
      </c>
      <c r="H86" s="1075"/>
      <c r="I86" s="1075"/>
      <c r="J86" s="1075"/>
      <c r="K86" s="1075"/>
      <c r="L86" s="1075"/>
      <c r="M86" s="1075"/>
      <c r="N86" s="1075"/>
      <c r="O86" s="1075"/>
      <c r="P86" s="1075"/>
      <c r="Q86" s="1075"/>
      <c r="R86" s="1075"/>
      <c r="S86" s="1075"/>
      <c r="T86" s="1075"/>
      <c r="U86" s="1075"/>
      <c r="V86" s="1075"/>
      <c r="W86" s="1075"/>
      <c r="X86" s="1075"/>
      <c r="Y86" s="1075"/>
      <c r="Z86" s="1075"/>
    </row>
    <row r="87" spans="1:26" ht="15">
      <c r="A87" s="1731" t="s">
        <v>1312</v>
      </c>
      <c r="B87" s="1703"/>
      <c r="C87" s="1132">
        <v>538</v>
      </c>
      <c r="D87" s="1133">
        <v>0</v>
      </c>
      <c r="E87" s="1133">
        <v>-5500</v>
      </c>
      <c r="F87" s="1134">
        <v>0</v>
      </c>
      <c r="G87" s="1135">
        <v>44561</v>
      </c>
      <c r="H87" s="1075"/>
      <c r="I87" s="1075"/>
      <c r="J87" s="1075"/>
      <c r="K87" s="1075"/>
      <c r="L87" s="1075"/>
      <c r="M87" s="1075"/>
      <c r="N87" s="1075"/>
      <c r="O87" s="1075"/>
      <c r="P87" s="1075"/>
      <c r="Q87" s="1075"/>
      <c r="R87" s="1075"/>
      <c r="S87" s="1075"/>
      <c r="T87" s="1075"/>
      <c r="U87" s="1075"/>
      <c r="V87" s="1075"/>
      <c r="W87" s="1075"/>
      <c r="X87" s="1075"/>
      <c r="Y87" s="1075"/>
      <c r="Z87" s="1075"/>
    </row>
    <row r="88" spans="1:26" ht="15">
      <c r="A88" s="1731" t="s">
        <v>1312</v>
      </c>
      <c r="B88" s="1703"/>
      <c r="C88" s="1132">
        <v>558</v>
      </c>
      <c r="D88" s="1133">
        <v>0</v>
      </c>
      <c r="E88" s="1133">
        <v>44000</v>
      </c>
      <c r="F88" s="1134">
        <v>0</v>
      </c>
      <c r="G88" s="1135">
        <v>44561</v>
      </c>
      <c r="H88" s="1075"/>
      <c r="I88" s="1075"/>
      <c r="J88" s="1075"/>
      <c r="K88" s="1075"/>
      <c r="L88" s="1075"/>
      <c r="M88" s="1075"/>
      <c r="N88" s="1075"/>
      <c r="O88" s="1075"/>
      <c r="P88" s="1075"/>
      <c r="Q88" s="1075"/>
      <c r="R88" s="1075"/>
      <c r="S88" s="1075"/>
      <c r="T88" s="1075"/>
      <c r="U88" s="1075"/>
      <c r="V88" s="1075"/>
      <c r="W88" s="1075"/>
      <c r="X88" s="1075"/>
      <c r="Y88" s="1075"/>
      <c r="Z88" s="1075"/>
    </row>
    <row r="89" spans="1:26" ht="15">
      <c r="A89" s="1731" t="s">
        <v>1312</v>
      </c>
      <c r="B89" s="1703"/>
      <c r="C89" s="1132">
        <v>549</v>
      </c>
      <c r="D89" s="1133">
        <v>0</v>
      </c>
      <c r="E89" s="1133">
        <v>10646</v>
      </c>
      <c r="F89" s="1134">
        <v>0</v>
      </c>
      <c r="G89" s="1135">
        <v>44561</v>
      </c>
      <c r="H89" s="1075"/>
      <c r="I89" s="1075"/>
      <c r="J89" s="1075"/>
      <c r="K89" s="1075"/>
      <c r="L89" s="1075"/>
      <c r="M89" s="1075"/>
      <c r="N89" s="1075"/>
      <c r="O89" s="1075"/>
      <c r="P89" s="1075"/>
      <c r="Q89" s="1075"/>
      <c r="R89" s="1075"/>
      <c r="S89" s="1075"/>
      <c r="T89" s="1075"/>
      <c r="U89" s="1075"/>
      <c r="V89" s="1075"/>
      <c r="W89" s="1075"/>
      <c r="X89" s="1075"/>
      <c r="Y89" s="1075"/>
      <c r="Z89" s="1075"/>
    </row>
    <row r="90" spans="1:26" ht="15">
      <c r="A90" s="1731" t="s">
        <v>1312</v>
      </c>
      <c r="B90" s="1703"/>
      <c r="C90" s="1132">
        <v>518</v>
      </c>
      <c r="D90" s="1133">
        <v>0</v>
      </c>
      <c r="E90" s="1133">
        <v>-130146</v>
      </c>
      <c r="F90" s="1134">
        <v>0</v>
      </c>
      <c r="G90" s="1135">
        <v>44561</v>
      </c>
      <c r="H90" s="1075"/>
      <c r="I90" s="1075"/>
      <c r="J90" s="1075"/>
      <c r="K90" s="1075"/>
      <c r="L90" s="1075"/>
      <c r="M90" s="1075"/>
      <c r="N90" s="1075"/>
      <c r="O90" s="1075"/>
      <c r="P90" s="1075"/>
      <c r="Q90" s="1075"/>
      <c r="R90" s="1075"/>
      <c r="S90" s="1075"/>
      <c r="T90" s="1075"/>
      <c r="U90" s="1075"/>
      <c r="V90" s="1075"/>
      <c r="W90" s="1075"/>
      <c r="X90" s="1075"/>
      <c r="Y90" s="1075"/>
      <c r="Z90" s="1075"/>
    </row>
    <row r="91" spans="1:26" ht="15">
      <c r="A91" s="1731" t="s">
        <v>407</v>
      </c>
      <c r="B91" s="1703"/>
      <c r="C91" s="1132">
        <v>602</v>
      </c>
      <c r="D91" s="1133">
        <v>-650000</v>
      </c>
      <c r="E91" s="1133">
        <v>0</v>
      </c>
      <c r="F91" s="1134">
        <v>0</v>
      </c>
      <c r="G91" s="1135">
        <v>44561</v>
      </c>
      <c r="H91" s="1075"/>
      <c r="I91" s="1075"/>
      <c r="J91" s="1075"/>
      <c r="K91" s="1075"/>
      <c r="L91" s="1075"/>
      <c r="M91" s="1075"/>
      <c r="N91" s="1075"/>
      <c r="O91" s="1075"/>
      <c r="P91" s="1075"/>
      <c r="Q91" s="1075"/>
      <c r="R91" s="1075"/>
      <c r="S91" s="1075"/>
      <c r="T91" s="1075"/>
      <c r="U91" s="1075"/>
      <c r="V91" s="1075"/>
      <c r="W91" s="1075"/>
      <c r="X91" s="1075"/>
      <c r="Y91" s="1075"/>
      <c r="Z91" s="1075"/>
    </row>
    <row r="92" spans="1:26" ht="15">
      <c r="A92" s="1731" t="s">
        <v>1313</v>
      </c>
      <c r="B92" s="1703"/>
      <c r="C92" s="1132">
        <v>518</v>
      </c>
      <c r="D92" s="1133">
        <v>0</v>
      </c>
      <c r="E92" s="1133">
        <v>-620000</v>
      </c>
      <c r="F92" s="1134">
        <v>0</v>
      </c>
      <c r="G92" s="1135">
        <v>44561</v>
      </c>
      <c r="H92" s="1075"/>
      <c r="I92" s="1075"/>
      <c r="J92" s="1075"/>
      <c r="K92" s="1075"/>
      <c r="L92" s="1075"/>
      <c r="M92" s="1075"/>
      <c r="N92" s="1075"/>
      <c r="O92" s="1075"/>
      <c r="P92" s="1075"/>
      <c r="Q92" s="1075"/>
      <c r="R92" s="1075"/>
      <c r="S92" s="1075"/>
      <c r="T92" s="1075"/>
      <c r="U92" s="1075"/>
      <c r="V92" s="1075"/>
      <c r="W92" s="1075"/>
      <c r="X92" s="1075"/>
      <c r="Y92" s="1075"/>
      <c r="Z92" s="1075"/>
    </row>
    <row r="93" spans="1:26" ht="15">
      <c r="A93" s="1747" t="s">
        <v>1313</v>
      </c>
      <c r="B93" s="1708"/>
      <c r="C93" s="1137">
        <v>511</v>
      </c>
      <c r="D93" s="1138">
        <v>0</v>
      </c>
      <c r="E93" s="1138">
        <v>-30000</v>
      </c>
      <c r="F93" s="1139">
        <v>0</v>
      </c>
      <c r="G93" s="1140">
        <v>44561</v>
      </c>
      <c r="H93" s="1075"/>
      <c r="I93" s="1075"/>
      <c r="J93" s="1075"/>
      <c r="K93" s="1075"/>
      <c r="L93" s="1075"/>
      <c r="M93" s="1075"/>
      <c r="N93" s="1075"/>
      <c r="O93" s="1075"/>
      <c r="P93" s="1075"/>
      <c r="Q93" s="1075"/>
      <c r="R93" s="1075"/>
      <c r="S93" s="1075"/>
      <c r="T93" s="1075"/>
      <c r="U93" s="1075"/>
      <c r="V93" s="1075"/>
      <c r="W93" s="1075"/>
      <c r="X93" s="1075"/>
      <c r="Y93" s="1075"/>
      <c r="Z93" s="1075"/>
    </row>
    <row r="94" spans="1:26" ht="9.75" customHeight="1">
      <c r="A94" s="1748" t="s">
        <v>458</v>
      </c>
      <c r="B94" s="1692"/>
      <c r="C94" s="1141"/>
      <c r="D94" s="1142">
        <f t="shared" ref="D94:E94" si="2">SUM(D56:D93)</f>
        <v>-656158</v>
      </c>
      <c r="E94" s="1142">
        <f t="shared" si="2"/>
        <v>-656158</v>
      </c>
      <c r="F94" s="1745"/>
      <c r="G94" s="1691"/>
      <c r="H94" s="1075"/>
      <c r="I94" s="1075"/>
      <c r="J94" s="1075"/>
      <c r="K94" s="1075"/>
      <c r="L94" s="1075"/>
      <c r="M94" s="1075"/>
      <c r="N94" s="1075"/>
      <c r="O94" s="1075"/>
      <c r="P94" s="1075"/>
      <c r="Q94" s="1075"/>
      <c r="R94" s="1075"/>
      <c r="S94" s="1075"/>
      <c r="T94" s="1075"/>
      <c r="U94" s="1075"/>
      <c r="V94" s="1075"/>
      <c r="W94" s="1075"/>
      <c r="X94" s="1075"/>
      <c r="Y94" s="1075"/>
      <c r="Z94" s="1075"/>
    </row>
    <row r="95" spans="1:26" ht="12.75" customHeight="1">
      <c r="A95" s="1143"/>
      <c r="B95" s="1143"/>
      <c r="C95" s="1144"/>
      <c r="D95" s="1144"/>
      <c r="E95" s="1145"/>
      <c r="F95" s="1075"/>
      <c r="G95" s="1075"/>
      <c r="H95" s="1075"/>
      <c r="I95" s="1075"/>
      <c r="J95" s="1075"/>
      <c r="K95" s="1075"/>
      <c r="L95" s="1075"/>
      <c r="M95" s="1075"/>
      <c r="N95" s="1075"/>
      <c r="O95" s="1075"/>
      <c r="P95" s="1075"/>
      <c r="Q95" s="1075"/>
      <c r="R95" s="1075"/>
      <c r="S95" s="1075"/>
      <c r="T95" s="1075"/>
      <c r="U95" s="1075"/>
      <c r="V95" s="1075"/>
      <c r="W95" s="1075"/>
      <c r="X95" s="1075"/>
      <c r="Y95" s="1075"/>
      <c r="Z95" s="1075"/>
    </row>
    <row r="96" spans="1:26" ht="12.75" customHeight="1">
      <c r="A96" s="1143"/>
      <c r="B96" s="1143"/>
      <c r="C96" s="1144"/>
      <c r="D96" s="1144"/>
      <c r="E96" s="1145"/>
      <c r="F96" s="1075"/>
      <c r="G96" s="1075"/>
      <c r="H96" s="1075"/>
      <c r="I96" s="1075"/>
      <c r="J96" s="1075"/>
      <c r="K96" s="1075"/>
      <c r="L96" s="1075"/>
      <c r="M96" s="1075"/>
      <c r="N96" s="1075"/>
      <c r="O96" s="1075"/>
      <c r="P96" s="1075"/>
      <c r="Q96" s="1075"/>
      <c r="R96" s="1075"/>
      <c r="S96" s="1075"/>
      <c r="T96" s="1075"/>
      <c r="U96" s="1075"/>
      <c r="V96" s="1075"/>
      <c r="W96" s="1075"/>
      <c r="X96" s="1075"/>
      <c r="Y96" s="1075"/>
      <c r="Z96" s="1075"/>
    </row>
    <row r="97" spans="1:26" ht="12.75" customHeight="1">
      <c r="A97" s="1737" t="s">
        <v>259</v>
      </c>
      <c r="B97" s="1691"/>
      <c r="C97" s="1126" t="s">
        <v>179</v>
      </c>
      <c r="D97" s="1126" t="s">
        <v>118</v>
      </c>
      <c r="E97" s="1126" t="s">
        <v>119</v>
      </c>
      <c r="F97" s="1126" t="s">
        <v>244</v>
      </c>
      <c r="G97" s="1126" t="s">
        <v>180</v>
      </c>
      <c r="H97" s="1127"/>
      <c r="I97" s="1127"/>
      <c r="J97" s="1127"/>
      <c r="K97" s="1127"/>
      <c r="L97" s="1127"/>
      <c r="M97" s="1127"/>
      <c r="N97" s="1127"/>
      <c r="O97" s="1127"/>
      <c r="P97" s="1127"/>
      <c r="Q97" s="1127"/>
      <c r="R97" s="1127"/>
      <c r="S97" s="1127"/>
      <c r="T97" s="1127"/>
      <c r="U97" s="1127"/>
      <c r="V97" s="1127"/>
      <c r="W97" s="1127"/>
      <c r="X97" s="1127"/>
      <c r="Y97" s="1127"/>
      <c r="Z97" s="1127"/>
    </row>
    <row r="98" spans="1:26" ht="15">
      <c r="A98" s="1742" t="s">
        <v>1313</v>
      </c>
      <c r="B98" s="1691"/>
      <c r="C98" s="1146">
        <v>501</v>
      </c>
      <c r="D98" s="1147">
        <v>0</v>
      </c>
      <c r="E98" s="1147">
        <v>-592484</v>
      </c>
      <c r="F98" s="1148">
        <v>0</v>
      </c>
      <c r="G98" s="1149">
        <v>44561</v>
      </c>
      <c r="H98" s="1075"/>
      <c r="I98" s="1075"/>
      <c r="J98" s="1075"/>
      <c r="K98" s="1075"/>
      <c r="L98" s="1075"/>
      <c r="M98" s="1075"/>
      <c r="N98" s="1075"/>
      <c r="O98" s="1075"/>
      <c r="P98" s="1075"/>
      <c r="Q98" s="1075"/>
      <c r="R98" s="1075"/>
      <c r="S98" s="1075"/>
      <c r="T98" s="1075"/>
      <c r="U98" s="1075"/>
      <c r="V98" s="1075"/>
      <c r="W98" s="1075"/>
      <c r="X98" s="1075"/>
      <c r="Y98" s="1075"/>
      <c r="Z98" s="1075"/>
    </row>
    <row r="99" spans="1:26" ht="15">
      <c r="A99" s="1742" t="s">
        <v>1313</v>
      </c>
      <c r="B99" s="1691"/>
      <c r="C99" s="1146">
        <v>502</v>
      </c>
      <c r="D99" s="1147">
        <v>0</v>
      </c>
      <c r="E99" s="1147">
        <v>-13000</v>
      </c>
      <c r="F99" s="1148">
        <v>0</v>
      </c>
      <c r="G99" s="1149">
        <v>44561</v>
      </c>
      <c r="H99" s="1075"/>
      <c r="I99" s="1075"/>
      <c r="J99" s="1075"/>
      <c r="K99" s="1075"/>
      <c r="L99" s="1075"/>
      <c r="M99" s="1075"/>
      <c r="N99" s="1075"/>
      <c r="O99" s="1075"/>
      <c r="P99" s="1075"/>
      <c r="Q99" s="1075"/>
      <c r="R99" s="1075"/>
      <c r="S99" s="1075"/>
      <c r="T99" s="1075"/>
      <c r="U99" s="1075"/>
      <c r="V99" s="1075"/>
      <c r="W99" s="1075"/>
      <c r="X99" s="1075"/>
      <c r="Y99" s="1075"/>
      <c r="Z99" s="1075"/>
    </row>
    <row r="100" spans="1:26" ht="15">
      <c r="A100" s="1742" t="s">
        <v>1313</v>
      </c>
      <c r="B100" s="1691"/>
      <c r="C100" s="1146">
        <v>511</v>
      </c>
      <c r="D100" s="1147">
        <v>0</v>
      </c>
      <c r="E100" s="1147">
        <v>-10000</v>
      </c>
      <c r="F100" s="1148">
        <v>0</v>
      </c>
      <c r="G100" s="1149">
        <v>44561</v>
      </c>
      <c r="H100" s="1075"/>
      <c r="I100" s="1075"/>
      <c r="J100" s="1075"/>
      <c r="K100" s="1075"/>
      <c r="L100" s="1075"/>
      <c r="M100" s="1075"/>
      <c r="N100" s="1075"/>
      <c r="O100" s="1075"/>
      <c r="P100" s="1075"/>
      <c r="Q100" s="1075"/>
      <c r="R100" s="1075"/>
      <c r="S100" s="1075"/>
      <c r="T100" s="1075"/>
      <c r="U100" s="1075"/>
      <c r="V100" s="1075"/>
      <c r="W100" s="1075"/>
      <c r="X100" s="1075"/>
      <c r="Y100" s="1075"/>
      <c r="Z100" s="1075"/>
    </row>
    <row r="101" spans="1:26" ht="15">
      <c r="A101" s="1742" t="s">
        <v>1313</v>
      </c>
      <c r="B101" s="1691"/>
      <c r="C101" s="1146">
        <v>518</v>
      </c>
      <c r="D101" s="1147">
        <v>0</v>
      </c>
      <c r="E101" s="1147">
        <v>56102</v>
      </c>
      <c r="F101" s="1148">
        <v>0</v>
      </c>
      <c r="G101" s="1149">
        <v>44561</v>
      </c>
      <c r="H101" s="1075"/>
      <c r="I101" s="1075"/>
      <c r="J101" s="1075"/>
      <c r="K101" s="1075"/>
      <c r="L101" s="1075"/>
      <c r="M101" s="1075"/>
      <c r="N101" s="1075"/>
      <c r="O101" s="1075"/>
      <c r="P101" s="1075"/>
      <c r="Q101" s="1075"/>
      <c r="R101" s="1075"/>
      <c r="S101" s="1075"/>
      <c r="T101" s="1075"/>
      <c r="U101" s="1075"/>
      <c r="V101" s="1075"/>
      <c r="W101" s="1075"/>
      <c r="X101" s="1075"/>
      <c r="Y101" s="1075"/>
      <c r="Z101" s="1075"/>
    </row>
    <row r="102" spans="1:26" ht="15">
      <c r="A102" s="1742" t="s">
        <v>1313</v>
      </c>
      <c r="B102" s="1691"/>
      <c r="C102" s="1146">
        <v>521</v>
      </c>
      <c r="D102" s="1147">
        <v>0</v>
      </c>
      <c r="E102" s="1147">
        <v>-401087</v>
      </c>
      <c r="F102" s="1148">
        <v>0</v>
      </c>
      <c r="G102" s="1149">
        <v>44561</v>
      </c>
      <c r="H102" s="1075"/>
      <c r="I102" s="1075"/>
      <c r="J102" s="1075"/>
      <c r="K102" s="1075"/>
      <c r="L102" s="1075"/>
      <c r="M102" s="1075"/>
      <c r="N102" s="1075"/>
      <c r="O102" s="1075"/>
      <c r="P102" s="1075"/>
      <c r="Q102" s="1075"/>
      <c r="R102" s="1075"/>
      <c r="S102" s="1075"/>
      <c r="T102" s="1075"/>
      <c r="U102" s="1075"/>
      <c r="V102" s="1075"/>
      <c r="W102" s="1075"/>
      <c r="X102" s="1075"/>
      <c r="Y102" s="1075"/>
      <c r="Z102" s="1075"/>
    </row>
    <row r="103" spans="1:26" ht="15">
      <c r="A103" s="1742" t="s">
        <v>1313</v>
      </c>
      <c r="B103" s="1691"/>
      <c r="C103" s="1146">
        <v>524</v>
      </c>
      <c r="D103" s="1147">
        <v>0</v>
      </c>
      <c r="E103" s="1147">
        <v>-219728</v>
      </c>
      <c r="F103" s="1148">
        <v>0</v>
      </c>
      <c r="G103" s="1149">
        <v>44561</v>
      </c>
      <c r="H103" s="1075"/>
      <c r="I103" s="1075"/>
      <c r="J103" s="1075"/>
      <c r="K103" s="1075"/>
      <c r="L103" s="1075"/>
      <c r="M103" s="1075"/>
      <c r="N103" s="1075"/>
      <c r="O103" s="1075"/>
      <c r="P103" s="1075"/>
      <c r="Q103" s="1075"/>
      <c r="R103" s="1075"/>
      <c r="S103" s="1075"/>
      <c r="T103" s="1075"/>
      <c r="U103" s="1075"/>
      <c r="V103" s="1075"/>
      <c r="W103" s="1075"/>
      <c r="X103" s="1075"/>
      <c r="Y103" s="1075"/>
      <c r="Z103" s="1075"/>
    </row>
    <row r="104" spans="1:26" ht="15">
      <c r="A104" s="1742" t="s">
        <v>1313</v>
      </c>
      <c r="B104" s="1691"/>
      <c r="C104" s="1146">
        <v>551</v>
      </c>
      <c r="D104" s="1147">
        <v>0</v>
      </c>
      <c r="E104" s="1147">
        <f>928</f>
        <v>928</v>
      </c>
      <c r="F104" s="1148">
        <v>0</v>
      </c>
      <c r="G104" s="1149">
        <v>44561</v>
      </c>
      <c r="H104" s="1075"/>
      <c r="I104" s="1075"/>
      <c r="J104" s="1075"/>
      <c r="K104" s="1075"/>
      <c r="L104" s="1075"/>
      <c r="M104" s="1075"/>
      <c r="N104" s="1075"/>
      <c r="O104" s="1075"/>
      <c r="P104" s="1075"/>
      <c r="Q104" s="1075"/>
      <c r="R104" s="1075"/>
      <c r="S104" s="1075"/>
      <c r="T104" s="1075"/>
      <c r="U104" s="1075"/>
      <c r="V104" s="1075"/>
      <c r="W104" s="1075"/>
      <c r="X104" s="1075"/>
      <c r="Y104" s="1075"/>
      <c r="Z104" s="1075"/>
    </row>
    <row r="105" spans="1:26" ht="15">
      <c r="A105" s="1742" t="s">
        <v>1313</v>
      </c>
      <c r="B105" s="1691"/>
      <c r="C105" s="1146">
        <v>558</v>
      </c>
      <c r="D105" s="1147">
        <v>0</v>
      </c>
      <c r="E105" s="1147">
        <f>30269</f>
        <v>30269</v>
      </c>
      <c r="F105" s="1148">
        <v>0</v>
      </c>
      <c r="G105" s="1149">
        <v>44561</v>
      </c>
      <c r="H105" s="1075"/>
      <c r="I105" s="1075"/>
      <c r="J105" s="1075"/>
      <c r="K105" s="1075"/>
      <c r="L105" s="1075"/>
      <c r="M105" s="1075"/>
      <c r="N105" s="1075"/>
      <c r="O105" s="1075"/>
      <c r="P105" s="1075"/>
      <c r="Q105" s="1075"/>
      <c r="R105" s="1075"/>
      <c r="S105" s="1075"/>
      <c r="T105" s="1075"/>
      <c r="U105" s="1075"/>
      <c r="V105" s="1075"/>
      <c r="W105" s="1075"/>
      <c r="X105" s="1075"/>
      <c r="Y105" s="1075"/>
      <c r="Z105" s="1075"/>
    </row>
    <row r="106" spans="1:26" ht="15">
      <c r="A106" s="1742" t="s">
        <v>1314</v>
      </c>
      <c r="B106" s="1691"/>
      <c r="C106" s="1146">
        <v>602</v>
      </c>
      <c r="D106" s="1147">
        <v>-1189000</v>
      </c>
      <c r="E106" s="1147">
        <v>0</v>
      </c>
      <c r="F106" s="1148">
        <v>0</v>
      </c>
      <c r="G106" s="1149">
        <v>44561</v>
      </c>
      <c r="H106" s="1075"/>
      <c r="I106" s="1075"/>
      <c r="J106" s="1075"/>
      <c r="K106" s="1075"/>
      <c r="L106" s="1075"/>
      <c r="M106" s="1075"/>
      <c r="N106" s="1075"/>
      <c r="O106" s="1075"/>
      <c r="P106" s="1075"/>
      <c r="Q106" s="1075"/>
      <c r="R106" s="1075"/>
      <c r="S106" s="1075"/>
      <c r="T106" s="1075"/>
      <c r="U106" s="1075"/>
      <c r="V106" s="1075"/>
      <c r="W106" s="1075"/>
      <c r="X106" s="1075"/>
      <c r="Y106" s="1075"/>
      <c r="Z106" s="1075"/>
    </row>
    <row r="107" spans="1:26" ht="9.75" customHeight="1">
      <c r="A107" s="1743" t="s">
        <v>458</v>
      </c>
      <c r="B107" s="1724"/>
      <c r="C107" s="1150"/>
      <c r="D107" s="1142">
        <f t="shared" ref="D107:E107" si="3">SUM(D98:D106)</f>
        <v>-1189000</v>
      </c>
      <c r="E107" s="1142">
        <f t="shared" si="3"/>
        <v>-1149000</v>
      </c>
      <c r="F107" s="1746"/>
      <c r="G107" s="1691"/>
      <c r="H107" s="1075"/>
      <c r="I107" s="1075"/>
      <c r="J107" s="1075"/>
      <c r="K107" s="1075"/>
      <c r="L107" s="1075"/>
      <c r="M107" s="1075"/>
      <c r="N107" s="1075"/>
      <c r="O107" s="1075"/>
      <c r="P107" s="1075"/>
      <c r="Q107" s="1075"/>
      <c r="R107" s="1075"/>
      <c r="S107" s="1075"/>
      <c r="T107" s="1075"/>
      <c r="U107" s="1075"/>
      <c r="V107" s="1075"/>
      <c r="W107" s="1075"/>
      <c r="X107" s="1075"/>
      <c r="Y107" s="1075"/>
      <c r="Z107" s="1075"/>
    </row>
    <row r="108" spans="1:26" ht="12.75" customHeight="1">
      <c r="A108" s="1143"/>
      <c r="B108" s="1143"/>
      <c r="C108" s="1144"/>
      <c r="D108" s="1144"/>
      <c r="E108" s="1145"/>
      <c r="F108" s="1075"/>
      <c r="G108" s="1075"/>
      <c r="H108" s="1075"/>
      <c r="I108" s="1075"/>
      <c r="J108" s="1075"/>
      <c r="K108" s="1075"/>
      <c r="L108" s="1075"/>
      <c r="M108" s="1075"/>
      <c r="N108" s="1075"/>
      <c r="O108" s="1075"/>
      <c r="P108" s="1075"/>
      <c r="Q108" s="1075"/>
      <c r="R108" s="1075"/>
      <c r="S108" s="1075"/>
      <c r="T108" s="1075"/>
      <c r="U108" s="1075"/>
      <c r="V108" s="1075"/>
      <c r="W108" s="1075"/>
      <c r="X108" s="1075"/>
      <c r="Y108" s="1075"/>
      <c r="Z108" s="1075"/>
    </row>
    <row r="109" spans="1:26" ht="12.75" customHeight="1">
      <c r="A109" s="1143"/>
      <c r="B109" s="1143"/>
      <c r="C109" s="1144"/>
      <c r="D109" s="1144"/>
      <c r="E109" s="1145"/>
      <c r="F109" s="1075"/>
      <c r="G109" s="1075"/>
      <c r="H109" s="1075"/>
      <c r="I109" s="1075"/>
      <c r="J109" s="1075"/>
      <c r="K109" s="1075"/>
      <c r="L109" s="1075"/>
      <c r="M109" s="1075"/>
      <c r="N109" s="1075"/>
      <c r="O109" s="1075"/>
      <c r="P109" s="1075"/>
      <c r="Q109" s="1075"/>
      <c r="R109" s="1075"/>
      <c r="S109" s="1075"/>
      <c r="T109" s="1075"/>
      <c r="U109" s="1075"/>
      <c r="V109" s="1075"/>
      <c r="W109" s="1075"/>
      <c r="X109" s="1075"/>
      <c r="Y109" s="1075"/>
      <c r="Z109" s="1075"/>
    </row>
    <row r="110" spans="1:26" ht="12.75" customHeight="1">
      <c r="A110" s="1688" t="s">
        <v>459</v>
      </c>
      <c r="B110" s="1689"/>
      <c r="C110" s="1689"/>
      <c r="D110" s="1689"/>
      <c r="E110" s="1689"/>
      <c r="F110" s="1689"/>
      <c r="G110" s="1689"/>
      <c r="H110" s="1689"/>
      <c r="I110" s="1689"/>
      <c r="J110" s="1075"/>
      <c r="K110" s="1075"/>
      <c r="L110" s="1075"/>
      <c r="M110" s="1075"/>
      <c r="N110" s="1075"/>
      <c r="O110" s="1075"/>
      <c r="P110" s="1075"/>
      <c r="Q110" s="1075"/>
      <c r="R110" s="1075"/>
      <c r="S110" s="1075"/>
      <c r="T110" s="1075"/>
      <c r="U110" s="1075"/>
      <c r="V110" s="1075"/>
      <c r="W110" s="1075"/>
      <c r="X110" s="1075"/>
      <c r="Y110" s="1075"/>
      <c r="Z110" s="1075"/>
    </row>
    <row r="111" spans="1:26" ht="12.75" customHeight="1">
      <c r="A111" s="1075" t="s">
        <v>90</v>
      </c>
      <c r="B111" s="1075"/>
      <c r="C111" s="1075"/>
      <c r="D111" s="1075"/>
      <c r="E111" s="1075"/>
      <c r="F111" s="1075"/>
      <c r="G111" s="1075"/>
      <c r="H111" s="1075"/>
      <c r="I111" s="1075"/>
      <c r="J111" s="1075"/>
      <c r="K111" s="1075"/>
      <c r="L111" s="1075"/>
      <c r="M111" s="1075"/>
      <c r="N111" s="1075"/>
      <c r="O111" s="1075"/>
      <c r="P111" s="1075"/>
      <c r="Q111" s="1075"/>
      <c r="R111" s="1075"/>
      <c r="S111" s="1075"/>
      <c r="T111" s="1075"/>
      <c r="U111" s="1075"/>
      <c r="V111" s="1075"/>
      <c r="W111" s="1075"/>
      <c r="X111" s="1075"/>
      <c r="Y111" s="1075"/>
      <c r="Z111" s="1075"/>
    </row>
    <row r="112" spans="1:26" ht="12.75" customHeight="1">
      <c r="A112" s="1151" t="s">
        <v>1315</v>
      </c>
      <c r="B112" s="1152"/>
      <c r="C112" s="1152"/>
      <c r="D112" s="1152"/>
      <c r="E112" s="1152"/>
      <c r="F112" s="1152"/>
      <c r="G112" s="1152"/>
      <c r="H112" s="1152"/>
      <c r="I112" s="1153"/>
      <c r="J112" s="1075"/>
      <c r="K112" s="1075"/>
      <c r="L112" s="1075"/>
      <c r="M112" s="1075"/>
      <c r="N112" s="1075"/>
      <c r="O112" s="1075"/>
      <c r="P112" s="1075"/>
      <c r="Q112" s="1075"/>
      <c r="R112" s="1075"/>
      <c r="S112" s="1075"/>
      <c r="T112" s="1075"/>
      <c r="U112" s="1075"/>
      <c r="V112" s="1075"/>
      <c r="W112" s="1075"/>
      <c r="X112" s="1075"/>
      <c r="Y112" s="1075"/>
      <c r="Z112" s="1075"/>
    </row>
    <row r="113" spans="1:26" ht="12.75" customHeight="1">
      <c r="A113" s="1740"/>
      <c r="B113" s="1705"/>
      <c r="C113" s="1705"/>
      <c r="D113" s="1705"/>
      <c r="E113" s="1705"/>
      <c r="F113" s="1705"/>
      <c r="G113" s="1705"/>
      <c r="H113" s="1705"/>
      <c r="I113" s="1703"/>
      <c r="J113" s="1075"/>
      <c r="K113" s="1075"/>
      <c r="L113" s="1075"/>
      <c r="M113" s="1075"/>
      <c r="N113" s="1075"/>
      <c r="O113" s="1075"/>
      <c r="P113" s="1075"/>
      <c r="Q113" s="1075"/>
      <c r="R113" s="1075"/>
      <c r="S113" s="1075"/>
      <c r="T113" s="1075"/>
      <c r="U113" s="1075"/>
      <c r="V113" s="1075"/>
      <c r="W113" s="1075"/>
      <c r="X113" s="1075"/>
      <c r="Y113" s="1075"/>
      <c r="Z113" s="1075"/>
    </row>
    <row r="114" spans="1:26" ht="0.75" customHeight="1">
      <c r="A114" s="1740"/>
      <c r="B114" s="1705"/>
      <c r="C114" s="1705"/>
      <c r="D114" s="1705"/>
      <c r="E114" s="1705"/>
      <c r="F114" s="1705"/>
      <c r="G114" s="1705"/>
      <c r="H114" s="1705"/>
      <c r="I114" s="1703"/>
      <c r="J114" s="1075"/>
      <c r="K114" s="1075"/>
      <c r="L114" s="1075"/>
      <c r="M114" s="1075"/>
      <c r="N114" s="1075"/>
      <c r="O114" s="1075"/>
      <c r="P114" s="1075"/>
      <c r="Q114" s="1075"/>
      <c r="R114" s="1075"/>
      <c r="S114" s="1075"/>
      <c r="T114" s="1075"/>
      <c r="U114" s="1075"/>
      <c r="V114" s="1075"/>
      <c r="W114" s="1075"/>
      <c r="X114" s="1075"/>
      <c r="Y114" s="1075"/>
      <c r="Z114" s="1075"/>
    </row>
    <row r="115" spans="1:26" ht="12.75" hidden="1" customHeight="1">
      <c r="A115" s="1075"/>
      <c r="B115" s="1075"/>
      <c r="C115" s="1075"/>
      <c r="D115" s="1075"/>
      <c r="E115" s="1075"/>
      <c r="F115" s="1075"/>
      <c r="G115" s="1075"/>
      <c r="H115" s="1075"/>
      <c r="I115" s="1075"/>
      <c r="J115" s="1075"/>
      <c r="K115" s="1075"/>
      <c r="L115" s="1075"/>
      <c r="M115" s="1075"/>
      <c r="N115" s="1075"/>
      <c r="O115" s="1075"/>
      <c r="P115" s="1075"/>
      <c r="Q115" s="1075"/>
      <c r="R115" s="1075"/>
      <c r="S115" s="1075"/>
      <c r="T115" s="1075"/>
      <c r="U115" s="1075"/>
      <c r="V115" s="1075"/>
      <c r="W115" s="1075"/>
      <c r="X115" s="1075"/>
      <c r="Y115" s="1075"/>
      <c r="Z115" s="1075"/>
    </row>
    <row r="116" spans="1:26" ht="12.75" customHeight="1">
      <c r="A116" s="1688" t="s">
        <v>461</v>
      </c>
      <c r="B116" s="1689"/>
      <c r="C116" s="1689"/>
      <c r="D116" s="1689"/>
      <c r="E116" s="1689"/>
      <c r="F116" s="1689"/>
      <c r="G116" s="1689"/>
      <c r="H116" s="1689"/>
      <c r="I116" s="1689"/>
      <c r="J116" s="1074"/>
      <c r="K116" s="1074"/>
      <c r="L116" s="1074"/>
      <c r="M116" s="1074"/>
      <c r="N116" s="1074"/>
      <c r="O116" s="1074"/>
      <c r="P116" s="1074"/>
      <c r="Q116" s="1074"/>
      <c r="R116" s="1074"/>
      <c r="S116" s="1074"/>
      <c r="T116" s="1074"/>
      <c r="U116" s="1074"/>
      <c r="V116" s="1074"/>
      <c r="W116" s="1074"/>
      <c r="X116" s="1074"/>
      <c r="Y116" s="1074"/>
      <c r="Z116" s="1074"/>
    </row>
    <row r="117" spans="1:26" ht="12.75" customHeight="1">
      <c r="A117" s="1075" t="s">
        <v>90</v>
      </c>
      <c r="B117" s="1075"/>
      <c r="C117" s="1075"/>
      <c r="D117" s="1075"/>
      <c r="E117" s="1075"/>
      <c r="F117" s="1075"/>
      <c r="G117" s="1075"/>
      <c r="H117" s="1075"/>
      <c r="I117" s="1075"/>
      <c r="J117" s="1075"/>
      <c r="K117" s="1075"/>
      <c r="L117" s="1075"/>
      <c r="M117" s="1075"/>
      <c r="N117" s="1075"/>
      <c r="O117" s="1075"/>
      <c r="P117" s="1075"/>
      <c r="Q117" s="1075"/>
      <c r="R117" s="1075"/>
      <c r="S117" s="1075"/>
      <c r="T117" s="1075"/>
      <c r="U117" s="1075"/>
      <c r="V117" s="1075"/>
      <c r="W117" s="1075"/>
      <c r="X117" s="1075"/>
      <c r="Y117" s="1075"/>
      <c r="Z117" s="1075"/>
    </row>
    <row r="118" spans="1:26" ht="15">
      <c r="A118" s="1741" t="s">
        <v>1316</v>
      </c>
      <c r="B118" s="1700"/>
      <c r="C118" s="1700"/>
      <c r="D118" s="1700"/>
      <c r="E118" s="1700"/>
      <c r="F118" s="1700"/>
      <c r="G118" s="1700"/>
      <c r="H118" s="1700"/>
      <c r="I118" s="1698"/>
      <c r="J118" s="1075"/>
      <c r="K118" s="1075"/>
      <c r="L118" s="1075"/>
      <c r="M118" s="1075"/>
      <c r="N118" s="1075"/>
      <c r="O118" s="1075"/>
      <c r="P118" s="1075"/>
      <c r="Q118" s="1075"/>
      <c r="R118" s="1075"/>
      <c r="S118" s="1075"/>
      <c r="T118" s="1075"/>
      <c r="U118" s="1075"/>
      <c r="V118" s="1075"/>
      <c r="W118" s="1075"/>
      <c r="X118" s="1075"/>
      <c r="Y118" s="1075"/>
      <c r="Z118" s="1075"/>
    </row>
    <row r="119" spans="1:26" ht="15.75" customHeight="1">
      <c r="A119" s="1740"/>
      <c r="B119" s="1705"/>
      <c r="C119" s="1705"/>
      <c r="D119" s="1705"/>
      <c r="E119" s="1705"/>
      <c r="F119" s="1705"/>
      <c r="G119" s="1705"/>
      <c r="H119" s="1705"/>
      <c r="I119" s="1703"/>
      <c r="J119" s="1075"/>
      <c r="K119" s="1075"/>
      <c r="L119" s="1075"/>
      <c r="M119" s="1075"/>
      <c r="N119" s="1075"/>
      <c r="O119" s="1075"/>
      <c r="P119" s="1075"/>
      <c r="Q119" s="1075"/>
      <c r="R119" s="1075"/>
      <c r="S119" s="1075"/>
      <c r="T119" s="1075"/>
      <c r="U119" s="1075"/>
      <c r="V119" s="1075"/>
      <c r="W119" s="1075"/>
      <c r="X119" s="1075"/>
      <c r="Y119" s="1075"/>
      <c r="Z119" s="1075"/>
    </row>
    <row r="120" spans="1:26" ht="15.75" customHeight="1">
      <c r="A120" s="1143"/>
      <c r="B120" s="1143"/>
      <c r="C120" s="1143"/>
      <c r="D120" s="1143"/>
      <c r="E120" s="1143"/>
      <c r="F120" s="1143"/>
      <c r="G120" s="1143"/>
      <c r="H120" s="1143"/>
      <c r="I120" s="1143"/>
      <c r="J120" s="1075"/>
      <c r="K120" s="1075"/>
      <c r="L120" s="1075"/>
      <c r="M120" s="1075"/>
      <c r="N120" s="1075"/>
      <c r="O120" s="1075"/>
      <c r="P120" s="1075"/>
      <c r="Q120" s="1075"/>
      <c r="R120" s="1075"/>
      <c r="S120" s="1075"/>
      <c r="T120" s="1075"/>
      <c r="U120" s="1075"/>
      <c r="V120" s="1075"/>
      <c r="W120" s="1075"/>
      <c r="X120" s="1075"/>
      <c r="Y120" s="1075"/>
      <c r="Z120" s="1075"/>
    </row>
    <row r="121" spans="1:26" ht="12.75" customHeight="1">
      <c r="A121" s="1154" t="s">
        <v>188</v>
      </c>
      <c r="B121" s="1073"/>
      <c r="C121" s="1073"/>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3"/>
    </row>
    <row r="122" spans="1:26" ht="12.75" customHeight="1">
      <c r="A122" s="1154" t="s">
        <v>408</v>
      </c>
      <c r="B122" s="1073"/>
      <c r="C122" s="1073"/>
      <c r="D122" s="1073"/>
      <c r="E122" s="1073"/>
      <c r="F122" s="1073"/>
      <c r="G122" s="1073"/>
      <c r="H122" s="1073"/>
      <c r="I122" s="1073"/>
      <c r="J122" s="1073"/>
      <c r="K122" s="1073"/>
      <c r="L122" s="1073"/>
      <c r="M122" s="1073"/>
      <c r="N122" s="1073"/>
      <c r="O122" s="1073"/>
      <c r="P122" s="1073"/>
      <c r="Q122" s="1073"/>
      <c r="R122" s="1073"/>
      <c r="S122" s="1073"/>
      <c r="T122" s="1073"/>
      <c r="U122" s="1073"/>
      <c r="V122" s="1073"/>
      <c r="W122" s="1073"/>
      <c r="X122" s="1073"/>
      <c r="Y122" s="1073"/>
      <c r="Z122" s="1073"/>
    </row>
    <row r="123" spans="1:26" ht="12.75" customHeight="1">
      <c r="B123" s="1073"/>
      <c r="C123" s="1073"/>
      <c r="D123" s="1073"/>
      <c r="E123" s="1073"/>
      <c r="F123" s="1073"/>
      <c r="G123" s="1073"/>
      <c r="H123" s="1073"/>
      <c r="I123" s="1073"/>
      <c r="J123" s="1073"/>
      <c r="K123" s="1073"/>
      <c r="L123" s="1073"/>
      <c r="M123" s="1073"/>
      <c r="N123" s="1073"/>
      <c r="O123" s="1073"/>
      <c r="P123" s="1073"/>
      <c r="Q123" s="1073"/>
      <c r="R123" s="1073"/>
      <c r="S123" s="1073"/>
      <c r="T123" s="1073"/>
      <c r="U123" s="1073"/>
      <c r="V123" s="1073"/>
      <c r="W123" s="1073"/>
      <c r="X123" s="1073"/>
      <c r="Y123" s="1073"/>
      <c r="Z123" s="1073"/>
    </row>
    <row r="124" spans="1:26" ht="12.75" customHeight="1">
      <c r="A124" s="1154" t="s">
        <v>1317</v>
      </c>
      <c r="B124" s="1073"/>
      <c r="C124" s="1073"/>
      <c r="D124" s="1073"/>
      <c r="E124" s="1073"/>
      <c r="F124" s="1073"/>
      <c r="G124" s="1073"/>
      <c r="H124" s="1073"/>
      <c r="I124" s="1073"/>
      <c r="J124" s="1073"/>
      <c r="K124" s="1073"/>
      <c r="L124" s="1073"/>
      <c r="M124" s="1073"/>
      <c r="N124" s="1073"/>
      <c r="O124" s="1073"/>
      <c r="P124" s="1073"/>
      <c r="Q124" s="1073"/>
      <c r="R124" s="1073"/>
      <c r="S124" s="1073"/>
      <c r="T124" s="1073"/>
      <c r="U124" s="1073"/>
      <c r="V124" s="1073"/>
      <c r="W124" s="1073"/>
      <c r="X124" s="1073"/>
      <c r="Y124" s="1073"/>
      <c r="Z124" s="1073"/>
    </row>
    <row r="125" spans="1:26" ht="12.75" customHeight="1">
      <c r="A125" s="1073"/>
      <c r="B125" s="1073"/>
      <c r="C125" s="1073"/>
      <c r="D125" s="1073"/>
      <c r="E125" s="1073"/>
      <c r="F125" s="1073"/>
      <c r="G125" s="1073"/>
      <c r="H125" s="1073"/>
      <c r="I125" s="1073"/>
      <c r="J125" s="1073"/>
      <c r="K125" s="1073"/>
      <c r="L125" s="1073"/>
      <c r="M125" s="1073"/>
      <c r="N125" s="1073"/>
      <c r="O125" s="1073"/>
      <c r="P125" s="1073"/>
      <c r="Q125" s="1073"/>
      <c r="R125" s="1073"/>
      <c r="S125" s="1073"/>
      <c r="T125" s="1073"/>
      <c r="U125" s="1073"/>
      <c r="V125" s="1073"/>
      <c r="W125" s="1073"/>
      <c r="X125" s="1073"/>
      <c r="Y125" s="1073"/>
      <c r="Z125" s="1073"/>
    </row>
    <row r="126" spans="1:26" ht="12.75" customHeight="1">
      <c r="A126" s="1073"/>
      <c r="B126" s="1073"/>
      <c r="C126" s="1073"/>
      <c r="D126" s="1073"/>
      <c r="E126" s="1073"/>
      <c r="F126" s="1073"/>
      <c r="G126" s="1073"/>
      <c r="H126" s="1073"/>
      <c r="I126" s="1073"/>
      <c r="J126" s="1073"/>
      <c r="K126" s="1073"/>
      <c r="L126" s="1073"/>
      <c r="M126" s="1073"/>
      <c r="N126" s="1073"/>
      <c r="O126" s="1073"/>
      <c r="P126" s="1073"/>
      <c r="Q126" s="1073"/>
      <c r="R126" s="1073"/>
      <c r="S126" s="1073"/>
      <c r="T126" s="1073"/>
      <c r="U126" s="1073"/>
      <c r="V126" s="1073"/>
      <c r="W126" s="1073"/>
      <c r="X126" s="1073"/>
      <c r="Y126" s="1073"/>
      <c r="Z126" s="1073"/>
    </row>
    <row r="127" spans="1:26" ht="12.75" customHeight="1">
      <c r="A127" s="1073"/>
      <c r="B127" s="1073"/>
      <c r="C127" s="1073"/>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3"/>
    </row>
    <row r="128" spans="1:26" ht="12.75" customHeight="1">
      <c r="A128" s="1073"/>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3"/>
      <c r="X128" s="1073"/>
      <c r="Y128" s="1073"/>
      <c r="Z128" s="1073"/>
    </row>
    <row r="129" spans="1:26" ht="12.75" customHeight="1">
      <c r="A129" s="1073"/>
      <c r="B129" s="1073"/>
      <c r="C129" s="1073"/>
      <c r="D129" s="1073"/>
      <c r="E129" s="1073"/>
      <c r="F129" s="1073"/>
      <c r="G129" s="1073"/>
      <c r="H129" s="1073"/>
      <c r="I129" s="1073"/>
      <c r="J129" s="1073"/>
      <c r="K129" s="1073"/>
      <c r="L129" s="1073"/>
      <c r="M129" s="1073"/>
      <c r="N129" s="1073"/>
      <c r="O129" s="1073"/>
      <c r="P129" s="1073"/>
      <c r="Q129" s="1073"/>
      <c r="R129" s="1073"/>
      <c r="S129" s="1073"/>
      <c r="T129" s="1073"/>
      <c r="U129" s="1073"/>
      <c r="V129" s="1073"/>
      <c r="W129" s="1073"/>
      <c r="X129" s="1073"/>
      <c r="Y129" s="1073"/>
      <c r="Z129" s="1073"/>
    </row>
    <row r="130" spans="1:26" ht="12.75" customHeight="1">
      <c r="A130" s="1073"/>
      <c r="B130" s="1073"/>
      <c r="C130" s="1073"/>
      <c r="D130" s="1073"/>
      <c r="E130" s="1073"/>
      <c r="F130" s="1073"/>
      <c r="G130" s="1073"/>
      <c r="H130" s="1073"/>
      <c r="I130" s="1073"/>
      <c r="J130" s="1073"/>
      <c r="K130" s="1073"/>
      <c r="L130" s="1073"/>
      <c r="M130" s="1073"/>
      <c r="N130" s="1073"/>
      <c r="O130" s="1073"/>
      <c r="P130" s="1073"/>
      <c r="Q130" s="1073"/>
      <c r="R130" s="1073"/>
      <c r="S130" s="1073"/>
      <c r="T130" s="1073"/>
      <c r="U130" s="1073"/>
      <c r="V130" s="1073"/>
      <c r="W130" s="1073"/>
      <c r="X130" s="1073"/>
      <c r="Y130" s="1073"/>
      <c r="Z130" s="1073"/>
    </row>
    <row r="131" spans="1:26" ht="12.75" customHeight="1">
      <c r="A131" s="1073"/>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3"/>
      <c r="X131" s="1073"/>
      <c r="Y131" s="1073"/>
      <c r="Z131" s="1073"/>
    </row>
    <row r="132" spans="1:26" ht="12.75" customHeight="1">
      <c r="A132" s="1073"/>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3"/>
      <c r="W132" s="1073"/>
      <c r="X132" s="1073"/>
      <c r="Y132" s="1073"/>
      <c r="Z132" s="1073"/>
    </row>
    <row r="133" spans="1:26" ht="12.75" customHeight="1">
      <c r="A133" s="1073"/>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73"/>
      <c r="W133" s="1073"/>
      <c r="X133" s="1073"/>
      <c r="Y133" s="1073"/>
      <c r="Z133" s="1073"/>
    </row>
    <row r="134" spans="1:26" ht="12.75" customHeight="1">
      <c r="A134" s="1073"/>
      <c r="B134" s="1073"/>
      <c r="C134" s="1073"/>
      <c r="D134" s="1073"/>
      <c r="E134" s="1073"/>
      <c r="F134" s="1073"/>
      <c r="G134" s="1073"/>
      <c r="H134" s="1073"/>
      <c r="I134" s="1073"/>
      <c r="J134" s="1073"/>
      <c r="K134" s="1073"/>
      <c r="L134" s="1073"/>
      <c r="M134" s="1073"/>
      <c r="N134" s="1073"/>
      <c r="O134" s="1073"/>
      <c r="P134" s="1073"/>
      <c r="Q134" s="1073"/>
      <c r="R134" s="1073"/>
      <c r="S134" s="1073"/>
      <c r="T134" s="1073"/>
      <c r="U134" s="1073"/>
      <c r="V134" s="1073"/>
      <c r="W134" s="1073"/>
      <c r="X134" s="1073"/>
      <c r="Y134" s="1073"/>
      <c r="Z134" s="1073"/>
    </row>
    <row r="135" spans="1:26" ht="12.75" customHeight="1">
      <c r="A135" s="1073"/>
      <c r="B135" s="1073"/>
      <c r="C135" s="1073"/>
      <c r="D135" s="1073"/>
      <c r="E135" s="1073"/>
      <c r="F135" s="1073"/>
      <c r="G135" s="1073"/>
      <c r="H135" s="1073"/>
      <c r="I135" s="1073"/>
      <c r="J135" s="1073"/>
      <c r="K135" s="1073"/>
      <c r="L135" s="1073"/>
      <c r="M135" s="1073"/>
      <c r="N135" s="1073"/>
      <c r="O135" s="1073"/>
      <c r="P135" s="1073"/>
      <c r="Q135" s="1073"/>
      <c r="R135" s="1073"/>
      <c r="S135" s="1073"/>
      <c r="T135" s="1073"/>
      <c r="U135" s="1073"/>
      <c r="V135" s="1073"/>
      <c r="W135" s="1073"/>
      <c r="X135" s="1073"/>
      <c r="Y135" s="1073"/>
      <c r="Z135" s="1073"/>
    </row>
    <row r="136" spans="1:26" ht="12.75" customHeight="1">
      <c r="A136" s="1073"/>
      <c r="B136" s="1073"/>
      <c r="C136" s="1073"/>
      <c r="D136" s="1073"/>
      <c r="E136" s="1073"/>
      <c r="F136" s="1073"/>
      <c r="G136" s="1073"/>
      <c r="H136" s="1073"/>
      <c r="I136" s="1073"/>
      <c r="J136" s="1073"/>
      <c r="K136" s="1073"/>
      <c r="L136" s="1073"/>
      <c r="M136" s="1073"/>
      <c r="N136" s="1073"/>
      <c r="O136" s="1073"/>
      <c r="P136" s="1073"/>
      <c r="Q136" s="1073"/>
      <c r="R136" s="1073"/>
      <c r="S136" s="1073"/>
      <c r="T136" s="1073"/>
      <c r="U136" s="1073"/>
      <c r="V136" s="1073"/>
      <c r="W136" s="1073"/>
      <c r="X136" s="1073"/>
      <c r="Y136" s="1073"/>
      <c r="Z136" s="1073"/>
    </row>
    <row r="137" spans="1:26" ht="12.75" customHeight="1">
      <c r="A137" s="1073"/>
      <c r="B137" s="1073"/>
      <c r="C137" s="1073"/>
      <c r="D137" s="1073"/>
      <c r="E137" s="1073"/>
      <c r="F137" s="1073"/>
      <c r="G137" s="1073"/>
      <c r="H137" s="1073"/>
      <c r="I137" s="1073"/>
      <c r="J137" s="1073"/>
      <c r="K137" s="1073"/>
      <c r="L137" s="1073"/>
      <c r="M137" s="1073"/>
      <c r="N137" s="1073"/>
      <c r="O137" s="1073"/>
      <c r="P137" s="1073"/>
      <c r="Q137" s="1073"/>
      <c r="R137" s="1073"/>
      <c r="S137" s="1073"/>
      <c r="T137" s="1073"/>
      <c r="U137" s="1073"/>
      <c r="V137" s="1073"/>
      <c r="W137" s="1073"/>
      <c r="X137" s="1073"/>
      <c r="Y137" s="1073"/>
      <c r="Z137" s="1073"/>
    </row>
    <row r="138" spans="1:26" ht="12.75" customHeight="1">
      <c r="A138" s="1073"/>
      <c r="B138" s="1073"/>
      <c r="C138" s="1073"/>
      <c r="D138" s="1073"/>
      <c r="E138" s="1073"/>
      <c r="F138" s="1073"/>
      <c r="G138" s="1073"/>
      <c r="H138" s="1073"/>
      <c r="I138" s="1073"/>
      <c r="J138" s="1073"/>
      <c r="K138" s="1073"/>
      <c r="L138" s="1073"/>
      <c r="M138" s="1073"/>
      <c r="N138" s="1073"/>
      <c r="O138" s="1073"/>
      <c r="P138" s="1073"/>
      <c r="Q138" s="1073"/>
      <c r="R138" s="1073"/>
      <c r="S138" s="1073"/>
      <c r="T138" s="1073"/>
      <c r="U138" s="1073"/>
      <c r="V138" s="1073"/>
      <c r="W138" s="1073"/>
      <c r="X138" s="1073"/>
      <c r="Y138" s="1073"/>
      <c r="Z138" s="1073"/>
    </row>
    <row r="139" spans="1:26" ht="12.75" customHeight="1">
      <c r="A139" s="1073"/>
      <c r="B139" s="1073"/>
      <c r="C139" s="1073"/>
      <c r="D139" s="1073"/>
      <c r="E139" s="1073"/>
      <c r="F139" s="1073"/>
      <c r="G139" s="1073"/>
      <c r="H139" s="1073"/>
      <c r="I139" s="1073"/>
      <c r="J139" s="1073"/>
      <c r="K139" s="1073"/>
      <c r="L139" s="1073"/>
      <c r="M139" s="1073"/>
      <c r="N139" s="1073"/>
      <c r="O139" s="1073"/>
      <c r="P139" s="1073"/>
      <c r="Q139" s="1073"/>
      <c r="R139" s="1073"/>
      <c r="S139" s="1073"/>
      <c r="T139" s="1073"/>
      <c r="U139" s="1073"/>
      <c r="V139" s="1073"/>
      <c r="W139" s="1073"/>
      <c r="X139" s="1073"/>
      <c r="Y139" s="1073"/>
      <c r="Z139" s="1073"/>
    </row>
    <row r="140" spans="1:26" ht="12.75" customHeight="1">
      <c r="A140" s="1073"/>
      <c r="B140" s="1073"/>
      <c r="C140" s="1073"/>
      <c r="D140" s="1073"/>
      <c r="E140" s="1073"/>
      <c r="F140" s="1073"/>
      <c r="G140" s="1073"/>
      <c r="H140" s="1073"/>
      <c r="I140" s="1073"/>
      <c r="J140" s="1073"/>
      <c r="K140" s="1073"/>
      <c r="L140" s="1073"/>
      <c r="M140" s="1073"/>
      <c r="N140" s="1073"/>
      <c r="O140" s="1073"/>
      <c r="P140" s="1073"/>
      <c r="Q140" s="1073"/>
      <c r="R140" s="1073"/>
      <c r="S140" s="1073"/>
      <c r="T140" s="1073"/>
      <c r="U140" s="1073"/>
      <c r="V140" s="1073"/>
      <c r="W140" s="1073"/>
      <c r="X140" s="1073"/>
      <c r="Y140" s="1073"/>
      <c r="Z140" s="1073"/>
    </row>
    <row r="141" spans="1:26" ht="12.75" customHeight="1">
      <c r="A141" s="1073"/>
      <c r="B141" s="1073"/>
      <c r="C141" s="1073"/>
      <c r="D141" s="1073"/>
      <c r="E141" s="1073"/>
      <c r="F141" s="1073"/>
      <c r="G141" s="1073"/>
      <c r="H141" s="1073"/>
      <c r="I141" s="1073"/>
      <c r="J141" s="1073"/>
      <c r="K141" s="1073"/>
      <c r="L141" s="1073"/>
      <c r="M141" s="1073"/>
      <c r="N141" s="1073"/>
      <c r="O141" s="1073"/>
      <c r="P141" s="1073"/>
      <c r="Q141" s="1073"/>
      <c r="R141" s="1073"/>
      <c r="S141" s="1073"/>
      <c r="T141" s="1073"/>
      <c r="U141" s="1073"/>
      <c r="V141" s="1073"/>
      <c r="W141" s="1073"/>
      <c r="X141" s="1073"/>
      <c r="Y141" s="1073"/>
      <c r="Z141" s="1073"/>
    </row>
    <row r="142" spans="1:26" ht="12.75" customHeight="1">
      <c r="A142" s="1073"/>
      <c r="B142" s="1073"/>
      <c r="C142" s="1073"/>
      <c r="D142" s="1073"/>
      <c r="E142" s="1073"/>
      <c r="F142" s="1073"/>
      <c r="G142" s="1073"/>
      <c r="H142" s="1073"/>
      <c r="I142" s="1073"/>
      <c r="J142" s="1073"/>
      <c r="K142" s="1073"/>
      <c r="L142" s="1073"/>
      <c r="M142" s="1073"/>
      <c r="N142" s="1073"/>
      <c r="O142" s="1073"/>
      <c r="P142" s="1073"/>
      <c r="Q142" s="1073"/>
      <c r="R142" s="1073"/>
      <c r="S142" s="1073"/>
      <c r="T142" s="1073"/>
      <c r="U142" s="1073"/>
      <c r="V142" s="1073"/>
      <c r="W142" s="1073"/>
      <c r="X142" s="1073"/>
      <c r="Y142" s="1073"/>
      <c r="Z142" s="1073"/>
    </row>
    <row r="143" spans="1:26" ht="12.75" customHeight="1">
      <c r="A143" s="1073"/>
      <c r="B143" s="1073"/>
      <c r="C143" s="1073"/>
      <c r="D143" s="1073"/>
      <c r="E143" s="1073"/>
      <c r="F143" s="1073"/>
      <c r="G143" s="1073"/>
      <c r="H143" s="1073"/>
      <c r="I143" s="1073"/>
      <c r="J143" s="1073"/>
      <c r="K143" s="1073"/>
      <c r="L143" s="1073"/>
      <c r="M143" s="1073"/>
      <c r="N143" s="1073"/>
      <c r="O143" s="1073"/>
      <c r="P143" s="1073"/>
      <c r="Q143" s="1073"/>
      <c r="R143" s="1073"/>
      <c r="S143" s="1073"/>
      <c r="T143" s="1073"/>
      <c r="U143" s="1073"/>
      <c r="V143" s="1073"/>
      <c r="W143" s="1073"/>
      <c r="X143" s="1073"/>
      <c r="Y143" s="1073"/>
      <c r="Z143" s="1073"/>
    </row>
    <row r="144" spans="1:26" ht="12.75" customHeight="1">
      <c r="A144" s="1073"/>
      <c r="B144" s="1073"/>
      <c r="C144" s="1073"/>
      <c r="D144" s="1073"/>
      <c r="E144" s="1073"/>
      <c r="F144" s="1073"/>
      <c r="G144" s="1073"/>
      <c r="H144" s="1073"/>
      <c r="I144" s="1073"/>
      <c r="J144" s="1073"/>
      <c r="K144" s="1073"/>
      <c r="L144" s="1073"/>
      <c r="M144" s="1073"/>
      <c r="N144" s="1073"/>
      <c r="O144" s="1073"/>
      <c r="P144" s="1073"/>
      <c r="Q144" s="1073"/>
      <c r="R144" s="1073"/>
      <c r="S144" s="1073"/>
      <c r="T144" s="1073"/>
      <c r="U144" s="1073"/>
      <c r="V144" s="1073"/>
      <c r="W144" s="1073"/>
      <c r="X144" s="1073"/>
      <c r="Y144" s="1073"/>
      <c r="Z144" s="1073"/>
    </row>
    <row r="145" spans="1:26" ht="12.75" customHeight="1">
      <c r="A145" s="1073"/>
      <c r="B145" s="1073"/>
      <c r="C145" s="1073"/>
      <c r="D145" s="1073"/>
      <c r="E145" s="1073"/>
      <c r="F145" s="1073"/>
      <c r="G145" s="1073"/>
      <c r="H145" s="1073"/>
      <c r="I145" s="1073"/>
      <c r="J145" s="1073"/>
      <c r="K145" s="1073"/>
      <c r="L145" s="1073"/>
      <c r="M145" s="1073"/>
      <c r="N145" s="1073"/>
      <c r="O145" s="1073"/>
      <c r="P145" s="1073"/>
      <c r="Q145" s="1073"/>
      <c r="R145" s="1073"/>
      <c r="S145" s="1073"/>
      <c r="T145" s="1073"/>
      <c r="U145" s="1073"/>
      <c r="V145" s="1073"/>
      <c r="W145" s="1073"/>
      <c r="X145" s="1073"/>
      <c r="Y145" s="1073"/>
      <c r="Z145" s="1073"/>
    </row>
    <row r="146" spans="1:26" ht="12.75" customHeight="1">
      <c r="A146" s="1073"/>
      <c r="B146" s="1073"/>
      <c r="C146" s="1073"/>
      <c r="D146" s="1073"/>
      <c r="E146" s="1073"/>
      <c r="F146" s="1073"/>
      <c r="G146" s="1073"/>
      <c r="H146" s="1073"/>
      <c r="I146" s="1073"/>
      <c r="J146" s="1073"/>
      <c r="K146" s="1073"/>
      <c r="L146" s="1073"/>
      <c r="M146" s="1073"/>
      <c r="N146" s="1073"/>
      <c r="O146" s="1073"/>
      <c r="P146" s="1073"/>
      <c r="Q146" s="1073"/>
      <c r="R146" s="1073"/>
      <c r="S146" s="1073"/>
      <c r="T146" s="1073"/>
      <c r="U146" s="1073"/>
      <c r="V146" s="1073"/>
      <c r="W146" s="1073"/>
      <c r="X146" s="1073"/>
      <c r="Y146" s="1073"/>
      <c r="Z146" s="1073"/>
    </row>
    <row r="147" spans="1:26" ht="12.75" customHeight="1">
      <c r="A147" s="1073"/>
      <c r="B147" s="1073"/>
      <c r="C147" s="1073"/>
      <c r="D147" s="1073"/>
      <c r="E147" s="1073"/>
      <c r="F147" s="1073"/>
      <c r="G147" s="1073"/>
      <c r="H147" s="1073"/>
      <c r="I147" s="1073"/>
      <c r="J147" s="1073"/>
      <c r="K147" s="1073"/>
      <c r="L147" s="1073"/>
      <c r="M147" s="1073"/>
      <c r="N147" s="1073"/>
      <c r="O147" s="1073"/>
      <c r="P147" s="1073"/>
      <c r="Q147" s="1073"/>
      <c r="R147" s="1073"/>
      <c r="S147" s="1073"/>
      <c r="T147" s="1073"/>
      <c r="U147" s="1073"/>
      <c r="V147" s="1073"/>
      <c r="W147" s="1073"/>
      <c r="X147" s="1073"/>
      <c r="Y147" s="1073"/>
      <c r="Z147" s="1073"/>
    </row>
    <row r="148" spans="1:26" ht="12.75" customHeight="1">
      <c r="A148" s="1073"/>
      <c r="B148" s="1073"/>
      <c r="C148" s="1073"/>
      <c r="D148" s="1073"/>
      <c r="E148" s="1073"/>
      <c r="F148" s="1073"/>
      <c r="G148" s="1073"/>
      <c r="H148" s="1073"/>
      <c r="I148" s="1073"/>
      <c r="J148" s="1073"/>
      <c r="K148" s="1073"/>
      <c r="L148" s="1073"/>
      <c r="M148" s="1073"/>
      <c r="N148" s="1073"/>
      <c r="O148" s="1073"/>
      <c r="P148" s="1073"/>
      <c r="Q148" s="1073"/>
      <c r="R148" s="1073"/>
      <c r="S148" s="1073"/>
      <c r="T148" s="1073"/>
      <c r="U148" s="1073"/>
      <c r="V148" s="1073"/>
      <c r="W148" s="1073"/>
      <c r="X148" s="1073"/>
      <c r="Y148" s="1073"/>
      <c r="Z148" s="1073"/>
    </row>
    <row r="149" spans="1:26" ht="12.75" customHeight="1">
      <c r="A149" s="1073"/>
      <c r="B149" s="1073"/>
      <c r="C149" s="1073"/>
      <c r="D149" s="1073"/>
      <c r="E149" s="1073"/>
      <c r="F149" s="1073"/>
      <c r="G149" s="1073"/>
      <c r="H149" s="1073"/>
      <c r="I149" s="1073"/>
      <c r="J149" s="1073"/>
      <c r="K149" s="1073"/>
      <c r="L149" s="1073"/>
      <c r="M149" s="1073"/>
      <c r="N149" s="1073"/>
      <c r="O149" s="1073"/>
      <c r="P149" s="1073"/>
      <c r="Q149" s="1073"/>
      <c r="R149" s="1073"/>
      <c r="S149" s="1073"/>
      <c r="T149" s="1073"/>
      <c r="U149" s="1073"/>
      <c r="V149" s="1073"/>
      <c r="W149" s="1073"/>
      <c r="X149" s="1073"/>
      <c r="Y149" s="1073"/>
      <c r="Z149" s="1073"/>
    </row>
    <row r="150" spans="1:26" ht="12.75" customHeight="1">
      <c r="A150" s="1073"/>
      <c r="B150" s="1073"/>
      <c r="C150" s="1073"/>
      <c r="D150" s="1073"/>
      <c r="E150" s="1073"/>
      <c r="F150" s="1073"/>
      <c r="G150" s="1073"/>
      <c r="H150" s="1073"/>
      <c r="I150" s="1073"/>
      <c r="J150" s="1073"/>
      <c r="K150" s="1073"/>
      <c r="L150" s="1073"/>
      <c r="M150" s="1073"/>
      <c r="N150" s="1073"/>
      <c r="O150" s="1073"/>
      <c r="P150" s="1073"/>
      <c r="Q150" s="1073"/>
      <c r="R150" s="1073"/>
      <c r="S150" s="1073"/>
      <c r="T150" s="1073"/>
      <c r="U150" s="1073"/>
      <c r="V150" s="1073"/>
      <c r="W150" s="1073"/>
      <c r="X150" s="1073"/>
      <c r="Y150" s="1073"/>
      <c r="Z150" s="1073"/>
    </row>
    <row r="151" spans="1:26" ht="12.75" customHeight="1">
      <c r="A151" s="1073"/>
      <c r="B151" s="1073"/>
      <c r="C151" s="1073"/>
      <c r="D151" s="1073"/>
      <c r="E151" s="1073"/>
      <c r="F151" s="1073"/>
      <c r="G151" s="1073"/>
      <c r="H151" s="1073"/>
      <c r="I151" s="1073"/>
      <c r="J151" s="1073"/>
      <c r="K151" s="1073"/>
      <c r="L151" s="1073"/>
      <c r="M151" s="1073"/>
      <c r="N151" s="1073"/>
      <c r="O151" s="1073"/>
      <c r="P151" s="1073"/>
      <c r="Q151" s="1073"/>
      <c r="R151" s="1073"/>
      <c r="S151" s="1073"/>
      <c r="T151" s="1073"/>
      <c r="U151" s="1073"/>
      <c r="V151" s="1073"/>
      <c r="W151" s="1073"/>
      <c r="X151" s="1073"/>
      <c r="Y151" s="1073"/>
      <c r="Z151" s="1073"/>
    </row>
    <row r="152" spans="1:26" ht="12.75" customHeight="1">
      <c r="A152" s="1073"/>
      <c r="B152" s="1073"/>
      <c r="C152" s="1073"/>
      <c r="D152" s="1073"/>
      <c r="E152" s="1073"/>
      <c r="F152" s="1073"/>
      <c r="G152" s="1073"/>
      <c r="H152" s="1073"/>
      <c r="I152" s="1073"/>
      <c r="J152" s="1073"/>
      <c r="K152" s="1073"/>
      <c r="L152" s="1073"/>
      <c r="M152" s="1073"/>
      <c r="N152" s="1073"/>
      <c r="O152" s="1073"/>
      <c r="P152" s="1073"/>
      <c r="Q152" s="1073"/>
      <c r="R152" s="1073"/>
      <c r="S152" s="1073"/>
      <c r="T152" s="1073"/>
      <c r="U152" s="1073"/>
      <c r="V152" s="1073"/>
      <c r="W152" s="1073"/>
      <c r="X152" s="1073"/>
      <c r="Y152" s="1073"/>
      <c r="Z152" s="1073"/>
    </row>
    <row r="153" spans="1:26" ht="12.75" customHeight="1">
      <c r="A153" s="1073"/>
      <c r="B153" s="1073"/>
      <c r="C153" s="1073"/>
      <c r="D153" s="1073"/>
      <c r="E153" s="1073"/>
      <c r="F153" s="1073"/>
      <c r="G153" s="1073"/>
      <c r="H153" s="1073"/>
      <c r="I153" s="1073"/>
      <c r="J153" s="1073"/>
      <c r="K153" s="1073"/>
      <c r="L153" s="1073"/>
      <c r="M153" s="1073"/>
      <c r="N153" s="1073"/>
      <c r="O153" s="1073"/>
      <c r="P153" s="1073"/>
      <c r="Q153" s="1073"/>
      <c r="R153" s="1073"/>
      <c r="S153" s="1073"/>
      <c r="T153" s="1073"/>
      <c r="U153" s="1073"/>
      <c r="V153" s="1073"/>
      <c r="W153" s="1073"/>
      <c r="X153" s="1073"/>
      <c r="Y153" s="1073"/>
      <c r="Z153" s="1073"/>
    </row>
    <row r="154" spans="1:26" ht="12.75" customHeight="1">
      <c r="A154" s="1073"/>
      <c r="B154" s="1073"/>
      <c r="C154" s="1073"/>
      <c r="D154" s="1073"/>
      <c r="E154" s="1073"/>
      <c r="F154" s="1073"/>
      <c r="G154" s="1073"/>
      <c r="H154" s="1073"/>
      <c r="I154" s="1073"/>
      <c r="J154" s="1073"/>
      <c r="K154" s="1073"/>
      <c r="L154" s="1073"/>
      <c r="M154" s="1073"/>
      <c r="N154" s="1073"/>
      <c r="O154" s="1073"/>
      <c r="P154" s="1073"/>
      <c r="Q154" s="1073"/>
      <c r="R154" s="1073"/>
      <c r="S154" s="1073"/>
      <c r="T154" s="1073"/>
      <c r="U154" s="1073"/>
      <c r="V154" s="1073"/>
      <c r="W154" s="1073"/>
      <c r="X154" s="1073"/>
      <c r="Y154" s="1073"/>
      <c r="Z154" s="1073"/>
    </row>
    <row r="155" spans="1:26" ht="12.75" customHeight="1">
      <c r="A155" s="1073"/>
      <c r="B155" s="1073"/>
      <c r="C155" s="1073"/>
      <c r="D155" s="1073"/>
      <c r="E155" s="1073"/>
      <c r="F155" s="1073"/>
      <c r="G155" s="1073"/>
      <c r="H155" s="1073"/>
      <c r="I155" s="1073"/>
      <c r="J155" s="1073"/>
      <c r="K155" s="1073"/>
      <c r="L155" s="1073"/>
      <c r="M155" s="1073"/>
      <c r="N155" s="1073"/>
      <c r="O155" s="1073"/>
      <c r="P155" s="1073"/>
      <c r="Q155" s="1073"/>
      <c r="R155" s="1073"/>
      <c r="S155" s="1073"/>
      <c r="T155" s="1073"/>
      <c r="U155" s="1073"/>
      <c r="V155" s="1073"/>
      <c r="W155" s="1073"/>
      <c r="X155" s="1073"/>
      <c r="Y155" s="1073"/>
      <c r="Z155" s="1073"/>
    </row>
    <row r="156" spans="1:26" ht="12.75" customHeight="1">
      <c r="A156" s="1073"/>
      <c r="B156" s="1073"/>
      <c r="C156" s="1073"/>
      <c r="D156" s="1073"/>
      <c r="E156" s="1073"/>
      <c r="F156" s="1073"/>
      <c r="G156" s="1073"/>
      <c r="H156" s="1073"/>
      <c r="I156" s="1073"/>
      <c r="J156" s="1073"/>
      <c r="K156" s="1073"/>
      <c r="L156" s="1073"/>
      <c r="M156" s="1073"/>
      <c r="N156" s="1073"/>
      <c r="O156" s="1073"/>
      <c r="P156" s="1073"/>
      <c r="Q156" s="1073"/>
      <c r="R156" s="1073"/>
      <c r="S156" s="1073"/>
      <c r="T156" s="1073"/>
      <c r="U156" s="1073"/>
      <c r="V156" s="1073"/>
      <c r="W156" s="1073"/>
      <c r="X156" s="1073"/>
      <c r="Y156" s="1073"/>
      <c r="Z156" s="1073"/>
    </row>
    <row r="157" spans="1:26" ht="12.75" customHeight="1">
      <c r="A157" s="1073"/>
      <c r="B157" s="1073"/>
      <c r="C157" s="1073"/>
      <c r="D157" s="1073"/>
      <c r="E157" s="1073"/>
      <c r="F157" s="1073"/>
      <c r="G157" s="1073"/>
      <c r="H157" s="1073"/>
      <c r="I157" s="1073"/>
      <c r="J157" s="1073"/>
      <c r="K157" s="1073"/>
      <c r="L157" s="1073"/>
      <c r="M157" s="1073"/>
      <c r="N157" s="1073"/>
      <c r="O157" s="1073"/>
      <c r="P157" s="1073"/>
      <c r="Q157" s="1073"/>
      <c r="R157" s="1073"/>
      <c r="S157" s="1073"/>
      <c r="T157" s="1073"/>
      <c r="U157" s="1073"/>
      <c r="V157" s="1073"/>
      <c r="W157" s="1073"/>
      <c r="X157" s="1073"/>
      <c r="Y157" s="1073"/>
      <c r="Z157" s="1073"/>
    </row>
    <row r="158" spans="1:26" ht="12.75" customHeight="1">
      <c r="A158" s="1073"/>
      <c r="B158" s="1073"/>
      <c r="C158" s="1073"/>
      <c r="D158" s="1073"/>
      <c r="E158" s="1073"/>
      <c r="F158" s="1073"/>
      <c r="G158" s="1073"/>
      <c r="H158" s="1073"/>
      <c r="I158" s="1073"/>
      <c r="J158" s="1073"/>
      <c r="K158" s="1073"/>
      <c r="L158" s="1073"/>
      <c r="M158" s="1073"/>
      <c r="N158" s="1073"/>
      <c r="O158" s="1073"/>
      <c r="P158" s="1073"/>
      <c r="Q158" s="1073"/>
      <c r="R158" s="1073"/>
      <c r="S158" s="1073"/>
      <c r="T158" s="1073"/>
      <c r="U158" s="1073"/>
      <c r="V158" s="1073"/>
      <c r="W158" s="1073"/>
      <c r="X158" s="1073"/>
      <c r="Y158" s="1073"/>
      <c r="Z158" s="1073"/>
    </row>
    <row r="159" spans="1:26" ht="12.75" customHeight="1">
      <c r="A159" s="1073"/>
      <c r="B159" s="1073"/>
      <c r="C159" s="1073"/>
      <c r="D159" s="1073"/>
      <c r="E159" s="1073"/>
      <c r="F159" s="1073"/>
      <c r="G159" s="1073"/>
      <c r="H159" s="1073"/>
      <c r="I159" s="1073"/>
      <c r="J159" s="1073"/>
      <c r="K159" s="1073"/>
      <c r="L159" s="1073"/>
      <c r="M159" s="1073"/>
      <c r="N159" s="1073"/>
      <c r="O159" s="1073"/>
      <c r="P159" s="1073"/>
      <c r="Q159" s="1073"/>
      <c r="R159" s="1073"/>
      <c r="S159" s="1073"/>
      <c r="T159" s="1073"/>
      <c r="U159" s="1073"/>
      <c r="V159" s="1073"/>
      <c r="W159" s="1073"/>
      <c r="X159" s="1073"/>
      <c r="Y159" s="1073"/>
      <c r="Z159" s="1073"/>
    </row>
    <row r="160" spans="1:26" ht="12.75" customHeight="1">
      <c r="A160" s="1073"/>
      <c r="B160" s="1073"/>
      <c r="C160" s="1073"/>
      <c r="D160" s="1073"/>
      <c r="E160" s="1073"/>
      <c r="F160" s="1073"/>
      <c r="G160" s="1073"/>
      <c r="H160" s="1073"/>
      <c r="I160" s="1073"/>
      <c r="J160" s="1073"/>
      <c r="K160" s="1073"/>
      <c r="L160" s="1073"/>
      <c r="M160" s="1073"/>
      <c r="N160" s="1073"/>
      <c r="O160" s="1073"/>
      <c r="P160" s="1073"/>
      <c r="Q160" s="1073"/>
      <c r="R160" s="1073"/>
      <c r="S160" s="1073"/>
      <c r="T160" s="1073"/>
      <c r="U160" s="1073"/>
      <c r="V160" s="1073"/>
      <c r="W160" s="1073"/>
      <c r="X160" s="1073"/>
      <c r="Y160" s="1073"/>
      <c r="Z160" s="1073"/>
    </row>
    <row r="161" spans="1:26" ht="12.75" customHeight="1">
      <c r="A161" s="1073"/>
      <c r="B161" s="1073"/>
      <c r="C161" s="1073"/>
      <c r="D161" s="1073"/>
      <c r="E161" s="1073"/>
      <c r="F161" s="1073"/>
      <c r="G161" s="1073"/>
      <c r="H161" s="1073"/>
      <c r="I161" s="1073"/>
      <c r="J161" s="1073"/>
      <c r="K161" s="1073"/>
      <c r="L161" s="1073"/>
      <c r="M161" s="1073"/>
      <c r="N161" s="1073"/>
      <c r="O161" s="1073"/>
      <c r="P161" s="1073"/>
      <c r="Q161" s="1073"/>
      <c r="R161" s="1073"/>
      <c r="S161" s="1073"/>
      <c r="T161" s="1073"/>
      <c r="U161" s="1073"/>
      <c r="V161" s="1073"/>
      <c r="W161" s="1073"/>
      <c r="X161" s="1073"/>
      <c r="Y161" s="1073"/>
      <c r="Z161" s="1073"/>
    </row>
    <row r="162" spans="1:26" ht="12.75" customHeight="1">
      <c r="A162" s="1073"/>
      <c r="B162" s="1073"/>
      <c r="C162" s="1073"/>
      <c r="D162" s="1073"/>
      <c r="E162" s="1073"/>
      <c r="F162" s="1073"/>
      <c r="G162" s="1073"/>
      <c r="H162" s="1073"/>
      <c r="I162" s="1073"/>
      <c r="J162" s="1073"/>
      <c r="K162" s="1073"/>
      <c r="L162" s="1073"/>
      <c r="M162" s="1073"/>
      <c r="N162" s="1073"/>
      <c r="O162" s="1073"/>
      <c r="P162" s="1073"/>
      <c r="Q162" s="1073"/>
      <c r="R162" s="1073"/>
      <c r="S162" s="1073"/>
      <c r="T162" s="1073"/>
      <c r="U162" s="1073"/>
      <c r="V162" s="1073"/>
      <c r="W162" s="1073"/>
      <c r="X162" s="1073"/>
      <c r="Y162" s="1073"/>
      <c r="Z162" s="1073"/>
    </row>
    <row r="163" spans="1:26" ht="12.75" customHeight="1">
      <c r="A163" s="1073"/>
      <c r="B163" s="1073"/>
      <c r="C163" s="1073"/>
      <c r="D163" s="1073"/>
      <c r="E163" s="1073"/>
      <c r="F163" s="1073"/>
      <c r="G163" s="1073"/>
      <c r="H163" s="1073"/>
      <c r="I163" s="1073"/>
      <c r="J163" s="1073"/>
      <c r="K163" s="1073"/>
      <c r="L163" s="1073"/>
      <c r="M163" s="1073"/>
      <c r="N163" s="1073"/>
      <c r="O163" s="1073"/>
      <c r="P163" s="1073"/>
      <c r="Q163" s="1073"/>
      <c r="R163" s="1073"/>
      <c r="S163" s="1073"/>
      <c r="T163" s="1073"/>
      <c r="U163" s="1073"/>
      <c r="V163" s="1073"/>
      <c r="W163" s="1073"/>
      <c r="X163" s="1073"/>
      <c r="Y163" s="1073"/>
      <c r="Z163" s="1073"/>
    </row>
    <row r="164" spans="1:26" ht="12.75" customHeight="1">
      <c r="A164" s="1073"/>
      <c r="B164" s="1073"/>
      <c r="C164" s="1073"/>
      <c r="D164" s="1073"/>
      <c r="E164" s="1073"/>
      <c r="F164" s="1073"/>
      <c r="G164" s="1073"/>
      <c r="H164" s="1073"/>
      <c r="I164" s="1073"/>
      <c r="J164" s="1073"/>
      <c r="K164" s="1073"/>
      <c r="L164" s="1073"/>
      <c r="M164" s="1073"/>
      <c r="N164" s="1073"/>
      <c r="O164" s="1073"/>
      <c r="P164" s="1073"/>
      <c r="Q164" s="1073"/>
      <c r="R164" s="1073"/>
      <c r="S164" s="1073"/>
      <c r="T164" s="1073"/>
      <c r="U164" s="1073"/>
      <c r="V164" s="1073"/>
      <c r="W164" s="1073"/>
      <c r="X164" s="1073"/>
      <c r="Y164" s="1073"/>
      <c r="Z164" s="1073"/>
    </row>
    <row r="165" spans="1:26" ht="12.75" customHeight="1">
      <c r="A165" s="1073"/>
      <c r="B165" s="1073"/>
      <c r="C165" s="1073"/>
      <c r="D165" s="1073"/>
      <c r="E165" s="1073"/>
      <c r="F165" s="1073"/>
      <c r="G165" s="1073"/>
      <c r="H165" s="1073"/>
      <c r="I165" s="1073"/>
      <c r="J165" s="1073"/>
      <c r="K165" s="1073"/>
      <c r="L165" s="1073"/>
      <c r="M165" s="1073"/>
      <c r="N165" s="1073"/>
      <c r="O165" s="1073"/>
      <c r="P165" s="1073"/>
      <c r="Q165" s="1073"/>
      <c r="R165" s="1073"/>
      <c r="S165" s="1073"/>
      <c r="T165" s="1073"/>
      <c r="U165" s="1073"/>
      <c r="V165" s="1073"/>
      <c r="W165" s="1073"/>
      <c r="X165" s="1073"/>
      <c r="Y165" s="1073"/>
      <c r="Z165" s="1073"/>
    </row>
    <row r="166" spans="1:26" ht="12.75" customHeight="1">
      <c r="A166" s="1073"/>
      <c r="B166" s="1073"/>
      <c r="C166" s="1073"/>
      <c r="D166" s="1073"/>
      <c r="E166" s="1073"/>
      <c r="F166" s="1073"/>
      <c r="G166" s="1073"/>
      <c r="H166" s="1073"/>
      <c r="I166" s="1073"/>
      <c r="J166" s="1073"/>
      <c r="K166" s="1073"/>
      <c r="L166" s="1073"/>
      <c r="M166" s="1073"/>
      <c r="N166" s="1073"/>
      <c r="O166" s="1073"/>
      <c r="P166" s="1073"/>
      <c r="Q166" s="1073"/>
      <c r="R166" s="1073"/>
      <c r="S166" s="1073"/>
      <c r="T166" s="1073"/>
      <c r="U166" s="1073"/>
      <c r="V166" s="1073"/>
      <c r="W166" s="1073"/>
      <c r="X166" s="1073"/>
      <c r="Y166" s="1073"/>
      <c r="Z166" s="1073"/>
    </row>
    <row r="167" spans="1:26" ht="12.75" customHeight="1">
      <c r="A167" s="1073"/>
      <c r="B167" s="1073"/>
      <c r="C167" s="1073"/>
      <c r="D167" s="1073"/>
      <c r="E167" s="1073"/>
      <c r="F167" s="1073"/>
      <c r="G167" s="1073"/>
      <c r="H167" s="1073"/>
      <c r="I167" s="1073"/>
      <c r="J167" s="1073"/>
      <c r="K167" s="1073"/>
      <c r="L167" s="1073"/>
      <c r="M167" s="1073"/>
      <c r="N167" s="1073"/>
      <c r="O167" s="1073"/>
      <c r="P167" s="1073"/>
      <c r="Q167" s="1073"/>
      <c r="R167" s="1073"/>
      <c r="S167" s="1073"/>
      <c r="T167" s="1073"/>
      <c r="U167" s="1073"/>
      <c r="V167" s="1073"/>
      <c r="W167" s="1073"/>
      <c r="X167" s="1073"/>
      <c r="Y167" s="1073"/>
      <c r="Z167" s="1073"/>
    </row>
    <row r="168" spans="1:26" ht="12.75" customHeight="1">
      <c r="A168" s="1073"/>
      <c r="B168" s="1073"/>
      <c r="C168" s="1073"/>
      <c r="D168" s="1073"/>
      <c r="E168" s="1073"/>
      <c r="F168" s="1073"/>
      <c r="G168" s="1073"/>
      <c r="H168" s="1073"/>
      <c r="I168" s="1073"/>
      <c r="J168" s="1073"/>
      <c r="K168" s="1073"/>
      <c r="L168" s="1073"/>
      <c r="M168" s="1073"/>
      <c r="N168" s="1073"/>
      <c r="O168" s="1073"/>
      <c r="P168" s="1073"/>
      <c r="Q168" s="1073"/>
      <c r="R168" s="1073"/>
      <c r="S168" s="1073"/>
      <c r="T168" s="1073"/>
      <c r="U168" s="1073"/>
      <c r="V168" s="1073"/>
      <c r="W168" s="1073"/>
      <c r="X168" s="1073"/>
      <c r="Y168" s="1073"/>
      <c r="Z168" s="1073"/>
    </row>
    <row r="169" spans="1:26" ht="12.75" customHeight="1">
      <c r="A169" s="1073"/>
      <c r="B169" s="1073"/>
      <c r="C169" s="1073"/>
      <c r="D169" s="1073"/>
      <c r="E169" s="1073"/>
      <c r="F169" s="1073"/>
      <c r="G169" s="1073"/>
      <c r="H169" s="1073"/>
      <c r="I169" s="1073"/>
      <c r="J169" s="1073"/>
      <c r="K169" s="1073"/>
      <c r="L169" s="1073"/>
      <c r="M169" s="1073"/>
      <c r="N169" s="1073"/>
      <c r="O169" s="1073"/>
      <c r="P169" s="1073"/>
      <c r="Q169" s="1073"/>
      <c r="R169" s="1073"/>
      <c r="S169" s="1073"/>
      <c r="T169" s="1073"/>
      <c r="U169" s="1073"/>
      <c r="V169" s="1073"/>
      <c r="W169" s="1073"/>
      <c r="X169" s="1073"/>
      <c r="Y169" s="1073"/>
      <c r="Z169" s="1073"/>
    </row>
    <row r="170" spans="1:26" ht="12.75" customHeight="1">
      <c r="A170" s="1073"/>
      <c r="B170" s="1073"/>
      <c r="C170" s="1073"/>
      <c r="D170" s="1073"/>
      <c r="E170" s="1073"/>
      <c r="F170" s="1073"/>
      <c r="G170" s="1073"/>
      <c r="H170" s="1073"/>
      <c r="I170" s="1073"/>
      <c r="J170" s="1073"/>
      <c r="K170" s="1073"/>
      <c r="L170" s="1073"/>
      <c r="M170" s="1073"/>
      <c r="N170" s="1073"/>
      <c r="O170" s="1073"/>
      <c r="P170" s="1073"/>
      <c r="Q170" s="1073"/>
      <c r="R170" s="1073"/>
      <c r="S170" s="1073"/>
      <c r="T170" s="1073"/>
      <c r="U170" s="1073"/>
      <c r="V170" s="1073"/>
      <c r="W170" s="1073"/>
      <c r="X170" s="1073"/>
      <c r="Y170" s="1073"/>
      <c r="Z170" s="1073"/>
    </row>
    <row r="171" spans="1:26" ht="12.75" customHeight="1">
      <c r="A171" s="1073"/>
      <c r="B171" s="1073"/>
      <c r="C171" s="1073"/>
      <c r="D171" s="1073"/>
      <c r="E171" s="1073"/>
      <c r="F171" s="1073"/>
      <c r="G171" s="1073"/>
      <c r="H171" s="1073"/>
      <c r="I171" s="1073"/>
      <c r="J171" s="1073"/>
      <c r="K171" s="1073"/>
      <c r="L171" s="1073"/>
      <c r="M171" s="1073"/>
      <c r="N171" s="1073"/>
      <c r="O171" s="1073"/>
      <c r="P171" s="1073"/>
      <c r="Q171" s="1073"/>
      <c r="R171" s="1073"/>
      <c r="S171" s="1073"/>
      <c r="T171" s="1073"/>
      <c r="U171" s="1073"/>
      <c r="V171" s="1073"/>
      <c r="W171" s="1073"/>
      <c r="X171" s="1073"/>
      <c r="Y171" s="1073"/>
      <c r="Z171" s="1073"/>
    </row>
    <row r="172" spans="1:26" ht="12.75" customHeight="1">
      <c r="A172" s="1073"/>
      <c r="B172" s="1073"/>
      <c r="C172" s="1073"/>
      <c r="D172" s="1073"/>
      <c r="E172" s="1073"/>
      <c r="F172" s="1073"/>
      <c r="G172" s="1073"/>
      <c r="H172" s="1073"/>
      <c r="I172" s="1073"/>
      <c r="J172" s="1073"/>
      <c r="K172" s="1073"/>
      <c r="L172" s="1073"/>
      <c r="M172" s="1073"/>
      <c r="N172" s="1073"/>
      <c r="O172" s="1073"/>
      <c r="P172" s="1073"/>
      <c r="Q172" s="1073"/>
      <c r="R172" s="1073"/>
      <c r="S172" s="1073"/>
      <c r="T172" s="1073"/>
      <c r="U172" s="1073"/>
      <c r="V172" s="1073"/>
      <c r="W172" s="1073"/>
      <c r="X172" s="1073"/>
      <c r="Y172" s="1073"/>
      <c r="Z172" s="1073"/>
    </row>
    <row r="173" spans="1:26" ht="12.75" customHeight="1">
      <c r="A173" s="1073"/>
      <c r="B173" s="1073"/>
      <c r="C173" s="1073"/>
      <c r="D173" s="1073"/>
      <c r="E173" s="1073"/>
      <c r="F173" s="1073"/>
      <c r="G173" s="1073"/>
      <c r="H173" s="1073"/>
      <c r="I173" s="1073"/>
      <c r="J173" s="1073"/>
      <c r="K173" s="1073"/>
      <c r="L173" s="1073"/>
      <c r="M173" s="1073"/>
      <c r="N173" s="1073"/>
      <c r="O173" s="1073"/>
      <c r="P173" s="1073"/>
      <c r="Q173" s="1073"/>
      <c r="R173" s="1073"/>
      <c r="S173" s="1073"/>
      <c r="T173" s="1073"/>
      <c r="U173" s="1073"/>
      <c r="V173" s="1073"/>
      <c r="W173" s="1073"/>
      <c r="X173" s="1073"/>
      <c r="Y173" s="1073"/>
      <c r="Z173" s="1073"/>
    </row>
    <row r="174" spans="1:26" ht="12.75" customHeight="1">
      <c r="A174" s="1073"/>
      <c r="B174" s="1073"/>
      <c r="C174" s="1073"/>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row>
    <row r="175" spans="1:26" ht="12.75" customHeight="1">
      <c r="A175" s="1073"/>
      <c r="B175" s="1073"/>
      <c r="C175" s="1073"/>
      <c r="D175" s="1073"/>
      <c r="E175" s="1073"/>
      <c r="F175" s="1073"/>
      <c r="G175" s="1073"/>
      <c r="H175" s="1073"/>
      <c r="I175" s="1073"/>
      <c r="J175" s="1073"/>
      <c r="K175" s="1073"/>
      <c r="L175" s="1073"/>
      <c r="M175" s="1073"/>
      <c r="N175" s="1073"/>
      <c r="O175" s="1073"/>
      <c r="P175" s="1073"/>
      <c r="Q175" s="1073"/>
      <c r="R175" s="1073"/>
      <c r="S175" s="1073"/>
      <c r="T175" s="1073"/>
      <c r="U175" s="1073"/>
      <c r="V175" s="1073"/>
      <c r="W175" s="1073"/>
      <c r="X175" s="1073"/>
      <c r="Y175" s="1073"/>
      <c r="Z175" s="1073"/>
    </row>
    <row r="176" spans="1:26" ht="12.75" customHeight="1">
      <c r="A176" s="1073"/>
      <c r="B176" s="1073"/>
      <c r="C176" s="1073"/>
      <c r="D176" s="1073"/>
      <c r="E176" s="1073"/>
      <c r="F176" s="1073"/>
      <c r="G176" s="1073"/>
      <c r="H176" s="1073"/>
      <c r="I176" s="1073"/>
      <c r="J176" s="1073"/>
      <c r="K176" s="1073"/>
      <c r="L176" s="1073"/>
      <c r="M176" s="1073"/>
      <c r="N176" s="1073"/>
      <c r="O176" s="1073"/>
      <c r="P176" s="1073"/>
      <c r="Q176" s="1073"/>
      <c r="R176" s="1073"/>
      <c r="S176" s="1073"/>
      <c r="T176" s="1073"/>
      <c r="U176" s="1073"/>
      <c r="V176" s="1073"/>
      <c r="W176" s="1073"/>
      <c r="X176" s="1073"/>
      <c r="Y176" s="1073"/>
      <c r="Z176" s="1073"/>
    </row>
    <row r="177" spans="1:26" ht="12.75" customHeight="1">
      <c r="A177" s="1073"/>
      <c r="B177" s="1073"/>
      <c r="C177" s="1073"/>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row>
    <row r="178" spans="1:26" ht="12.75" customHeight="1">
      <c r="A178" s="1073"/>
      <c r="B178" s="1073"/>
      <c r="C178" s="1073"/>
      <c r="D178" s="1073"/>
      <c r="E178" s="1073"/>
      <c r="F178" s="1073"/>
      <c r="G178" s="1073"/>
      <c r="H178" s="1073"/>
      <c r="I178" s="1073"/>
      <c r="J178" s="1073"/>
      <c r="K178" s="1073"/>
      <c r="L178" s="1073"/>
      <c r="M178" s="1073"/>
      <c r="N178" s="1073"/>
      <c r="O178" s="1073"/>
      <c r="P178" s="1073"/>
      <c r="Q178" s="1073"/>
      <c r="R178" s="1073"/>
      <c r="S178" s="1073"/>
      <c r="T178" s="1073"/>
      <c r="U178" s="1073"/>
      <c r="V178" s="1073"/>
      <c r="W178" s="1073"/>
      <c r="X178" s="1073"/>
      <c r="Y178" s="1073"/>
      <c r="Z178" s="1073"/>
    </row>
    <row r="179" spans="1:26" ht="12.75" customHeight="1">
      <c r="A179" s="1073"/>
      <c r="B179" s="1073"/>
      <c r="C179" s="1073"/>
      <c r="D179" s="1073"/>
      <c r="E179" s="1073"/>
      <c r="F179" s="1073"/>
      <c r="G179" s="1073"/>
      <c r="H179" s="1073"/>
      <c r="I179" s="1073"/>
      <c r="J179" s="1073"/>
      <c r="K179" s="1073"/>
      <c r="L179" s="1073"/>
      <c r="M179" s="1073"/>
      <c r="N179" s="1073"/>
      <c r="O179" s="1073"/>
      <c r="P179" s="1073"/>
      <c r="Q179" s="1073"/>
      <c r="R179" s="1073"/>
      <c r="S179" s="1073"/>
      <c r="T179" s="1073"/>
      <c r="U179" s="1073"/>
      <c r="V179" s="1073"/>
      <c r="W179" s="1073"/>
      <c r="X179" s="1073"/>
      <c r="Y179" s="1073"/>
      <c r="Z179" s="1073"/>
    </row>
    <row r="180" spans="1:26" ht="12.75" customHeight="1">
      <c r="A180" s="1073"/>
      <c r="B180" s="1073"/>
      <c r="C180" s="1073"/>
      <c r="D180" s="1073"/>
      <c r="E180" s="1073"/>
      <c r="F180" s="1073"/>
      <c r="G180" s="1073"/>
      <c r="H180" s="1073"/>
      <c r="I180" s="1073"/>
      <c r="J180" s="1073"/>
      <c r="K180" s="1073"/>
      <c r="L180" s="1073"/>
      <c r="M180" s="1073"/>
      <c r="N180" s="1073"/>
      <c r="O180" s="1073"/>
      <c r="P180" s="1073"/>
      <c r="Q180" s="1073"/>
      <c r="R180" s="1073"/>
      <c r="S180" s="1073"/>
      <c r="T180" s="1073"/>
      <c r="U180" s="1073"/>
      <c r="V180" s="1073"/>
      <c r="W180" s="1073"/>
      <c r="X180" s="1073"/>
      <c r="Y180" s="1073"/>
      <c r="Z180" s="1073"/>
    </row>
    <row r="181" spans="1:26" ht="12.75" customHeight="1">
      <c r="A181" s="1073"/>
      <c r="B181" s="1073"/>
      <c r="C181" s="1073"/>
      <c r="D181" s="1073"/>
      <c r="E181" s="1073"/>
      <c r="F181" s="1073"/>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row>
    <row r="182" spans="1:26" ht="12.75" customHeight="1">
      <c r="A182" s="1073"/>
      <c r="B182" s="1073"/>
      <c r="C182" s="1073"/>
      <c r="D182" s="1073"/>
      <c r="E182" s="1073"/>
      <c r="F182" s="1073"/>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row>
    <row r="183" spans="1:26" ht="12.75" customHeight="1">
      <c r="A183" s="1073"/>
      <c r="B183" s="1073"/>
      <c r="C183" s="1073"/>
      <c r="D183" s="1073"/>
      <c r="E183" s="1073"/>
      <c r="F183" s="1073"/>
      <c r="G183" s="1073"/>
      <c r="H183" s="1073"/>
      <c r="I183" s="1073"/>
      <c r="J183" s="1073"/>
      <c r="K183" s="1073"/>
      <c r="L183" s="1073"/>
      <c r="M183" s="1073"/>
      <c r="N183" s="1073"/>
      <c r="O183" s="1073"/>
      <c r="P183" s="1073"/>
      <c r="Q183" s="1073"/>
      <c r="R183" s="1073"/>
      <c r="S183" s="1073"/>
      <c r="T183" s="1073"/>
      <c r="U183" s="1073"/>
      <c r="V183" s="1073"/>
      <c r="W183" s="1073"/>
      <c r="X183" s="1073"/>
      <c r="Y183" s="1073"/>
      <c r="Z183" s="1073"/>
    </row>
    <row r="184" spans="1:26" ht="12.75" customHeight="1">
      <c r="A184" s="1073"/>
      <c r="B184" s="1073"/>
      <c r="C184" s="1073"/>
      <c r="D184" s="1073"/>
      <c r="E184" s="1073"/>
      <c r="F184" s="1073"/>
      <c r="G184" s="1073"/>
      <c r="H184" s="1073"/>
      <c r="I184" s="1073"/>
      <c r="J184" s="1073"/>
      <c r="K184" s="1073"/>
      <c r="L184" s="1073"/>
      <c r="M184" s="1073"/>
      <c r="N184" s="1073"/>
      <c r="O184" s="1073"/>
      <c r="P184" s="1073"/>
      <c r="Q184" s="1073"/>
      <c r="R184" s="1073"/>
      <c r="S184" s="1073"/>
      <c r="T184" s="1073"/>
      <c r="U184" s="1073"/>
      <c r="V184" s="1073"/>
      <c r="W184" s="1073"/>
      <c r="X184" s="1073"/>
      <c r="Y184" s="1073"/>
      <c r="Z184" s="1073"/>
    </row>
    <row r="185" spans="1:26" ht="12.75" customHeight="1">
      <c r="A185" s="1073"/>
      <c r="B185" s="1073"/>
      <c r="C185" s="1073"/>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row>
    <row r="186" spans="1:26" ht="12.75" customHeight="1">
      <c r="A186" s="1073"/>
      <c r="B186" s="1073"/>
      <c r="C186" s="1073"/>
      <c r="D186" s="1073"/>
      <c r="E186" s="1073"/>
      <c r="F186" s="1073"/>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row>
    <row r="187" spans="1:26" ht="12.75" customHeight="1">
      <c r="A187" s="1073"/>
      <c r="B187" s="1073"/>
      <c r="C187" s="1073"/>
      <c r="D187" s="1073"/>
      <c r="E187" s="1073"/>
      <c r="F187" s="1073"/>
      <c r="G187" s="1073"/>
      <c r="H187" s="1073"/>
      <c r="I187" s="1073"/>
      <c r="J187" s="1073"/>
      <c r="K187" s="1073"/>
      <c r="L187" s="1073"/>
      <c r="M187" s="1073"/>
      <c r="N187" s="1073"/>
      <c r="O187" s="1073"/>
      <c r="P187" s="1073"/>
      <c r="Q187" s="1073"/>
      <c r="R187" s="1073"/>
      <c r="S187" s="1073"/>
      <c r="T187" s="1073"/>
      <c r="U187" s="1073"/>
      <c r="V187" s="1073"/>
      <c r="W187" s="1073"/>
      <c r="X187" s="1073"/>
      <c r="Y187" s="1073"/>
      <c r="Z187" s="1073"/>
    </row>
    <row r="188" spans="1:26" ht="12.75" customHeight="1">
      <c r="A188" s="1073"/>
      <c r="B188" s="1073"/>
      <c r="C188" s="1073"/>
      <c r="D188" s="1073"/>
      <c r="E188" s="1073"/>
      <c r="F188" s="1073"/>
      <c r="G188" s="1073"/>
      <c r="H188" s="1073"/>
      <c r="I188" s="1073"/>
      <c r="J188" s="1073"/>
      <c r="K188" s="1073"/>
      <c r="L188" s="1073"/>
      <c r="M188" s="1073"/>
      <c r="N188" s="1073"/>
      <c r="O188" s="1073"/>
      <c r="P188" s="1073"/>
      <c r="Q188" s="1073"/>
      <c r="R188" s="1073"/>
      <c r="S188" s="1073"/>
      <c r="T188" s="1073"/>
      <c r="U188" s="1073"/>
      <c r="V188" s="1073"/>
      <c r="W188" s="1073"/>
      <c r="X188" s="1073"/>
      <c r="Y188" s="1073"/>
      <c r="Z188" s="1073"/>
    </row>
    <row r="189" spans="1:26" ht="12.75" customHeight="1">
      <c r="A189" s="1073"/>
      <c r="B189" s="1073"/>
      <c r="C189" s="1073"/>
      <c r="D189" s="1073"/>
      <c r="E189" s="1073"/>
      <c r="F189" s="1073"/>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row>
    <row r="190" spans="1:26" ht="12.75" customHeight="1">
      <c r="A190" s="1073"/>
      <c r="B190" s="1073"/>
      <c r="C190" s="1073"/>
      <c r="D190" s="1073"/>
      <c r="E190" s="1073"/>
      <c r="F190" s="1073"/>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row>
    <row r="191" spans="1:26" ht="12.75" customHeight="1">
      <c r="A191" s="1073"/>
      <c r="B191" s="1073"/>
      <c r="C191" s="1073"/>
      <c r="D191" s="1073"/>
      <c r="E191" s="1073"/>
      <c r="F191" s="1073"/>
      <c r="G191" s="1073"/>
      <c r="H191" s="1073"/>
      <c r="I191" s="1073"/>
      <c r="J191" s="1073"/>
      <c r="K191" s="1073"/>
      <c r="L191" s="1073"/>
      <c r="M191" s="1073"/>
      <c r="N191" s="1073"/>
      <c r="O191" s="1073"/>
      <c r="P191" s="1073"/>
      <c r="Q191" s="1073"/>
      <c r="R191" s="1073"/>
      <c r="S191" s="1073"/>
      <c r="T191" s="1073"/>
      <c r="U191" s="1073"/>
      <c r="V191" s="1073"/>
      <c r="W191" s="1073"/>
      <c r="X191" s="1073"/>
      <c r="Y191" s="1073"/>
      <c r="Z191" s="1073"/>
    </row>
    <row r="192" spans="1:26" ht="12.75" customHeight="1">
      <c r="A192" s="1073"/>
      <c r="B192" s="1073"/>
      <c r="C192" s="1073"/>
      <c r="D192" s="1073"/>
      <c r="E192" s="1073"/>
      <c r="F192" s="1073"/>
      <c r="G192" s="1073"/>
      <c r="H192" s="1073"/>
      <c r="I192" s="1073"/>
      <c r="J192" s="1073"/>
      <c r="K192" s="1073"/>
      <c r="L192" s="1073"/>
      <c r="M192" s="1073"/>
      <c r="N192" s="1073"/>
      <c r="O192" s="1073"/>
      <c r="P192" s="1073"/>
      <c r="Q192" s="1073"/>
      <c r="R192" s="1073"/>
      <c r="S192" s="1073"/>
      <c r="T192" s="1073"/>
      <c r="U192" s="1073"/>
      <c r="V192" s="1073"/>
      <c r="W192" s="1073"/>
      <c r="X192" s="1073"/>
      <c r="Y192" s="1073"/>
      <c r="Z192" s="1073"/>
    </row>
    <row r="193" spans="1:26" ht="12.75" customHeight="1">
      <c r="A193" s="1073"/>
      <c r="B193" s="1073"/>
      <c r="C193" s="1073"/>
      <c r="D193" s="1073"/>
      <c r="E193" s="1073"/>
      <c r="F193" s="1073"/>
      <c r="G193" s="1073"/>
      <c r="H193" s="1073"/>
      <c r="I193" s="1073"/>
      <c r="J193" s="1073"/>
      <c r="K193" s="1073"/>
      <c r="L193" s="1073"/>
      <c r="M193" s="1073"/>
      <c r="N193" s="1073"/>
      <c r="O193" s="1073"/>
      <c r="P193" s="1073"/>
      <c r="Q193" s="1073"/>
      <c r="R193" s="1073"/>
      <c r="S193" s="1073"/>
      <c r="T193" s="1073"/>
      <c r="U193" s="1073"/>
      <c r="V193" s="1073"/>
      <c r="W193" s="1073"/>
      <c r="X193" s="1073"/>
      <c r="Y193" s="1073"/>
      <c r="Z193" s="1073"/>
    </row>
    <row r="194" spans="1:26" ht="12.75" customHeight="1">
      <c r="A194" s="1073"/>
      <c r="B194" s="1073"/>
      <c r="C194" s="1073"/>
      <c r="D194" s="1073"/>
      <c r="E194" s="1073"/>
      <c r="F194" s="1073"/>
      <c r="G194" s="1073"/>
      <c r="H194" s="1073"/>
      <c r="I194" s="1073"/>
      <c r="J194" s="1073"/>
      <c r="K194" s="1073"/>
      <c r="L194" s="1073"/>
      <c r="M194" s="1073"/>
      <c r="N194" s="1073"/>
      <c r="O194" s="1073"/>
      <c r="P194" s="1073"/>
      <c r="Q194" s="1073"/>
      <c r="R194" s="1073"/>
      <c r="S194" s="1073"/>
      <c r="T194" s="1073"/>
      <c r="U194" s="1073"/>
      <c r="V194" s="1073"/>
      <c r="W194" s="1073"/>
      <c r="X194" s="1073"/>
      <c r="Y194" s="1073"/>
      <c r="Z194" s="1073"/>
    </row>
    <row r="195" spans="1:26" ht="12.75" customHeight="1">
      <c r="A195" s="1073"/>
      <c r="B195" s="1073"/>
      <c r="C195" s="1073"/>
      <c r="D195" s="1073"/>
      <c r="E195" s="1073"/>
      <c r="F195" s="1073"/>
      <c r="G195" s="1073"/>
      <c r="H195" s="1073"/>
      <c r="I195" s="1073"/>
      <c r="J195" s="1073"/>
      <c r="K195" s="1073"/>
      <c r="L195" s="1073"/>
      <c r="M195" s="1073"/>
      <c r="N195" s="1073"/>
      <c r="O195" s="1073"/>
      <c r="P195" s="1073"/>
      <c r="Q195" s="1073"/>
      <c r="R195" s="1073"/>
      <c r="S195" s="1073"/>
      <c r="T195" s="1073"/>
      <c r="U195" s="1073"/>
      <c r="V195" s="1073"/>
      <c r="W195" s="1073"/>
      <c r="X195" s="1073"/>
      <c r="Y195" s="1073"/>
      <c r="Z195" s="1073"/>
    </row>
    <row r="196" spans="1:26" ht="12.75" customHeight="1">
      <c r="A196" s="1073"/>
      <c r="B196" s="1073"/>
      <c r="C196" s="1073"/>
      <c r="D196" s="1073"/>
      <c r="E196" s="1073"/>
      <c r="F196" s="1073"/>
      <c r="G196" s="1073"/>
      <c r="H196" s="1073"/>
      <c r="I196" s="1073"/>
      <c r="J196" s="1073"/>
      <c r="K196" s="1073"/>
      <c r="L196" s="1073"/>
      <c r="M196" s="1073"/>
      <c r="N196" s="1073"/>
      <c r="O196" s="1073"/>
      <c r="P196" s="1073"/>
      <c r="Q196" s="1073"/>
      <c r="R196" s="1073"/>
      <c r="S196" s="1073"/>
      <c r="T196" s="1073"/>
      <c r="U196" s="1073"/>
      <c r="V196" s="1073"/>
      <c r="W196" s="1073"/>
      <c r="X196" s="1073"/>
      <c r="Y196" s="1073"/>
      <c r="Z196" s="1073"/>
    </row>
    <row r="197" spans="1:26" ht="12.75" customHeight="1">
      <c r="A197" s="1073"/>
      <c r="B197" s="1073"/>
      <c r="C197" s="1073"/>
      <c r="D197" s="1073"/>
      <c r="E197" s="1073"/>
      <c r="F197" s="1073"/>
      <c r="G197" s="1073"/>
      <c r="H197" s="1073"/>
      <c r="I197" s="1073"/>
      <c r="J197" s="1073"/>
      <c r="K197" s="1073"/>
      <c r="L197" s="1073"/>
      <c r="M197" s="1073"/>
      <c r="N197" s="1073"/>
      <c r="O197" s="1073"/>
      <c r="P197" s="1073"/>
      <c r="Q197" s="1073"/>
      <c r="R197" s="1073"/>
      <c r="S197" s="1073"/>
      <c r="T197" s="1073"/>
      <c r="U197" s="1073"/>
      <c r="V197" s="1073"/>
      <c r="W197" s="1073"/>
      <c r="X197" s="1073"/>
      <c r="Y197" s="1073"/>
      <c r="Z197" s="1073"/>
    </row>
    <row r="198" spans="1:26" ht="12.75" customHeight="1">
      <c r="A198" s="1073"/>
      <c r="B198" s="1073"/>
      <c r="C198" s="1073"/>
      <c r="D198" s="1073"/>
      <c r="E198" s="1073"/>
      <c r="F198" s="1073"/>
      <c r="G198" s="1073"/>
      <c r="H198" s="1073"/>
      <c r="I198" s="1073"/>
      <c r="J198" s="1073"/>
      <c r="K198" s="1073"/>
      <c r="L198" s="1073"/>
      <c r="M198" s="1073"/>
      <c r="N198" s="1073"/>
      <c r="O198" s="1073"/>
      <c r="P198" s="1073"/>
      <c r="Q198" s="1073"/>
      <c r="R198" s="1073"/>
      <c r="S198" s="1073"/>
      <c r="T198" s="1073"/>
      <c r="U198" s="1073"/>
      <c r="V198" s="1073"/>
      <c r="W198" s="1073"/>
      <c r="X198" s="1073"/>
      <c r="Y198" s="1073"/>
      <c r="Z198" s="1073"/>
    </row>
    <row r="199" spans="1:26" ht="12.75" customHeight="1">
      <c r="A199" s="1073"/>
      <c r="B199" s="1073"/>
      <c r="C199" s="1073"/>
      <c r="D199" s="1073"/>
      <c r="E199" s="1073"/>
      <c r="F199" s="1073"/>
      <c r="G199" s="1073"/>
      <c r="H199" s="1073"/>
      <c r="I199" s="1073"/>
      <c r="J199" s="1073"/>
      <c r="K199" s="1073"/>
      <c r="L199" s="1073"/>
      <c r="M199" s="1073"/>
      <c r="N199" s="1073"/>
      <c r="O199" s="1073"/>
      <c r="P199" s="1073"/>
      <c r="Q199" s="1073"/>
      <c r="R199" s="1073"/>
      <c r="S199" s="1073"/>
      <c r="T199" s="1073"/>
      <c r="U199" s="1073"/>
      <c r="V199" s="1073"/>
      <c r="W199" s="1073"/>
      <c r="X199" s="1073"/>
      <c r="Y199" s="1073"/>
      <c r="Z199" s="1073"/>
    </row>
    <row r="200" spans="1:26" ht="12.75" customHeight="1">
      <c r="A200" s="1073"/>
      <c r="B200" s="1073"/>
      <c r="C200" s="1073"/>
      <c r="D200" s="1073"/>
      <c r="E200" s="1073"/>
      <c r="F200" s="1073"/>
      <c r="G200" s="1073"/>
      <c r="H200" s="1073"/>
      <c r="I200" s="1073"/>
      <c r="J200" s="1073"/>
      <c r="K200" s="1073"/>
      <c r="L200" s="1073"/>
      <c r="M200" s="1073"/>
      <c r="N200" s="1073"/>
      <c r="O200" s="1073"/>
      <c r="P200" s="1073"/>
      <c r="Q200" s="1073"/>
      <c r="R200" s="1073"/>
      <c r="S200" s="1073"/>
      <c r="T200" s="1073"/>
      <c r="U200" s="1073"/>
      <c r="V200" s="1073"/>
      <c r="W200" s="1073"/>
      <c r="X200" s="1073"/>
      <c r="Y200" s="1073"/>
      <c r="Z200" s="1073"/>
    </row>
    <row r="201" spans="1:26" ht="12.75" customHeight="1">
      <c r="A201" s="1073"/>
      <c r="B201" s="1073"/>
      <c r="C201" s="1073"/>
      <c r="D201" s="1073"/>
      <c r="E201" s="1073"/>
      <c r="F201" s="1073"/>
      <c r="G201" s="1073"/>
      <c r="H201" s="1073"/>
      <c r="I201" s="1073"/>
      <c r="J201" s="1073"/>
      <c r="K201" s="1073"/>
      <c r="L201" s="1073"/>
      <c r="M201" s="1073"/>
      <c r="N201" s="1073"/>
      <c r="O201" s="1073"/>
      <c r="P201" s="1073"/>
      <c r="Q201" s="1073"/>
      <c r="R201" s="1073"/>
      <c r="S201" s="1073"/>
      <c r="T201" s="1073"/>
      <c r="U201" s="1073"/>
      <c r="V201" s="1073"/>
      <c r="W201" s="1073"/>
      <c r="X201" s="1073"/>
      <c r="Y201" s="1073"/>
      <c r="Z201" s="1073"/>
    </row>
    <row r="202" spans="1:26" ht="12.75" customHeight="1">
      <c r="A202" s="1073"/>
      <c r="B202" s="1073"/>
      <c r="C202" s="1073"/>
      <c r="D202" s="1073"/>
      <c r="E202" s="1073"/>
      <c r="F202" s="1073"/>
      <c r="G202" s="1073"/>
      <c r="H202" s="1073"/>
      <c r="I202" s="1073"/>
      <c r="J202" s="1073"/>
      <c r="K202" s="1073"/>
      <c r="L202" s="1073"/>
      <c r="M202" s="1073"/>
      <c r="N202" s="1073"/>
      <c r="O202" s="1073"/>
      <c r="P202" s="1073"/>
      <c r="Q202" s="1073"/>
      <c r="R202" s="1073"/>
      <c r="S202" s="1073"/>
      <c r="T202" s="1073"/>
      <c r="U202" s="1073"/>
      <c r="V202" s="1073"/>
      <c r="W202" s="1073"/>
      <c r="X202" s="1073"/>
      <c r="Y202" s="1073"/>
      <c r="Z202" s="1073"/>
    </row>
    <row r="203" spans="1:26" ht="12.75" customHeight="1">
      <c r="A203" s="1073"/>
      <c r="B203" s="1073"/>
      <c r="C203" s="1073"/>
      <c r="D203" s="1073"/>
      <c r="E203" s="1073"/>
      <c r="F203" s="1073"/>
      <c r="G203" s="1073"/>
      <c r="H203" s="1073"/>
      <c r="I203" s="1073"/>
      <c r="J203" s="1073"/>
      <c r="K203" s="1073"/>
      <c r="L203" s="1073"/>
      <c r="M203" s="1073"/>
      <c r="N203" s="1073"/>
      <c r="O203" s="1073"/>
      <c r="P203" s="1073"/>
      <c r="Q203" s="1073"/>
      <c r="R203" s="1073"/>
      <c r="S203" s="1073"/>
      <c r="T203" s="1073"/>
      <c r="U203" s="1073"/>
      <c r="V203" s="1073"/>
      <c r="W203" s="1073"/>
      <c r="X203" s="1073"/>
      <c r="Y203" s="1073"/>
      <c r="Z203" s="1073"/>
    </row>
    <row r="204" spans="1:26" ht="12.75" customHeight="1">
      <c r="A204" s="1073"/>
      <c r="B204" s="1073"/>
      <c r="C204" s="1073"/>
      <c r="D204" s="1073"/>
      <c r="E204" s="1073"/>
      <c r="F204" s="1073"/>
      <c r="G204" s="1073"/>
      <c r="H204" s="1073"/>
      <c r="I204" s="1073"/>
      <c r="J204" s="1073"/>
      <c r="K204" s="1073"/>
      <c r="L204" s="1073"/>
      <c r="M204" s="1073"/>
      <c r="N204" s="1073"/>
      <c r="O204" s="1073"/>
      <c r="P204" s="1073"/>
      <c r="Q204" s="1073"/>
      <c r="R204" s="1073"/>
      <c r="S204" s="1073"/>
      <c r="T204" s="1073"/>
      <c r="U204" s="1073"/>
      <c r="V204" s="1073"/>
      <c r="W204" s="1073"/>
      <c r="X204" s="1073"/>
      <c r="Y204" s="1073"/>
      <c r="Z204" s="1073"/>
    </row>
    <row r="205" spans="1:26" ht="12.75" customHeight="1">
      <c r="A205" s="1073"/>
      <c r="B205" s="1073"/>
      <c r="C205" s="1073"/>
      <c r="D205" s="1073"/>
      <c r="E205" s="1073"/>
      <c r="F205" s="1073"/>
      <c r="G205" s="1073"/>
      <c r="H205" s="1073"/>
      <c r="I205" s="1073"/>
      <c r="J205" s="1073"/>
      <c r="K205" s="1073"/>
      <c r="L205" s="1073"/>
      <c r="M205" s="1073"/>
      <c r="N205" s="1073"/>
      <c r="O205" s="1073"/>
      <c r="P205" s="1073"/>
      <c r="Q205" s="1073"/>
      <c r="R205" s="1073"/>
      <c r="S205" s="1073"/>
      <c r="T205" s="1073"/>
      <c r="U205" s="1073"/>
      <c r="V205" s="1073"/>
      <c r="W205" s="1073"/>
      <c r="X205" s="1073"/>
      <c r="Y205" s="1073"/>
      <c r="Z205" s="1073"/>
    </row>
    <row r="206" spans="1:26" ht="12.75" customHeight="1">
      <c r="A206" s="1073"/>
      <c r="B206" s="1073"/>
      <c r="C206" s="1073"/>
      <c r="D206" s="1073"/>
      <c r="E206" s="1073"/>
      <c r="F206" s="1073"/>
      <c r="G206" s="1073"/>
      <c r="H206" s="1073"/>
      <c r="I206" s="1073"/>
      <c r="J206" s="1073"/>
      <c r="K206" s="1073"/>
      <c r="L206" s="1073"/>
      <c r="M206" s="1073"/>
      <c r="N206" s="1073"/>
      <c r="O206" s="1073"/>
      <c r="P206" s="1073"/>
      <c r="Q206" s="1073"/>
      <c r="R206" s="1073"/>
      <c r="S206" s="1073"/>
      <c r="T206" s="1073"/>
      <c r="U206" s="1073"/>
      <c r="V206" s="1073"/>
      <c r="W206" s="1073"/>
      <c r="X206" s="1073"/>
      <c r="Y206" s="1073"/>
      <c r="Z206" s="1073"/>
    </row>
    <row r="207" spans="1:26" ht="12.75" customHeight="1">
      <c r="A207" s="1073"/>
      <c r="B207" s="1073"/>
      <c r="C207" s="1073"/>
      <c r="D207" s="1073"/>
      <c r="E207" s="1073"/>
      <c r="F207" s="1073"/>
      <c r="G207" s="1073"/>
      <c r="H207" s="1073"/>
      <c r="I207" s="1073"/>
      <c r="J207" s="1073"/>
      <c r="K207" s="1073"/>
      <c r="L207" s="1073"/>
      <c r="M207" s="1073"/>
      <c r="N207" s="1073"/>
      <c r="O207" s="1073"/>
      <c r="P207" s="1073"/>
      <c r="Q207" s="1073"/>
      <c r="R207" s="1073"/>
      <c r="S207" s="1073"/>
      <c r="T207" s="1073"/>
      <c r="U207" s="1073"/>
      <c r="V207" s="1073"/>
      <c r="W207" s="1073"/>
      <c r="X207" s="1073"/>
      <c r="Y207" s="1073"/>
      <c r="Z207" s="1073"/>
    </row>
    <row r="208" spans="1:26" ht="12.75" customHeight="1">
      <c r="A208" s="1073"/>
      <c r="B208" s="1073"/>
      <c r="C208" s="1073"/>
      <c r="D208" s="1073"/>
      <c r="E208" s="1073"/>
      <c r="F208" s="1073"/>
      <c r="G208" s="1073"/>
      <c r="H208" s="1073"/>
      <c r="I208" s="1073"/>
      <c r="J208" s="1073"/>
      <c r="K208" s="1073"/>
      <c r="L208" s="1073"/>
      <c r="M208" s="1073"/>
      <c r="N208" s="1073"/>
      <c r="O208" s="1073"/>
      <c r="P208" s="1073"/>
      <c r="Q208" s="1073"/>
      <c r="R208" s="1073"/>
      <c r="S208" s="1073"/>
      <c r="T208" s="1073"/>
      <c r="U208" s="1073"/>
      <c r="V208" s="1073"/>
      <c r="W208" s="1073"/>
      <c r="X208" s="1073"/>
      <c r="Y208" s="1073"/>
      <c r="Z208" s="1073"/>
    </row>
    <row r="209" spans="1:26" ht="12.75" customHeight="1">
      <c r="A209" s="1073"/>
      <c r="B209" s="1073"/>
      <c r="C209" s="1073"/>
      <c r="D209" s="1073"/>
      <c r="E209" s="1073"/>
      <c r="F209" s="1073"/>
      <c r="G209" s="1073"/>
      <c r="H209" s="1073"/>
      <c r="I209" s="1073"/>
      <c r="J209" s="1073"/>
      <c r="K209" s="1073"/>
      <c r="L209" s="1073"/>
      <c r="M209" s="1073"/>
      <c r="N209" s="1073"/>
      <c r="O209" s="1073"/>
      <c r="P209" s="1073"/>
      <c r="Q209" s="1073"/>
      <c r="R209" s="1073"/>
      <c r="S209" s="1073"/>
      <c r="T209" s="1073"/>
      <c r="U209" s="1073"/>
      <c r="V209" s="1073"/>
      <c r="W209" s="1073"/>
      <c r="X209" s="1073"/>
      <c r="Y209" s="1073"/>
      <c r="Z209" s="1073"/>
    </row>
    <row r="210" spans="1:26" ht="12.75" customHeight="1">
      <c r="A210" s="1073"/>
      <c r="B210" s="1073"/>
      <c r="C210" s="1073"/>
      <c r="D210" s="1073"/>
      <c r="E210" s="1073"/>
      <c r="F210" s="1073"/>
      <c r="G210" s="1073"/>
      <c r="H210" s="1073"/>
      <c r="I210" s="1073"/>
      <c r="J210" s="1073"/>
      <c r="K210" s="1073"/>
      <c r="L210" s="1073"/>
      <c r="M210" s="1073"/>
      <c r="N210" s="1073"/>
      <c r="O210" s="1073"/>
      <c r="P210" s="1073"/>
      <c r="Q210" s="1073"/>
      <c r="R210" s="1073"/>
      <c r="S210" s="1073"/>
      <c r="T210" s="1073"/>
      <c r="U210" s="1073"/>
      <c r="V210" s="1073"/>
      <c r="W210" s="1073"/>
      <c r="X210" s="1073"/>
      <c r="Y210" s="1073"/>
      <c r="Z210" s="1073"/>
    </row>
    <row r="211" spans="1:26" ht="12.75" customHeight="1">
      <c r="A211" s="1073"/>
      <c r="B211" s="1073"/>
      <c r="C211" s="1073"/>
      <c r="D211" s="1073"/>
      <c r="E211" s="1073"/>
      <c r="F211" s="1073"/>
      <c r="G211" s="1073"/>
      <c r="H211" s="1073"/>
      <c r="I211" s="1073"/>
      <c r="J211" s="1073"/>
      <c r="K211" s="1073"/>
      <c r="L211" s="1073"/>
      <c r="M211" s="1073"/>
      <c r="N211" s="1073"/>
      <c r="O211" s="1073"/>
      <c r="P211" s="1073"/>
      <c r="Q211" s="1073"/>
      <c r="R211" s="1073"/>
      <c r="S211" s="1073"/>
      <c r="T211" s="1073"/>
      <c r="U211" s="1073"/>
      <c r="V211" s="1073"/>
      <c r="W211" s="1073"/>
      <c r="X211" s="1073"/>
      <c r="Y211" s="1073"/>
      <c r="Z211" s="1073"/>
    </row>
    <row r="212" spans="1:26" ht="12.75" customHeight="1">
      <c r="A212" s="1073"/>
      <c r="B212" s="1073"/>
      <c r="C212" s="1073"/>
      <c r="D212" s="1073"/>
      <c r="E212" s="1073"/>
      <c r="F212" s="1073"/>
      <c r="G212" s="1073"/>
      <c r="H212" s="1073"/>
      <c r="I212" s="1073"/>
      <c r="J212" s="1073"/>
      <c r="K212" s="1073"/>
      <c r="L212" s="1073"/>
      <c r="M212" s="1073"/>
      <c r="N212" s="1073"/>
      <c r="O212" s="1073"/>
      <c r="P212" s="1073"/>
      <c r="Q212" s="1073"/>
      <c r="R212" s="1073"/>
      <c r="S212" s="1073"/>
      <c r="T212" s="1073"/>
      <c r="U212" s="1073"/>
      <c r="V212" s="1073"/>
      <c r="W212" s="1073"/>
      <c r="X212" s="1073"/>
      <c r="Y212" s="1073"/>
      <c r="Z212" s="1073"/>
    </row>
    <row r="213" spans="1:26" ht="12.75" customHeight="1">
      <c r="A213" s="1073"/>
      <c r="B213" s="1073"/>
      <c r="C213" s="1073"/>
      <c r="D213" s="1073"/>
      <c r="E213" s="1073"/>
      <c r="F213" s="1073"/>
      <c r="G213" s="1073"/>
      <c r="H213" s="1073"/>
      <c r="I213" s="1073"/>
      <c r="J213" s="1073"/>
      <c r="K213" s="1073"/>
      <c r="L213" s="1073"/>
      <c r="M213" s="1073"/>
      <c r="N213" s="1073"/>
      <c r="O213" s="1073"/>
      <c r="P213" s="1073"/>
      <c r="Q213" s="1073"/>
      <c r="R213" s="1073"/>
      <c r="S213" s="1073"/>
      <c r="T213" s="1073"/>
      <c r="U213" s="1073"/>
      <c r="V213" s="1073"/>
      <c r="W213" s="1073"/>
      <c r="X213" s="1073"/>
      <c r="Y213" s="1073"/>
      <c r="Z213" s="1073"/>
    </row>
    <row r="214" spans="1:26" ht="12.75" customHeight="1">
      <c r="A214" s="1073"/>
      <c r="B214" s="1073"/>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3"/>
      <c r="Z214" s="1073"/>
    </row>
    <row r="215" spans="1:26" ht="12.75" customHeight="1">
      <c r="A215" s="1073"/>
      <c r="B215" s="1073"/>
      <c r="C215" s="1073"/>
      <c r="D215" s="1073"/>
      <c r="E215" s="1073"/>
      <c r="F215" s="1073"/>
      <c r="G215" s="1073"/>
      <c r="H215" s="1073"/>
      <c r="I215" s="1073"/>
      <c r="J215" s="1073"/>
      <c r="K215" s="1073"/>
      <c r="L215" s="1073"/>
      <c r="M215" s="1073"/>
      <c r="N215" s="1073"/>
      <c r="O215" s="1073"/>
      <c r="P215" s="1073"/>
      <c r="Q215" s="1073"/>
      <c r="R215" s="1073"/>
      <c r="S215" s="1073"/>
      <c r="T215" s="1073"/>
      <c r="U215" s="1073"/>
      <c r="V215" s="1073"/>
      <c r="W215" s="1073"/>
      <c r="X215" s="1073"/>
      <c r="Y215" s="1073"/>
      <c r="Z215" s="1073"/>
    </row>
    <row r="216" spans="1:26" ht="12.75" customHeight="1">
      <c r="A216" s="1073"/>
      <c r="B216" s="1073"/>
      <c r="C216" s="1073"/>
      <c r="D216" s="1073"/>
      <c r="E216" s="1073"/>
      <c r="F216" s="1073"/>
      <c r="G216" s="1073"/>
      <c r="H216" s="1073"/>
      <c r="I216" s="1073"/>
      <c r="J216" s="1073"/>
      <c r="K216" s="1073"/>
      <c r="L216" s="1073"/>
      <c r="M216" s="1073"/>
      <c r="N216" s="1073"/>
      <c r="O216" s="1073"/>
      <c r="P216" s="1073"/>
      <c r="Q216" s="1073"/>
      <c r="R216" s="1073"/>
      <c r="S216" s="1073"/>
      <c r="T216" s="1073"/>
      <c r="U216" s="1073"/>
      <c r="V216" s="1073"/>
      <c r="W216" s="1073"/>
      <c r="X216" s="1073"/>
      <c r="Y216" s="1073"/>
      <c r="Z216" s="1073"/>
    </row>
    <row r="217" spans="1:26" ht="12.75" customHeight="1">
      <c r="A217" s="1073"/>
      <c r="B217" s="1073"/>
      <c r="C217" s="1073"/>
      <c r="D217" s="1073"/>
      <c r="E217" s="1073"/>
      <c r="F217" s="1073"/>
      <c r="G217" s="1073"/>
      <c r="H217" s="1073"/>
      <c r="I217" s="1073"/>
      <c r="J217" s="1073"/>
      <c r="K217" s="1073"/>
      <c r="L217" s="1073"/>
      <c r="M217" s="1073"/>
      <c r="N217" s="1073"/>
      <c r="O217" s="1073"/>
      <c r="P217" s="1073"/>
      <c r="Q217" s="1073"/>
      <c r="R217" s="1073"/>
      <c r="S217" s="1073"/>
      <c r="T217" s="1073"/>
      <c r="U217" s="1073"/>
      <c r="V217" s="1073"/>
      <c r="W217" s="1073"/>
      <c r="X217" s="1073"/>
      <c r="Y217" s="1073"/>
      <c r="Z217" s="1073"/>
    </row>
    <row r="218" spans="1:26" ht="12.75" customHeight="1">
      <c r="A218" s="1073"/>
      <c r="B218" s="1073"/>
      <c r="C218" s="1073"/>
      <c r="D218" s="1073"/>
      <c r="E218" s="1073"/>
      <c r="F218" s="1073"/>
      <c r="G218" s="1073"/>
      <c r="H218" s="1073"/>
      <c r="I218" s="1073"/>
      <c r="J218" s="1073"/>
      <c r="K218" s="1073"/>
      <c r="L218" s="1073"/>
      <c r="M218" s="1073"/>
      <c r="N218" s="1073"/>
      <c r="O218" s="1073"/>
      <c r="P218" s="1073"/>
      <c r="Q218" s="1073"/>
      <c r="R218" s="1073"/>
      <c r="S218" s="1073"/>
      <c r="T218" s="1073"/>
      <c r="U218" s="1073"/>
      <c r="V218" s="1073"/>
      <c r="W218" s="1073"/>
      <c r="X218" s="1073"/>
      <c r="Y218" s="1073"/>
      <c r="Z218" s="1073"/>
    </row>
    <row r="219" spans="1:26" ht="12.75" customHeight="1">
      <c r="A219" s="1073"/>
      <c r="B219" s="1073"/>
      <c r="C219" s="1073"/>
      <c r="D219" s="1073"/>
      <c r="E219" s="1073"/>
      <c r="F219" s="1073"/>
      <c r="G219" s="1073"/>
      <c r="H219" s="1073"/>
      <c r="I219" s="1073"/>
      <c r="J219" s="1073"/>
      <c r="K219" s="1073"/>
      <c r="L219" s="1073"/>
      <c r="M219" s="1073"/>
      <c r="N219" s="1073"/>
      <c r="O219" s="1073"/>
      <c r="P219" s="1073"/>
      <c r="Q219" s="1073"/>
      <c r="R219" s="1073"/>
      <c r="S219" s="1073"/>
      <c r="T219" s="1073"/>
      <c r="U219" s="1073"/>
      <c r="V219" s="1073"/>
      <c r="W219" s="1073"/>
      <c r="X219" s="1073"/>
      <c r="Y219" s="1073"/>
      <c r="Z219" s="1073"/>
    </row>
    <row r="220" spans="1:26" ht="12.75" customHeight="1">
      <c r="A220" s="1073"/>
      <c r="B220" s="1073"/>
      <c r="C220" s="1073"/>
      <c r="D220" s="1073"/>
      <c r="E220" s="1073"/>
      <c r="F220" s="1073"/>
      <c r="G220" s="1073"/>
      <c r="H220" s="1073"/>
      <c r="I220" s="1073"/>
      <c r="J220" s="1073"/>
      <c r="K220" s="1073"/>
      <c r="L220" s="1073"/>
      <c r="M220" s="1073"/>
      <c r="N220" s="1073"/>
      <c r="O220" s="1073"/>
      <c r="P220" s="1073"/>
      <c r="Q220" s="1073"/>
      <c r="R220" s="1073"/>
      <c r="S220" s="1073"/>
      <c r="T220" s="1073"/>
      <c r="U220" s="1073"/>
      <c r="V220" s="1073"/>
      <c r="W220" s="1073"/>
      <c r="X220" s="1073"/>
      <c r="Y220" s="1073"/>
      <c r="Z220" s="1073"/>
    </row>
    <row r="221" spans="1:26" ht="12.75" customHeight="1">
      <c r="A221" s="1073"/>
      <c r="B221" s="1073"/>
      <c r="C221" s="1073"/>
      <c r="D221" s="1073"/>
      <c r="E221" s="1073"/>
      <c r="F221" s="1073"/>
      <c r="G221" s="1073"/>
      <c r="H221" s="1073"/>
      <c r="I221" s="1073"/>
      <c r="J221" s="1073"/>
      <c r="K221" s="1073"/>
      <c r="L221" s="1073"/>
      <c r="M221" s="1073"/>
      <c r="N221" s="1073"/>
      <c r="O221" s="1073"/>
      <c r="P221" s="1073"/>
      <c r="Q221" s="1073"/>
      <c r="R221" s="1073"/>
      <c r="S221" s="1073"/>
      <c r="T221" s="1073"/>
      <c r="U221" s="1073"/>
      <c r="V221" s="1073"/>
      <c r="W221" s="1073"/>
      <c r="X221" s="1073"/>
      <c r="Y221" s="1073"/>
      <c r="Z221" s="1073"/>
    </row>
    <row r="222" spans="1:26" ht="12.75" customHeight="1">
      <c r="A222" s="1073"/>
      <c r="B222" s="1073"/>
      <c r="C222" s="1073"/>
      <c r="D222" s="1073"/>
      <c r="E222" s="1073"/>
      <c r="F222" s="1073"/>
      <c r="G222" s="1073"/>
      <c r="H222" s="1073"/>
      <c r="I222" s="1073"/>
      <c r="J222" s="1073"/>
      <c r="K222" s="1073"/>
      <c r="L222" s="1073"/>
      <c r="M222" s="1073"/>
      <c r="N222" s="1073"/>
      <c r="O222" s="1073"/>
      <c r="P222" s="1073"/>
      <c r="Q222" s="1073"/>
      <c r="R222" s="1073"/>
      <c r="S222" s="1073"/>
      <c r="T222" s="1073"/>
      <c r="U222" s="1073"/>
      <c r="V222" s="1073"/>
      <c r="W222" s="1073"/>
      <c r="X222" s="1073"/>
      <c r="Y222" s="1073"/>
      <c r="Z222" s="1073"/>
    </row>
    <row r="223" spans="1:26" ht="12.75" customHeight="1">
      <c r="A223" s="1073"/>
      <c r="B223" s="1073"/>
      <c r="C223" s="1073"/>
      <c r="D223" s="1073"/>
      <c r="E223" s="1073"/>
      <c r="F223" s="1073"/>
      <c r="G223" s="1073"/>
      <c r="H223" s="1073"/>
      <c r="I223" s="1073"/>
      <c r="J223" s="1073"/>
      <c r="K223" s="1073"/>
      <c r="L223" s="1073"/>
      <c r="M223" s="1073"/>
      <c r="N223" s="1073"/>
      <c r="O223" s="1073"/>
      <c r="P223" s="1073"/>
      <c r="Q223" s="1073"/>
      <c r="R223" s="1073"/>
      <c r="S223" s="1073"/>
      <c r="T223" s="1073"/>
      <c r="U223" s="1073"/>
      <c r="V223" s="1073"/>
      <c r="W223" s="1073"/>
      <c r="X223" s="1073"/>
      <c r="Y223" s="1073"/>
      <c r="Z223" s="1073"/>
    </row>
    <row r="224" spans="1:26" ht="12.75" customHeight="1">
      <c r="A224" s="1073"/>
      <c r="B224" s="1073"/>
      <c r="C224" s="1073"/>
      <c r="D224" s="1073"/>
      <c r="E224" s="1073"/>
      <c r="F224" s="1073"/>
      <c r="G224" s="1073"/>
      <c r="H224" s="1073"/>
      <c r="I224" s="1073"/>
      <c r="J224" s="1073"/>
      <c r="K224" s="1073"/>
      <c r="L224" s="1073"/>
      <c r="M224" s="1073"/>
      <c r="N224" s="1073"/>
      <c r="O224" s="1073"/>
      <c r="P224" s="1073"/>
      <c r="Q224" s="1073"/>
      <c r="R224" s="1073"/>
      <c r="S224" s="1073"/>
      <c r="T224" s="1073"/>
      <c r="U224" s="1073"/>
      <c r="V224" s="1073"/>
      <c r="W224" s="1073"/>
      <c r="X224" s="1073"/>
      <c r="Y224" s="1073"/>
      <c r="Z224" s="1073"/>
    </row>
    <row r="225" spans="1:26" ht="12.75" customHeight="1">
      <c r="A225" s="1073"/>
      <c r="B225" s="1073"/>
      <c r="C225" s="1073"/>
      <c r="D225" s="1073"/>
      <c r="E225" s="1073"/>
      <c r="F225" s="1073"/>
      <c r="G225" s="1073"/>
      <c r="H225" s="1073"/>
      <c r="I225" s="1073"/>
      <c r="J225" s="1073"/>
      <c r="K225" s="1073"/>
      <c r="L225" s="1073"/>
      <c r="M225" s="1073"/>
      <c r="N225" s="1073"/>
      <c r="O225" s="1073"/>
      <c r="P225" s="1073"/>
      <c r="Q225" s="1073"/>
      <c r="R225" s="1073"/>
      <c r="S225" s="1073"/>
      <c r="T225" s="1073"/>
      <c r="U225" s="1073"/>
      <c r="V225" s="1073"/>
      <c r="W225" s="1073"/>
      <c r="X225" s="1073"/>
      <c r="Y225" s="1073"/>
      <c r="Z225" s="1073"/>
    </row>
    <row r="226" spans="1:26" ht="12.75" customHeight="1">
      <c r="A226" s="1073"/>
      <c r="B226" s="1073"/>
      <c r="C226" s="1073"/>
      <c r="D226" s="1073"/>
      <c r="E226" s="1073"/>
      <c r="F226" s="1073"/>
      <c r="G226" s="1073"/>
      <c r="H226" s="1073"/>
      <c r="I226" s="1073"/>
      <c r="J226" s="1073"/>
      <c r="K226" s="1073"/>
      <c r="L226" s="1073"/>
      <c r="M226" s="1073"/>
      <c r="N226" s="1073"/>
      <c r="O226" s="1073"/>
      <c r="P226" s="1073"/>
      <c r="Q226" s="1073"/>
      <c r="R226" s="1073"/>
      <c r="S226" s="1073"/>
      <c r="T226" s="1073"/>
      <c r="U226" s="1073"/>
      <c r="V226" s="1073"/>
      <c r="W226" s="1073"/>
      <c r="X226" s="1073"/>
      <c r="Y226" s="1073"/>
      <c r="Z226" s="1073"/>
    </row>
    <row r="227" spans="1:26" ht="12.75" customHeight="1">
      <c r="A227" s="1073"/>
      <c r="B227" s="1073"/>
      <c r="C227" s="1073"/>
      <c r="D227" s="1073"/>
      <c r="E227" s="1073"/>
      <c r="F227" s="1073"/>
      <c r="G227" s="1073"/>
      <c r="H227" s="1073"/>
      <c r="I227" s="1073"/>
      <c r="J227" s="1073"/>
      <c r="K227" s="1073"/>
      <c r="L227" s="1073"/>
      <c r="M227" s="1073"/>
      <c r="N227" s="1073"/>
      <c r="O227" s="1073"/>
      <c r="P227" s="1073"/>
      <c r="Q227" s="1073"/>
      <c r="R227" s="1073"/>
      <c r="S227" s="1073"/>
      <c r="T227" s="1073"/>
      <c r="U227" s="1073"/>
      <c r="V227" s="1073"/>
      <c r="W227" s="1073"/>
      <c r="X227" s="1073"/>
      <c r="Y227" s="1073"/>
      <c r="Z227" s="1073"/>
    </row>
    <row r="228" spans="1:26" ht="12.75" customHeight="1">
      <c r="A228" s="1073"/>
      <c r="B228" s="1073"/>
      <c r="C228" s="1073"/>
      <c r="D228" s="1073"/>
      <c r="E228" s="1073"/>
      <c r="F228" s="1073"/>
      <c r="G228" s="1073"/>
      <c r="H228" s="1073"/>
      <c r="I228" s="1073"/>
      <c r="J228" s="1073"/>
      <c r="K228" s="1073"/>
      <c r="L228" s="1073"/>
      <c r="M228" s="1073"/>
      <c r="N228" s="1073"/>
      <c r="O228" s="1073"/>
      <c r="P228" s="1073"/>
      <c r="Q228" s="1073"/>
      <c r="R228" s="1073"/>
      <c r="S228" s="1073"/>
      <c r="T228" s="1073"/>
      <c r="U228" s="1073"/>
      <c r="V228" s="1073"/>
      <c r="W228" s="1073"/>
      <c r="X228" s="1073"/>
      <c r="Y228" s="1073"/>
      <c r="Z228" s="1073"/>
    </row>
    <row r="229" spans="1:26" ht="12.75" customHeight="1">
      <c r="A229" s="1073"/>
      <c r="B229" s="1073"/>
      <c r="C229" s="1073"/>
      <c r="D229" s="1073"/>
      <c r="E229" s="1073"/>
      <c r="F229" s="1073"/>
      <c r="G229" s="1073"/>
      <c r="H229" s="1073"/>
      <c r="I229" s="1073"/>
      <c r="J229" s="1073"/>
      <c r="K229" s="1073"/>
      <c r="L229" s="1073"/>
      <c r="M229" s="1073"/>
      <c r="N229" s="1073"/>
      <c r="O229" s="1073"/>
      <c r="P229" s="1073"/>
      <c r="Q229" s="1073"/>
      <c r="R229" s="1073"/>
      <c r="S229" s="1073"/>
      <c r="T229" s="1073"/>
      <c r="U229" s="1073"/>
      <c r="V229" s="1073"/>
      <c r="W229" s="1073"/>
      <c r="X229" s="1073"/>
      <c r="Y229" s="1073"/>
      <c r="Z229" s="1073"/>
    </row>
    <row r="230" spans="1:26" ht="12.75" customHeight="1">
      <c r="A230" s="1073"/>
      <c r="B230" s="1073"/>
      <c r="C230" s="1073"/>
      <c r="D230" s="1073"/>
      <c r="E230" s="1073"/>
      <c r="F230" s="1073"/>
      <c r="G230" s="1073"/>
      <c r="H230" s="1073"/>
      <c r="I230" s="1073"/>
      <c r="J230" s="1073"/>
      <c r="K230" s="1073"/>
      <c r="L230" s="1073"/>
      <c r="M230" s="1073"/>
      <c r="N230" s="1073"/>
      <c r="O230" s="1073"/>
      <c r="P230" s="1073"/>
      <c r="Q230" s="1073"/>
      <c r="R230" s="1073"/>
      <c r="S230" s="1073"/>
      <c r="T230" s="1073"/>
      <c r="U230" s="1073"/>
      <c r="V230" s="1073"/>
      <c r="W230" s="1073"/>
      <c r="X230" s="1073"/>
      <c r="Y230" s="1073"/>
      <c r="Z230" s="1073"/>
    </row>
    <row r="231" spans="1:26" ht="12.75" customHeight="1">
      <c r="A231" s="1073"/>
      <c r="B231" s="1073"/>
      <c r="C231" s="1073"/>
      <c r="D231" s="1073"/>
      <c r="E231" s="1073"/>
      <c r="F231" s="1073"/>
      <c r="G231" s="1073"/>
      <c r="H231" s="1073"/>
      <c r="I231" s="1073"/>
      <c r="J231" s="1073"/>
      <c r="K231" s="1073"/>
      <c r="L231" s="1073"/>
      <c r="M231" s="1073"/>
      <c r="N231" s="1073"/>
      <c r="O231" s="1073"/>
      <c r="P231" s="1073"/>
      <c r="Q231" s="1073"/>
      <c r="R231" s="1073"/>
      <c r="S231" s="1073"/>
      <c r="T231" s="1073"/>
      <c r="U231" s="1073"/>
      <c r="V231" s="1073"/>
      <c r="W231" s="1073"/>
      <c r="X231" s="1073"/>
      <c r="Y231" s="1073"/>
      <c r="Z231" s="1073"/>
    </row>
    <row r="232" spans="1:26" ht="12.75" customHeight="1">
      <c r="A232" s="1073"/>
      <c r="B232" s="1073"/>
      <c r="C232" s="1073"/>
      <c r="D232" s="1073"/>
      <c r="E232" s="1073"/>
      <c r="F232" s="1073"/>
      <c r="G232" s="1073"/>
      <c r="H232" s="1073"/>
      <c r="I232" s="1073"/>
      <c r="J232" s="1073"/>
      <c r="K232" s="1073"/>
      <c r="L232" s="1073"/>
      <c r="M232" s="1073"/>
      <c r="N232" s="1073"/>
      <c r="O232" s="1073"/>
      <c r="P232" s="1073"/>
      <c r="Q232" s="1073"/>
      <c r="R232" s="1073"/>
      <c r="S232" s="1073"/>
      <c r="T232" s="1073"/>
      <c r="U232" s="1073"/>
      <c r="V232" s="1073"/>
      <c r="W232" s="1073"/>
      <c r="X232" s="1073"/>
      <c r="Y232" s="1073"/>
      <c r="Z232" s="1073"/>
    </row>
    <row r="233" spans="1:26" ht="12.75" customHeight="1">
      <c r="A233" s="1073"/>
      <c r="B233" s="1073"/>
      <c r="C233" s="1073"/>
      <c r="D233" s="1073"/>
      <c r="E233" s="1073"/>
      <c r="F233" s="1073"/>
      <c r="G233" s="1073"/>
      <c r="H233" s="1073"/>
      <c r="I233" s="1073"/>
      <c r="J233" s="1073"/>
      <c r="K233" s="1073"/>
      <c r="L233" s="1073"/>
      <c r="M233" s="1073"/>
      <c r="N233" s="1073"/>
      <c r="O233" s="1073"/>
      <c r="P233" s="1073"/>
      <c r="Q233" s="1073"/>
      <c r="R233" s="1073"/>
      <c r="S233" s="1073"/>
      <c r="T233" s="1073"/>
      <c r="U233" s="1073"/>
      <c r="V233" s="1073"/>
      <c r="W233" s="1073"/>
      <c r="X233" s="1073"/>
      <c r="Y233" s="1073"/>
      <c r="Z233" s="1073"/>
    </row>
    <row r="234" spans="1:26" ht="12.75" customHeight="1">
      <c r="A234" s="1073"/>
      <c r="B234" s="1073"/>
      <c r="C234" s="1073"/>
      <c r="D234" s="1073"/>
      <c r="E234" s="1073"/>
      <c r="F234" s="1073"/>
      <c r="G234" s="1073"/>
      <c r="H234" s="1073"/>
      <c r="I234" s="1073"/>
      <c r="J234" s="1073"/>
      <c r="K234" s="1073"/>
      <c r="L234" s="1073"/>
      <c r="M234" s="1073"/>
      <c r="N234" s="1073"/>
      <c r="O234" s="1073"/>
      <c r="P234" s="1073"/>
      <c r="Q234" s="1073"/>
      <c r="R234" s="1073"/>
      <c r="S234" s="1073"/>
      <c r="T234" s="1073"/>
      <c r="U234" s="1073"/>
      <c r="V234" s="1073"/>
      <c r="W234" s="1073"/>
      <c r="X234" s="1073"/>
      <c r="Y234" s="1073"/>
      <c r="Z234" s="1073"/>
    </row>
    <row r="235" spans="1:26" ht="12.75" customHeight="1">
      <c r="A235" s="1073"/>
      <c r="B235" s="1073"/>
      <c r="C235" s="1073"/>
      <c r="D235" s="1073"/>
      <c r="E235" s="1073"/>
      <c r="F235" s="1073"/>
      <c r="G235" s="1073"/>
      <c r="H235" s="1073"/>
      <c r="I235" s="1073"/>
      <c r="J235" s="1073"/>
      <c r="K235" s="1073"/>
      <c r="L235" s="1073"/>
      <c r="M235" s="1073"/>
      <c r="N235" s="1073"/>
      <c r="O235" s="1073"/>
      <c r="P235" s="1073"/>
      <c r="Q235" s="1073"/>
      <c r="R235" s="1073"/>
      <c r="S235" s="1073"/>
      <c r="T235" s="1073"/>
      <c r="U235" s="1073"/>
      <c r="V235" s="1073"/>
      <c r="W235" s="1073"/>
      <c r="X235" s="1073"/>
      <c r="Y235" s="1073"/>
      <c r="Z235" s="1073"/>
    </row>
    <row r="236" spans="1:26" ht="12.75" customHeight="1">
      <c r="A236" s="1073"/>
      <c r="B236" s="1073"/>
      <c r="C236" s="1073"/>
      <c r="D236" s="1073"/>
      <c r="E236" s="1073"/>
      <c r="F236" s="1073"/>
      <c r="G236" s="1073"/>
      <c r="H236" s="1073"/>
      <c r="I236" s="1073"/>
      <c r="J236" s="1073"/>
      <c r="K236" s="1073"/>
      <c r="L236" s="1073"/>
      <c r="M236" s="1073"/>
      <c r="N236" s="1073"/>
      <c r="O236" s="1073"/>
      <c r="P236" s="1073"/>
      <c r="Q236" s="1073"/>
      <c r="R236" s="1073"/>
      <c r="S236" s="1073"/>
      <c r="T236" s="1073"/>
      <c r="U236" s="1073"/>
      <c r="V236" s="1073"/>
      <c r="W236" s="1073"/>
      <c r="X236" s="1073"/>
      <c r="Y236" s="1073"/>
      <c r="Z236" s="1073"/>
    </row>
    <row r="237" spans="1:26" ht="12.75" customHeight="1">
      <c r="A237" s="1073"/>
      <c r="B237" s="1073"/>
      <c r="C237" s="1073"/>
      <c r="D237" s="1073"/>
      <c r="E237" s="1073"/>
      <c r="F237" s="1073"/>
      <c r="G237" s="1073"/>
      <c r="H237" s="1073"/>
      <c r="I237" s="1073"/>
      <c r="J237" s="1073"/>
      <c r="K237" s="1073"/>
      <c r="L237" s="1073"/>
      <c r="M237" s="1073"/>
      <c r="N237" s="1073"/>
      <c r="O237" s="1073"/>
      <c r="P237" s="1073"/>
      <c r="Q237" s="1073"/>
      <c r="R237" s="1073"/>
      <c r="S237" s="1073"/>
      <c r="T237" s="1073"/>
      <c r="U237" s="1073"/>
      <c r="V237" s="1073"/>
      <c r="W237" s="1073"/>
      <c r="X237" s="1073"/>
      <c r="Y237" s="1073"/>
      <c r="Z237" s="1073"/>
    </row>
    <row r="238" spans="1:26" ht="12.75" customHeight="1">
      <c r="A238" s="1073"/>
      <c r="B238" s="1073"/>
      <c r="C238" s="1073"/>
      <c r="D238" s="1073"/>
      <c r="E238" s="1073"/>
      <c r="F238" s="1073"/>
      <c r="G238" s="1073"/>
      <c r="H238" s="1073"/>
      <c r="I238" s="1073"/>
      <c r="J238" s="1073"/>
      <c r="K238" s="1073"/>
      <c r="L238" s="1073"/>
      <c r="M238" s="1073"/>
      <c r="N238" s="1073"/>
      <c r="O238" s="1073"/>
      <c r="P238" s="1073"/>
      <c r="Q238" s="1073"/>
      <c r="R238" s="1073"/>
      <c r="S238" s="1073"/>
      <c r="T238" s="1073"/>
      <c r="U238" s="1073"/>
      <c r="V238" s="1073"/>
      <c r="W238" s="1073"/>
      <c r="X238" s="1073"/>
      <c r="Y238" s="1073"/>
      <c r="Z238" s="1073"/>
    </row>
    <row r="239" spans="1:26" ht="12.75" customHeight="1">
      <c r="A239" s="1073"/>
      <c r="B239" s="1073"/>
      <c r="C239" s="1073"/>
      <c r="D239" s="1073"/>
      <c r="E239" s="1073"/>
      <c r="F239" s="1073"/>
      <c r="G239" s="1073"/>
      <c r="H239" s="1073"/>
      <c r="I239" s="1073"/>
      <c r="J239" s="1073"/>
      <c r="K239" s="1073"/>
      <c r="L239" s="1073"/>
      <c r="M239" s="1073"/>
      <c r="N239" s="1073"/>
      <c r="O239" s="1073"/>
      <c r="P239" s="1073"/>
      <c r="Q239" s="1073"/>
      <c r="R239" s="1073"/>
      <c r="S239" s="1073"/>
      <c r="T239" s="1073"/>
      <c r="U239" s="1073"/>
      <c r="V239" s="1073"/>
      <c r="W239" s="1073"/>
      <c r="X239" s="1073"/>
      <c r="Y239" s="1073"/>
      <c r="Z239" s="1073"/>
    </row>
    <row r="240" spans="1:26" ht="12.75" customHeight="1">
      <c r="A240" s="1073"/>
      <c r="B240" s="1073"/>
      <c r="C240" s="1073"/>
      <c r="D240" s="1073"/>
      <c r="E240" s="1073"/>
      <c r="F240" s="1073"/>
      <c r="G240" s="1073"/>
      <c r="H240" s="1073"/>
      <c r="I240" s="1073"/>
      <c r="J240" s="1073"/>
      <c r="K240" s="1073"/>
      <c r="L240" s="1073"/>
      <c r="M240" s="1073"/>
      <c r="N240" s="1073"/>
      <c r="O240" s="1073"/>
      <c r="P240" s="1073"/>
      <c r="Q240" s="1073"/>
      <c r="R240" s="1073"/>
      <c r="S240" s="1073"/>
      <c r="T240" s="1073"/>
      <c r="U240" s="1073"/>
      <c r="V240" s="1073"/>
      <c r="W240" s="1073"/>
      <c r="X240" s="1073"/>
      <c r="Y240" s="1073"/>
      <c r="Z240" s="1073"/>
    </row>
    <row r="241" spans="1:26" ht="12.75" customHeight="1">
      <c r="A241" s="1073"/>
      <c r="B241" s="1073"/>
      <c r="C241" s="1073"/>
      <c r="D241" s="1073"/>
      <c r="E241" s="1073"/>
      <c r="F241" s="1073"/>
      <c r="G241" s="1073"/>
      <c r="H241" s="1073"/>
      <c r="I241" s="1073"/>
      <c r="J241" s="1073"/>
      <c r="K241" s="1073"/>
      <c r="L241" s="1073"/>
      <c r="M241" s="1073"/>
      <c r="N241" s="1073"/>
      <c r="O241" s="1073"/>
      <c r="P241" s="1073"/>
      <c r="Q241" s="1073"/>
      <c r="R241" s="1073"/>
      <c r="S241" s="1073"/>
      <c r="T241" s="1073"/>
      <c r="U241" s="1073"/>
      <c r="V241" s="1073"/>
      <c r="W241" s="1073"/>
      <c r="X241" s="1073"/>
      <c r="Y241" s="1073"/>
      <c r="Z241" s="1073"/>
    </row>
    <row r="242" spans="1:26" ht="12.75" customHeight="1">
      <c r="A242" s="1073"/>
      <c r="B242" s="1073"/>
      <c r="C242" s="1073"/>
      <c r="D242" s="1073"/>
      <c r="E242" s="1073"/>
      <c r="F242" s="1073"/>
      <c r="G242" s="1073"/>
      <c r="H242" s="1073"/>
      <c r="I242" s="1073"/>
      <c r="J242" s="1073"/>
      <c r="K242" s="1073"/>
      <c r="L242" s="1073"/>
      <c r="M242" s="1073"/>
      <c r="N242" s="1073"/>
      <c r="O242" s="1073"/>
      <c r="P242" s="1073"/>
      <c r="Q242" s="1073"/>
      <c r="R242" s="1073"/>
      <c r="S242" s="1073"/>
      <c r="T242" s="1073"/>
      <c r="U242" s="1073"/>
      <c r="V242" s="1073"/>
      <c r="W242" s="1073"/>
      <c r="X242" s="1073"/>
      <c r="Y242" s="1073"/>
      <c r="Z242" s="1073"/>
    </row>
    <row r="243" spans="1:26" ht="12.75" customHeight="1">
      <c r="A243" s="1073"/>
      <c r="B243" s="1073"/>
      <c r="C243" s="1073"/>
      <c r="D243" s="1073"/>
      <c r="E243" s="1073"/>
      <c r="F243" s="1073"/>
      <c r="G243" s="1073"/>
      <c r="H243" s="1073"/>
      <c r="I243" s="1073"/>
      <c r="J243" s="1073"/>
      <c r="K243" s="1073"/>
      <c r="L243" s="1073"/>
      <c r="M243" s="1073"/>
      <c r="N243" s="1073"/>
      <c r="O243" s="1073"/>
      <c r="P243" s="1073"/>
      <c r="Q243" s="1073"/>
      <c r="R243" s="1073"/>
      <c r="S243" s="1073"/>
      <c r="T243" s="1073"/>
      <c r="U243" s="1073"/>
      <c r="V243" s="1073"/>
      <c r="W243" s="1073"/>
      <c r="X243" s="1073"/>
      <c r="Y243" s="1073"/>
      <c r="Z243" s="1073"/>
    </row>
    <row r="244" spans="1:26" ht="12.75" customHeight="1">
      <c r="A244" s="1073"/>
      <c r="B244" s="1073"/>
      <c r="C244" s="1073"/>
      <c r="D244" s="1073"/>
      <c r="E244" s="1073"/>
      <c r="F244" s="1073"/>
      <c r="G244" s="1073"/>
      <c r="H244" s="1073"/>
      <c r="I244" s="1073"/>
      <c r="J244" s="1073"/>
      <c r="K244" s="1073"/>
      <c r="L244" s="1073"/>
      <c r="M244" s="1073"/>
      <c r="N244" s="1073"/>
      <c r="O244" s="1073"/>
      <c r="P244" s="1073"/>
      <c r="Q244" s="1073"/>
      <c r="R244" s="1073"/>
      <c r="S244" s="1073"/>
      <c r="T244" s="1073"/>
      <c r="U244" s="1073"/>
      <c r="V244" s="1073"/>
      <c r="W244" s="1073"/>
      <c r="X244" s="1073"/>
      <c r="Y244" s="1073"/>
      <c r="Z244" s="1073"/>
    </row>
    <row r="245" spans="1:26" ht="12.75" customHeight="1">
      <c r="A245" s="1073"/>
      <c r="B245" s="1073"/>
      <c r="C245" s="1073"/>
      <c r="D245" s="1073"/>
      <c r="E245" s="1073"/>
      <c r="F245" s="1073"/>
      <c r="G245" s="1073"/>
      <c r="H245" s="1073"/>
      <c r="I245" s="1073"/>
      <c r="J245" s="1073"/>
      <c r="K245" s="1073"/>
      <c r="L245" s="1073"/>
      <c r="M245" s="1073"/>
      <c r="N245" s="1073"/>
      <c r="O245" s="1073"/>
      <c r="P245" s="1073"/>
      <c r="Q245" s="1073"/>
      <c r="R245" s="1073"/>
      <c r="S245" s="1073"/>
      <c r="T245" s="1073"/>
      <c r="U245" s="1073"/>
      <c r="V245" s="1073"/>
      <c r="W245" s="1073"/>
      <c r="X245" s="1073"/>
      <c r="Y245" s="1073"/>
      <c r="Z245" s="1073"/>
    </row>
    <row r="246" spans="1:26" ht="12.75" customHeight="1">
      <c r="A246" s="1073"/>
      <c r="B246" s="1073"/>
      <c r="C246" s="1073"/>
      <c r="D246" s="1073"/>
      <c r="E246" s="1073"/>
      <c r="F246" s="1073"/>
      <c r="G246" s="1073"/>
      <c r="H246" s="1073"/>
      <c r="I246" s="1073"/>
      <c r="J246" s="1073"/>
      <c r="K246" s="1073"/>
      <c r="L246" s="1073"/>
      <c r="M246" s="1073"/>
      <c r="N246" s="1073"/>
      <c r="O246" s="1073"/>
      <c r="P246" s="1073"/>
      <c r="Q246" s="1073"/>
      <c r="R246" s="1073"/>
      <c r="S246" s="1073"/>
      <c r="T246" s="1073"/>
      <c r="U246" s="1073"/>
      <c r="V246" s="1073"/>
      <c r="W246" s="1073"/>
      <c r="X246" s="1073"/>
      <c r="Y246" s="1073"/>
      <c r="Z246" s="1073"/>
    </row>
    <row r="247" spans="1:26" ht="12.75" customHeight="1">
      <c r="A247" s="1073"/>
      <c r="B247" s="1073"/>
      <c r="C247" s="1073"/>
      <c r="D247" s="1073"/>
      <c r="E247" s="1073"/>
      <c r="F247" s="1073"/>
      <c r="G247" s="1073"/>
      <c r="H247" s="1073"/>
      <c r="I247" s="1073"/>
      <c r="J247" s="1073"/>
      <c r="K247" s="1073"/>
      <c r="L247" s="1073"/>
      <c r="M247" s="1073"/>
      <c r="N247" s="1073"/>
      <c r="O247" s="1073"/>
      <c r="P247" s="1073"/>
      <c r="Q247" s="1073"/>
      <c r="R247" s="1073"/>
      <c r="S247" s="1073"/>
      <c r="T247" s="1073"/>
      <c r="U247" s="1073"/>
      <c r="V247" s="1073"/>
      <c r="W247" s="1073"/>
      <c r="X247" s="1073"/>
      <c r="Y247" s="1073"/>
      <c r="Z247" s="1073"/>
    </row>
    <row r="248" spans="1:26" ht="12.75" customHeight="1">
      <c r="A248" s="1073"/>
      <c r="B248" s="1073"/>
      <c r="C248" s="1073"/>
      <c r="D248" s="1073"/>
      <c r="E248" s="1073"/>
      <c r="F248" s="1073"/>
      <c r="G248" s="1073"/>
      <c r="H248" s="1073"/>
      <c r="I248" s="1073"/>
      <c r="J248" s="1073"/>
      <c r="K248" s="1073"/>
      <c r="L248" s="1073"/>
      <c r="M248" s="1073"/>
      <c r="N248" s="1073"/>
      <c r="O248" s="1073"/>
      <c r="P248" s="1073"/>
      <c r="Q248" s="1073"/>
      <c r="R248" s="1073"/>
      <c r="S248" s="1073"/>
      <c r="T248" s="1073"/>
      <c r="U248" s="1073"/>
      <c r="V248" s="1073"/>
      <c r="W248" s="1073"/>
      <c r="X248" s="1073"/>
      <c r="Y248" s="1073"/>
      <c r="Z248" s="1073"/>
    </row>
    <row r="249" spans="1:26" ht="12.75" customHeight="1">
      <c r="A249" s="1073"/>
      <c r="B249" s="1073"/>
      <c r="C249" s="1073"/>
      <c r="D249" s="1073"/>
      <c r="E249" s="1073"/>
      <c r="F249" s="1073"/>
      <c r="G249" s="1073"/>
      <c r="H249" s="1073"/>
      <c r="I249" s="1073"/>
      <c r="J249" s="1073"/>
      <c r="K249" s="1073"/>
      <c r="L249" s="1073"/>
      <c r="M249" s="1073"/>
      <c r="N249" s="1073"/>
      <c r="O249" s="1073"/>
      <c r="P249" s="1073"/>
      <c r="Q249" s="1073"/>
      <c r="R249" s="1073"/>
      <c r="S249" s="1073"/>
      <c r="T249" s="1073"/>
      <c r="U249" s="1073"/>
      <c r="V249" s="1073"/>
      <c r="W249" s="1073"/>
      <c r="X249" s="1073"/>
      <c r="Y249" s="1073"/>
      <c r="Z249" s="1073"/>
    </row>
    <row r="250" spans="1:26" ht="12.75" customHeight="1">
      <c r="A250" s="1073"/>
      <c r="B250" s="1073"/>
      <c r="C250" s="1073"/>
      <c r="D250" s="1073"/>
      <c r="E250" s="1073"/>
      <c r="F250" s="1073"/>
      <c r="G250" s="1073"/>
      <c r="H250" s="1073"/>
      <c r="I250" s="1073"/>
      <c r="J250" s="1073"/>
      <c r="K250" s="1073"/>
      <c r="L250" s="1073"/>
      <c r="M250" s="1073"/>
      <c r="N250" s="1073"/>
      <c r="O250" s="1073"/>
      <c r="P250" s="1073"/>
      <c r="Q250" s="1073"/>
      <c r="R250" s="1073"/>
      <c r="S250" s="1073"/>
      <c r="T250" s="1073"/>
      <c r="U250" s="1073"/>
      <c r="V250" s="1073"/>
      <c r="W250" s="1073"/>
      <c r="X250" s="1073"/>
      <c r="Y250" s="1073"/>
      <c r="Z250" s="1073"/>
    </row>
    <row r="251" spans="1:26" ht="12.75" customHeight="1">
      <c r="A251" s="1073"/>
      <c r="B251" s="1073"/>
      <c r="C251" s="1073"/>
      <c r="D251" s="1073"/>
      <c r="E251" s="1073"/>
      <c r="F251" s="1073"/>
      <c r="G251" s="1073"/>
      <c r="H251" s="1073"/>
      <c r="I251" s="1073"/>
      <c r="J251" s="1073"/>
      <c r="K251" s="1073"/>
      <c r="L251" s="1073"/>
      <c r="M251" s="1073"/>
      <c r="N251" s="1073"/>
      <c r="O251" s="1073"/>
      <c r="P251" s="1073"/>
      <c r="Q251" s="1073"/>
      <c r="R251" s="1073"/>
      <c r="S251" s="1073"/>
      <c r="T251" s="1073"/>
      <c r="U251" s="1073"/>
      <c r="V251" s="1073"/>
      <c r="W251" s="1073"/>
      <c r="X251" s="1073"/>
      <c r="Y251" s="1073"/>
      <c r="Z251" s="1073"/>
    </row>
    <row r="252" spans="1:26" ht="12.75" customHeight="1">
      <c r="A252" s="1073"/>
      <c r="B252" s="1073"/>
      <c r="C252" s="1073"/>
      <c r="D252" s="1073"/>
      <c r="E252" s="1073"/>
      <c r="F252" s="1073"/>
      <c r="G252" s="1073"/>
      <c r="H252" s="1073"/>
      <c r="I252" s="1073"/>
      <c r="J252" s="1073"/>
      <c r="K252" s="1073"/>
      <c r="L252" s="1073"/>
      <c r="M252" s="1073"/>
      <c r="N252" s="1073"/>
      <c r="O252" s="1073"/>
      <c r="P252" s="1073"/>
      <c r="Q252" s="1073"/>
      <c r="R252" s="1073"/>
      <c r="S252" s="1073"/>
      <c r="T252" s="1073"/>
      <c r="U252" s="1073"/>
      <c r="V252" s="1073"/>
      <c r="W252" s="1073"/>
      <c r="X252" s="1073"/>
      <c r="Y252" s="1073"/>
      <c r="Z252" s="1073"/>
    </row>
    <row r="253" spans="1:26" ht="12.75" customHeight="1">
      <c r="A253" s="1073"/>
      <c r="B253" s="1073"/>
      <c r="C253" s="1073"/>
      <c r="D253" s="1073"/>
      <c r="E253" s="1073"/>
      <c r="F253" s="1073"/>
      <c r="G253" s="1073"/>
      <c r="H253" s="1073"/>
      <c r="I253" s="1073"/>
      <c r="J253" s="1073"/>
      <c r="K253" s="1073"/>
      <c r="L253" s="1073"/>
      <c r="M253" s="1073"/>
      <c r="N253" s="1073"/>
      <c r="O253" s="1073"/>
      <c r="P253" s="1073"/>
      <c r="Q253" s="1073"/>
      <c r="R253" s="1073"/>
      <c r="S253" s="1073"/>
      <c r="T253" s="1073"/>
      <c r="U253" s="1073"/>
      <c r="V253" s="1073"/>
      <c r="W253" s="1073"/>
      <c r="X253" s="1073"/>
      <c r="Y253" s="1073"/>
      <c r="Z253" s="1073"/>
    </row>
    <row r="254" spans="1:26" ht="12.75" customHeight="1">
      <c r="A254" s="1073"/>
      <c r="B254" s="1073"/>
      <c r="C254" s="1073"/>
      <c r="D254" s="1073"/>
      <c r="E254" s="1073"/>
      <c r="F254" s="1073"/>
      <c r="G254" s="1073"/>
      <c r="H254" s="1073"/>
      <c r="I254" s="1073"/>
      <c r="J254" s="1073"/>
      <c r="K254" s="1073"/>
      <c r="L254" s="1073"/>
      <c r="M254" s="1073"/>
      <c r="N254" s="1073"/>
      <c r="O254" s="1073"/>
      <c r="P254" s="1073"/>
      <c r="Q254" s="1073"/>
      <c r="R254" s="1073"/>
      <c r="S254" s="1073"/>
      <c r="T254" s="1073"/>
      <c r="U254" s="1073"/>
      <c r="V254" s="1073"/>
      <c r="W254" s="1073"/>
      <c r="X254" s="1073"/>
      <c r="Y254" s="1073"/>
      <c r="Z254" s="1073"/>
    </row>
    <row r="255" spans="1:26" ht="12.75" customHeight="1">
      <c r="A255" s="1073"/>
      <c r="B255" s="1073"/>
      <c r="C255" s="1073"/>
      <c r="D255" s="1073"/>
      <c r="E255" s="1073"/>
      <c r="F255" s="1073"/>
      <c r="G255" s="1073"/>
      <c r="H255" s="1073"/>
      <c r="I255" s="1073"/>
      <c r="J255" s="1073"/>
      <c r="K255" s="1073"/>
      <c r="L255" s="1073"/>
      <c r="M255" s="1073"/>
      <c r="N255" s="1073"/>
      <c r="O255" s="1073"/>
      <c r="P255" s="1073"/>
      <c r="Q255" s="1073"/>
      <c r="R255" s="1073"/>
      <c r="S255" s="1073"/>
      <c r="T255" s="1073"/>
      <c r="U255" s="1073"/>
      <c r="V255" s="1073"/>
      <c r="W255" s="1073"/>
      <c r="X255" s="1073"/>
      <c r="Y255" s="1073"/>
      <c r="Z255" s="1073"/>
    </row>
    <row r="256" spans="1:26" ht="12.75" customHeight="1">
      <c r="A256" s="1073"/>
      <c r="B256" s="1073"/>
      <c r="C256" s="1073"/>
      <c r="D256" s="1073"/>
      <c r="E256" s="1073"/>
      <c r="F256" s="1073"/>
      <c r="G256" s="1073"/>
      <c r="H256" s="1073"/>
      <c r="I256" s="1073"/>
      <c r="J256" s="1073"/>
      <c r="K256" s="1073"/>
      <c r="L256" s="1073"/>
      <c r="M256" s="1073"/>
      <c r="N256" s="1073"/>
      <c r="O256" s="1073"/>
      <c r="P256" s="1073"/>
      <c r="Q256" s="1073"/>
      <c r="R256" s="1073"/>
      <c r="S256" s="1073"/>
      <c r="T256" s="1073"/>
      <c r="U256" s="1073"/>
      <c r="V256" s="1073"/>
      <c r="W256" s="1073"/>
      <c r="X256" s="1073"/>
      <c r="Y256" s="1073"/>
      <c r="Z256" s="1073"/>
    </row>
    <row r="257" spans="1:26" ht="12.75" customHeight="1">
      <c r="A257" s="1073"/>
      <c r="B257" s="1073"/>
      <c r="C257" s="1073"/>
      <c r="D257" s="1073"/>
      <c r="E257" s="1073"/>
      <c r="F257" s="1073"/>
      <c r="G257" s="1073"/>
      <c r="H257" s="1073"/>
      <c r="I257" s="1073"/>
      <c r="J257" s="1073"/>
      <c r="K257" s="1073"/>
      <c r="L257" s="1073"/>
      <c r="M257" s="1073"/>
      <c r="N257" s="1073"/>
      <c r="O257" s="1073"/>
      <c r="P257" s="1073"/>
      <c r="Q257" s="1073"/>
      <c r="R257" s="1073"/>
      <c r="S257" s="1073"/>
      <c r="T257" s="1073"/>
      <c r="U257" s="1073"/>
      <c r="V257" s="1073"/>
      <c r="W257" s="1073"/>
      <c r="X257" s="1073"/>
      <c r="Y257" s="1073"/>
      <c r="Z257" s="1073"/>
    </row>
    <row r="258" spans="1:26" ht="12.75" customHeight="1">
      <c r="A258" s="1073"/>
      <c r="B258" s="1073"/>
      <c r="C258" s="1073"/>
      <c r="D258" s="1073"/>
      <c r="E258" s="1073"/>
      <c r="F258" s="1073"/>
      <c r="G258" s="1073"/>
      <c r="H258" s="1073"/>
      <c r="I258" s="1073"/>
      <c r="J258" s="1073"/>
      <c r="K258" s="1073"/>
      <c r="L258" s="1073"/>
      <c r="M258" s="1073"/>
      <c r="N258" s="1073"/>
      <c r="O258" s="1073"/>
      <c r="P258" s="1073"/>
      <c r="Q258" s="1073"/>
      <c r="R258" s="1073"/>
      <c r="S258" s="1073"/>
      <c r="T258" s="1073"/>
      <c r="U258" s="1073"/>
      <c r="V258" s="1073"/>
      <c r="W258" s="1073"/>
      <c r="X258" s="1073"/>
      <c r="Y258" s="1073"/>
      <c r="Z258" s="1073"/>
    </row>
    <row r="259" spans="1:26" ht="12.75" customHeight="1">
      <c r="A259" s="1073"/>
      <c r="B259" s="1073"/>
      <c r="C259" s="1073"/>
      <c r="D259" s="1073"/>
      <c r="E259" s="1073"/>
      <c r="F259" s="1073"/>
      <c r="G259" s="1073"/>
      <c r="H259" s="1073"/>
      <c r="I259" s="1073"/>
      <c r="J259" s="1073"/>
      <c r="K259" s="1073"/>
      <c r="L259" s="1073"/>
      <c r="M259" s="1073"/>
      <c r="N259" s="1073"/>
      <c r="O259" s="1073"/>
      <c r="P259" s="1073"/>
      <c r="Q259" s="1073"/>
      <c r="R259" s="1073"/>
      <c r="S259" s="1073"/>
      <c r="T259" s="1073"/>
      <c r="U259" s="1073"/>
      <c r="V259" s="1073"/>
      <c r="W259" s="1073"/>
      <c r="X259" s="1073"/>
      <c r="Y259" s="1073"/>
      <c r="Z259" s="1073"/>
    </row>
    <row r="260" spans="1:26" ht="12.75" customHeight="1">
      <c r="A260" s="1073"/>
      <c r="B260" s="1073"/>
      <c r="C260" s="1073"/>
      <c r="D260" s="1073"/>
      <c r="E260" s="1073"/>
      <c r="F260" s="1073"/>
      <c r="G260" s="1073"/>
      <c r="H260" s="1073"/>
      <c r="I260" s="1073"/>
      <c r="J260" s="1073"/>
      <c r="K260" s="1073"/>
      <c r="L260" s="1073"/>
      <c r="M260" s="1073"/>
      <c r="N260" s="1073"/>
      <c r="O260" s="1073"/>
      <c r="P260" s="1073"/>
      <c r="Q260" s="1073"/>
      <c r="R260" s="1073"/>
      <c r="S260" s="1073"/>
      <c r="T260" s="1073"/>
      <c r="U260" s="1073"/>
      <c r="V260" s="1073"/>
      <c r="W260" s="1073"/>
      <c r="X260" s="1073"/>
      <c r="Y260" s="1073"/>
      <c r="Z260" s="1073"/>
    </row>
    <row r="261" spans="1:26" ht="12.75" customHeight="1">
      <c r="A261" s="1073"/>
      <c r="B261" s="1073"/>
      <c r="C261" s="1073"/>
      <c r="D261" s="1073"/>
      <c r="E261" s="1073"/>
      <c r="F261" s="1073"/>
      <c r="G261" s="1073"/>
      <c r="H261" s="1073"/>
      <c r="I261" s="1073"/>
      <c r="J261" s="1073"/>
      <c r="K261" s="1073"/>
      <c r="L261" s="1073"/>
      <c r="M261" s="1073"/>
      <c r="N261" s="1073"/>
      <c r="O261" s="1073"/>
      <c r="P261" s="1073"/>
      <c r="Q261" s="1073"/>
      <c r="R261" s="1073"/>
      <c r="S261" s="1073"/>
      <c r="T261" s="1073"/>
      <c r="U261" s="1073"/>
      <c r="V261" s="1073"/>
      <c r="W261" s="1073"/>
      <c r="X261" s="1073"/>
      <c r="Y261" s="1073"/>
      <c r="Z261" s="1073"/>
    </row>
    <row r="262" spans="1:26" ht="12.75" customHeight="1">
      <c r="A262" s="1073"/>
      <c r="B262" s="1073"/>
      <c r="C262" s="1073"/>
      <c r="D262" s="1073"/>
      <c r="E262" s="1073"/>
      <c r="F262" s="1073"/>
      <c r="G262" s="1073"/>
      <c r="H262" s="1073"/>
      <c r="I262" s="1073"/>
      <c r="J262" s="1073"/>
      <c r="K262" s="1073"/>
      <c r="L262" s="1073"/>
      <c r="M262" s="1073"/>
      <c r="N262" s="1073"/>
      <c r="O262" s="1073"/>
      <c r="P262" s="1073"/>
      <c r="Q262" s="1073"/>
      <c r="R262" s="1073"/>
      <c r="S262" s="1073"/>
      <c r="T262" s="1073"/>
      <c r="U262" s="1073"/>
      <c r="V262" s="1073"/>
      <c r="W262" s="1073"/>
      <c r="X262" s="1073"/>
      <c r="Y262" s="1073"/>
      <c r="Z262" s="1073"/>
    </row>
    <row r="263" spans="1:26" ht="12.75" customHeight="1">
      <c r="A263" s="1073"/>
      <c r="B263" s="1073"/>
      <c r="C263" s="1073"/>
      <c r="D263" s="1073"/>
      <c r="E263" s="1073"/>
      <c r="F263" s="1073"/>
      <c r="G263" s="1073"/>
      <c r="H263" s="1073"/>
      <c r="I263" s="1073"/>
      <c r="J263" s="1073"/>
      <c r="K263" s="1073"/>
      <c r="L263" s="1073"/>
      <c r="M263" s="1073"/>
      <c r="N263" s="1073"/>
      <c r="O263" s="1073"/>
      <c r="P263" s="1073"/>
      <c r="Q263" s="1073"/>
      <c r="R263" s="1073"/>
      <c r="S263" s="1073"/>
      <c r="T263" s="1073"/>
      <c r="U263" s="1073"/>
      <c r="V263" s="1073"/>
      <c r="W263" s="1073"/>
      <c r="X263" s="1073"/>
      <c r="Y263" s="1073"/>
      <c r="Z263" s="1073"/>
    </row>
    <row r="264" spans="1:26" ht="12.75" customHeight="1">
      <c r="A264" s="1073"/>
      <c r="B264" s="1073"/>
      <c r="C264" s="1073"/>
      <c r="D264" s="1073"/>
      <c r="E264" s="1073"/>
      <c r="F264" s="1073"/>
      <c r="G264" s="1073"/>
      <c r="H264" s="1073"/>
      <c r="I264" s="1073"/>
      <c r="J264" s="1073"/>
      <c r="K264" s="1073"/>
      <c r="L264" s="1073"/>
      <c r="M264" s="1073"/>
      <c r="N264" s="1073"/>
      <c r="O264" s="1073"/>
      <c r="P264" s="1073"/>
      <c r="Q264" s="1073"/>
      <c r="R264" s="1073"/>
      <c r="S264" s="1073"/>
      <c r="T264" s="1073"/>
      <c r="U264" s="1073"/>
      <c r="V264" s="1073"/>
      <c r="W264" s="1073"/>
      <c r="X264" s="1073"/>
      <c r="Y264" s="1073"/>
      <c r="Z264" s="1073"/>
    </row>
    <row r="265" spans="1:26" ht="12.75" customHeight="1">
      <c r="A265" s="1073"/>
      <c r="B265" s="1073"/>
      <c r="C265" s="1073"/>
      <c r="D265" s="1073"/>
      <c r="E265" s="1073"/>
      <c r="F265" s="1073"/>
      <c r="G265" s="1073"/>
      <c r="H265" s="1073"/>
      <c r="I265" s="1073"/>
      <c r="J265" s="1073"/>
      <c r="K265" s="1073"/>
      <c r="L265" s="1073"/>
      <c r="M265" s="1073"/>
      <c r="N265" s="1073"/>
      <c r="O265" s="1073"/>
      <c r="P265" s="1073"/>
      <c r="Q265" s="1073"/>
      <c r="R265" s="1073"/>
      <c r="S265" s="1073"/>
      <c r="T265" s="1073"/>
      <c r="U265" s="1073"/>
      <c r="V265" s="1073"/>
      <c r="W265" s="1073"/>
      <c r="X265" s="1073"/>
      <c r="Y265" s="1073"/>
      <c r="Z265" s="1073"/>
    </row>
    <row r="266" spans="1:26" ht="12.75" customHeight="1">
      <c r="A266" s="1073"/>
      <c r="B266" s="1073"/>
      <c r="C266" s="1073"/>
      <c r="D266" s="1073"/>
      <c r="E266" s="1073"/>
      <c r="F266" s="1073"/>
      <c r="G266" s="1073"/>
      <c r="H266" s="1073"/>
      <c r="I266" s="1073"/>
      <c r="J266" s="1073"/>
      <c r="K266" s="1073"/>
      <c r="L266" s="1073"/>
      <c r="M266" s="1073"/>
      <c r="N266" s="1073"/>
      <c r="O266" s="1073"/>
      <c r="P266" s="1073"/>
      <c r="Q266" s="1073"/>
      <c r="R266" s="1073"/>
      <c r="S266" s="1073"/>
      <c r="T266" s="1073"/>
      <c r="U266" s="1073"/>
      <c r="V266" s="1073"/>
      <c r="W266" s="1073"/>
      <c r="X266" s="1073"/>
      <c r="Y266" s="1073"/>
      <c r="Z266" s="1073"/>
    </row>
    <row r="267" spans="1:26" ht="12.75" customHeight="1">
      <c r="A267" s="1073"/>
      <c r="B267" s="1073"/>
      <c r="C267" s="1073"/>
      <c r="D267" s="1073"/>
      <c r="E267" s="1073"/>
      <c r="F267" s="1073"/>
      <c r="G267" s="1073"/>
      <c r="H267" s="1073"/>
      <c r="I267" s="1073"/>
      <c r="J267" s="1073"/>
      <c r="K267" s="1073"/>
      <c r="L267" s="1073"/>
      <c r="M267" s="1073"/>
      <c r="N267" s="1073"/>
      <c r="O267" s="1073"/>
      <c r="P267" s="1073"/>
      <c r="Q267" s="1073"/>
      <c r="R267" s="1073"/>
      <c r="S267" s="1073"/>
      <c r="T267" s="1073"/>
      <c r="U267" s="1073"/>
      <c r="V267" s="1073"/>
      <c r="W267" s="1073"/>
      <c r="X267" s="1073"/>
      <c r="Y267" s="1073"/>
      <c r="Z267" s="1073"/>
    </row>
    <row r="268" spans="1:26" ht="12.75" customHeight="1">
      <c r="A268" s="1073"/>
      <c r="B268" s="1073"/>
      <c r="C268" s="1073"/>
      <c r="D268" s="1073"/>
      <c r="E268" s="1073"/>
      <c r="F268" s="1073"/>
      <c r="G268" s="1073"/>
      <c r="H268" s="1073"/>
      <c r="I268" s="1073"/>
      <c r="J268" s="1073"/>
      <c r="K268" s="1073"/>
      <c r="L268" s="1073"/>
      <c r="M268" s="1073"/>
      <c r="N268" s="1073"/>
      <c r="O268" s="1073"/>
      <c r="P268" s="1073"/>
      <c r="Q268" s="1073"/>
      <c r="R268" s="1073"/>
      <c r="S268" s="1073"/>
      <c r="T268" s="1073"/>
      <c r="U268" s="1073"/>
      <c r="V268" s="1073"/>
      <c r="W268" s="1073"/>
      <c r="X268" s="1073"/>
      <c r="Y268" s="1073"/>
      <c r="Z268" s="1073"/>
    </row>
    <row r="269" spans="1:26" ht="12.75" customHeight="1">
      <c r="A269" s="1073"/>
      <c r="B269" s="1073"/>
      <c r="C269" s="1073"/>
      <c r="D269" s="1073"/>
      <c r="E269" s="1073"/>
      <c r="F269" s="1073"/>
      <c r="G269" s="1073"/>
      <c r="H269" s="1073"/>
      <c r="I269" s="1073"/>
      <c r="J269" s="1073"/>
      <c r="K269" s="1073"/>
      <c r="L269" s="1073"/>
      <c r="M269" s="1073"/>
      <c r="N269" s="1073"/>
      <c r="O269" s="1073"/>
      <c r="P269" s="1073"/>
      <c r="Q269" s="1073"/>
      <c r="R269" s="1073"/>
      <c r="S269" s="1073"/>
      <c r="T269" s="1073"/>
      <c r="U269" s="1073"/>
      <c r="V269" s="1073"/>
      <c r="W269" s="1073"/>
      <c r="X269" s="1073"/>
      <c r="Y269" s="1073"/>
      <c r="Z269" s="1073"/>
    </row>
    <row r="270" spans="1:26" ht="12.75" customHeight="1">
      <c r="A270" s="1073"/>
      <c r="B270" s="1073"/>
      <c r="C270" s="1073"/>
      <c r="D270" s="1073"/>
      <c r="E270" s="1073"/>
      <c r="F270" s="1073"/>
      <c r="G270" s="1073"/>
      <c r="H270" s="1073"/>
      <c r="I270" s="1073"/>
      <c r="J270" s="1073"/>
      <c r="K270" s="1073"/>
      <c r="L270" s="1073"/>
      <c r="M270" s="1073"/>
      <c r="N270" s="1073"/>
      <c r="O270" s="1073"/>
      <c r="P270" s="1073"/>
      <c r="Q270" s="1073"/>
      <c r="R270" s="1073"/>
      <c r="S270" s="1073"/>
      <c r="T270" s="1073"/>
      <c r="U270" s="1073"/>
      <c r="V270" s="1073"/>
      <c r="W270" s="1073"/>
      <c r="X270" s="1073"/>
      <c r="Y270" s="1073"/>
      <c r="Z270" s="1073"/>
    </row>
    <row r="271" spans="1:26" ht="12.75" customHeight="1">
      <c r="A271" s="1073"/>
      <c r="B271" s="1073"/>
      <c r="C271" s="1073"/>
      <c r="D271" s="1073"/>
      <c r="E271" s="1073"/>
      <c r="F271" s="1073"/>
      <c r="G271" s="1073"/>
      <c r="H271" s="1073"/>
      <c r="I271" s="1073"/>
      <c r="J271" s="1073"/>
      <c r="K271" s="1073"/>
      <c r="L271" s="1073"/>
      <c r="M271" s="1073"/>
      <c r="N271" s="1073"/>
      <c r="O271" s="1073"/>
      <c r="P271" s="1073"/>
      <c r="Q271" s="1073"/>
      <c r="R271" s="1073"/>
      <c r="S271" s="1073"/>
      <c r="T271" s="1073"/>
      <c r="U271" s="1073"/>
      <c r="V271" s="1073"/>
      <c r="W271" s="1073"/>
      <c r="X271" s="1073"/>
      <c r="Y271" s="1073"/>
      <c r="Z271" s="1073"/>
    </row>
    <row r="272" spans="1:26" ht="12.75" customHeight="1">
      <c r="A272" s="1073"/>
      <c r="B272" s="1073"/>
      <c r="C272" s="1073"/>
      <c r="D272" s="1073"/>
      <c r="E272" s="1073"/>
      <c r="F272" s="1073"/>
      <c r="G272" s="1073"/>
      <c r="H272" s="1073"/>
      <c r="I272" s="1073"/>
      <c r="J272" s="1073"/>
      <c r="K272" s="1073"/>
      <c r="L272" s="1073"/>
      <c r="M272" s="1073"/>
      <c r="N272" s="1073"/>
      <c r="O272" s="1073"/>
      <c r="P272" s="1073"/>
      <c r="Q272" s="1073"/>
      <c r="R272" s="1073"/>
      <c r="S272" s="1073"/>
      <c r="T272" s="1073"/>
      <c r="U272" s="1073"/>
      <c r="V272" s="1073"/>
      <c r="W272" s="1073"/>
      <c r="X272" s="1073"/>
      <c r="Y272" s="1073"/>
      <c r="Z272" s="1073"/>
    </row>
    <row r="273" spans="1:26" ht="12.75" customHeight="1">
      <c r="A273" s="1073"/>
      <c r="B273" s="1073"/>
      <c r="C273" s="1073"/>
      <c r="D273" s="1073"/>
      <c r="E273" s="1073"/>
      <c r="F273" s="1073"/>
      <c r="G273" s="1073"/>
      <c r="H273" s="1073"/>
      <c r="I273" s="1073"/>
      <c r="J273" s="1073"/>
      <c r="K273" s="1073"/>
      <c r="L273" s="1073"/>
      <c r="M273" s="1073"/>
      <c r="N273" s="1073"/>
      <c r="O273" s="1073"/>
      <c r="P273" s="1073"/>
      <c r="Q273" s="1073"/>
      <c r="R273" s="1073"/>
      <c r="S273" s="1073"/>
      <c r="T273" s="1073"/>
      <c r="U273" s="1073"/>
      <c r="V273" s="1073"/>
      <c r="W273" s="1073"/>
      <c r="X273" s="1073"/>
      <c r="Y273" s="1073"/>
      <c r="Z273" s="1073"/>
    </row>
    <row r="274" spans="1:26" ht="12.75" customHeight="1">
      <c r="A274" s="1073"/>
      <c r="B274" s="1073"/>
      <c r="C274" s="1073"/>
      <c r="D274" s="1073"/>
      <c r="E274" s="1073"/>
      <c r="F274" s="1073"/>
      <c r="G274" s="1073"/>
      <c r="H274" s="1073"/>
      <c r="I274" s="1073"/>
      <c r="J274" s="1073"/>
      <c r="K274" s="1073"/>
      <c r="L274" s="1073"/>
      <c r="M274" s="1073"/>
      <c r="N274" s="1073"/>
      <c r="O274" s="1073"/>
      <c r="P274" s="1073"/>
      <c r="Q274" s="1073"/>
      <c r="R274" s="1073"/>
      <c r="S274" s="1073"/>
      <c r="T274" s="1073"/>
      <c r="U274" s="1073"/>
      <c r="V274" s="1073"/>
      <c r="W274" s="1073"/>
      <c r="X274" s="1073"/>
      <c r="Y274" s="1073"/>
      <c r="Z274" s="1073"/>
    </row>
    <row r="275" spans="1:26" ht="12.75" customHeight="1">
      <c r="A275" s="1073"/>
      <c r="B275" s="1073"/>
      <c r="C275" s="1073"/>
      <c r="D275" s="1073"/>
      <c r="E275" s="1073"/>
      <c r="F275" s="1073"/>
      <c r="G275" s="1073"/>
      <c r="H275" s="1073"/>
      <c r="I275" s="1073"/>
      <c r="J275" s="1073"/>
      <c r="K275" s="1073"/>
      <c r="L275" s="1073"/>
      <c r="M275" s="1073"/>
      <c r="N275" s="1073"/>
      <c r="O275" s="1073"/>
      <c r="P275" s="1073"/>
      <c r="Q275" s="1073"/>
      <c r="R275" s="1073"/>
      <c r="S275" s="1073"/>
      <c r="T275" s="1073"/>
      <c r="U275" s="1073"/>
      <c r="V275" s="1073"/>
      <c r="W275" s="1073"/>
      <c r="X275" s="1073"/>
      <c r="Y275" s="1073"/>
      <c r="Z275" s="1073"/>
    </row>
    <row r="276" spans="1:26" ht="12.75" customHeight="1">
      <c r="A276" s="1073"/>
      <c r="B276" s="1073"/>
      <c r="C276" s="1073"/>
      <c r="D276" s="1073"/>
      <c r="E276" s="1073"/>
      <c r="F276" s="1073"/>
      <c r="G276" s="1073"/>
      <c r="H276" s="1073"/>
      <c r="I276" s="1073"/>
      <c r="J276" s="1073"/>
      <c r="K276" s="1073"/>
      <c r="L276" s="1073"/>
      <c r="M276" s="1073"/>
      <c r="N276" s="1073"/>
      <c r="O276" s="1073"/>
      <c r="P276" s="1073"/>
      <c r="Q276" s="1073"/>
      <c r="R276" s="1073"/>
      <c r="S276" s="1073"/>
      <c r="T276" s="1073"/>
      <c r="U276" s="1073"/>
      <c r="V276" s="1073"/>
      <c r="W276" s="1073"/>
      <c r="X276" s="1073"/>
      <c r="Y276" s="1073"/>
      <c r="Z276" s="1073"/>
    </row>
    <row r="277" spans="1:26" ht="12.75" customHeight="1">
      <c r="A277" s="1073"/>
      <c r="B277" s="1073"/>
      <c r="C277" s="1073"/>
      <c r="D277" s="1073"/>
      <c r="E277" s="1073"/>
      <c r="F277" s="1073"/>
      <c r="G277" s="1073"/>
      <c r="H277" s="1073"/>
      <c r="I277" s="1073"/>
      <c r="J277" s="1073"/>
      <c r="K277" s="1073"/>
      <c r="L277" s="1073"/>
      <c r="M277" s="1073"/>
      <c r="N277" s="1073"/>
      <c r="O277" s="1073"/>
      <c r="P277" s="1073"/>
      <c r="Q277" s="1073"/>
      <c r="R277" s="1073"/>
      <c r="S277" s="1073"/>
      <c r="T277" s="1073"/>
      <c r="U277" s="1073"/>
      <c r="V277" s="1073"/>
      <c r="W277" s="1073"/>
      <c r="X277" s="1073"/>
      <c r="Y277" s="1073"/>
      <c r="Z277" s="1073"/>
    </row>
    <row r="278" spans="1:26" ht="12.75" customHeight="1">
      <c r="A278" s="1073"/>
      <c r="B278" s="1073"/>
      <c r="C278" s="1073"/>
      <c r="D278" s="1073"/>
      <c r="E278" s="1073"/>
      <c r="F278" s="1073"/>
      <c r="G278" s="1073"/>
      <c r="H278" s="1073"/>
      <c r="I278" s="1073"/>
      <c r="J278" s="1073"/>
      <c r="K278" s="1073"/>
      <c r="L278" s="1073"/>
      <c r="M278" s="1073"/>
      <c r="N278" s="1073"/>
      <c r="O278" s="1073"/>
      <c r="P278" s="1073"/>
      <c r="Q278" s="1073"/>
      <c r="R278" s="1073"/>
      <c r="S278" s="1073"/>
      <c r="T278" s="1073"/>
      <c r="U278" s="1073"/>
      <c r="V278" s="1073"/>
      <c r="W278" s="1073"/>
      <c r="X278" s="1073"/>
      <c r="Y278" s="1073"/>
      <c r="Z278" s="1073"/>
    </row>
    <row r="279" spans="1:26" ht="12.75" customHeight="1">
      <c r="A279" s="1073"/>
      <c r="B279" s="1073"/>
      <c r="C279" s="1073"/>
      <c r="D279" s="1073"/>
      <c r="E279" s="1073"/>
      <c r="F279" s="1073"/>
      <c r="G279" s="1073"/>
      <c r="H279" s="1073"/>
      <c r="I279" s="1073"/>
      <c r="J279" s="1073"/>
      <c r="K279" s="1073"/>
      <c r="L279" s="1073"/>
      <c r="M279" s="1073"/>
      <c r="N279" s="1073"/>
      <c r="O279" s="1073"/>
      <c r="P279" s="1073"/>
      <c r="Q279" s="1073"/>
      <c r="R279" s="1073"/>
      <c r="S279" s="1073"/>
      <c r="T279" s="1073"/>
      <c r="U279" s="1073"/>
      <c r="V279" s="1073"/>
      <c r="W279" s="1073"/>
      <c r="X279" s="1073"/>
      <c r="Y279" s="1073"/>
      <c r="Z279" s="1073"/>
    </row>
    <row r="280" spans="1:26" ht="12.75" customHeight="1">
      <c r="A280" s="1073"/>
      <c r="B280" s="1073"/>
      <c r="C280" s="1073"/>
      <c r="D280" s="1073"/>
      <c r="E280" s="1073"/>
      <c r="F280" s="1073"/>
      <c r="G280" s="1073"/>
      <c r="H280" s="1073"/>
      <c r="I280" s="1073"/>
      <c r="J280" s="1073"/>
      <c r="K280" s="1073"/>
      <c r="L280" s="1073"/>
      <c r="M280" s="1073"/>
      <c r="N280" s="1073"/>
      <c r="O280" s="1073"/>
      <c r="P280" s="1073"/>
      <c r="Q280" s="1073"/>
      <c r="R280" s="1073"/>
      <c r="S280" s="1073"/>
      <c r="T280" s="1073"/>
      <c r="U280" s="1073"/>
      <c r="V280" s="1073"/>
      <c r="W280" s="1073"/>
      <c r="X280" s="1073"/>
      <c r="Y280" s="1073"/>
      <c r="Z280" s="1073"/>
    </row>
    <row r="281" spans="1:26" ht="12.75" customHeight="1">
      <c r="A281" s="1073"/>
      <c r="B281" s="1073"/>
      <c r="C281" s="1073"/>
      <c r="D281" s="1073"/>
      <c r="E281" s="1073"/>
      <c r="F281" s="1073"/>
      <c r="G281" s="1073"/>
      <c r="H281" s="1073"/>
      <c r="I281" s="1073"/>
      <c r="J281" s="1073"/>
      <c r="K281" s="1073"/>
      <c r="L281" s="1073"/>
      <c r="M281" s="1073"/>
      <c r="N281" s="1073"/>
      <c r="O281" s="1073"/>
      <c r="P281" s="1073"/>
      <c r="Q281" s="1073"/>
      <c r="R281" s="1073"/>
      <c r="S281" s="1073"/>
      <c r="T281" s="1073"/>
      <c r="U281" s="1073"/>
      <c r="V281" s="1073"/>
      <c r="W281" s="1073"/>
      <c r="X281" s="1073"/>
      <c r="Y281" s="1073"/>
      <c r="Z281" s="1073"/>
    </row>
    <row r="282" spans="1:26" ht="12.75" customHeight="1">
      <c r="A282" s="1073"/>
      <c r="B282" s="1073"/>
      <c r="C282" s="1073"/>
      <c r="D282" s="1073"/>
      <c r="E282" s="1073"/>
      <c r="F282" s="1073"/>
      <c r="G282" s="1073"/>
      <c r="H282" s="1073"/>
      <c r="I282" s="1073"/>
      <c r="J282" s="1073"/>
      <c r="K282" s="1073"/>
      <c r="L282" s="1073"/>
      <c r="M282" s="1073"/>
      <c r="N282" s="1073"/>
      <c r="O282" s="1073"/>
      <c r="P282" s="1073"/>
      <c r="Q282" s="1073"/>
      <c r="R282" s="1073"/>
      <c r="S282" s="1073"/>
      <c r="T282" s="1073"/>
      <c r="U282" s="1073"/>
      <c r="V282" s="1073"/>
      <c r="W282" s="1073"/>
      <c r="X282" s="1073"/>
      <c r="Y282" s="1073"/>
      <c r="Z282" s="1073"/>
    </row>
    <row r="283" spans="1:26" ht="12.75" customHeight="1">
      <c r="A283" s="1073"/>
      <c r="B283" s="1073"/>
      <c r="C283" s="1073"/>
      <c r="D283" s="1073"/>
      <c r="E283" s="1073"/>
      <c r="F283" s="1073"/>
      <c r="G283" s="1073"/>
      <c r="H283" s="1073"/>
      <c r="I283" s="1073"/>
      <c r="J283" s="1073"/>
      <c r="K283" s="1073"/>
      <c r="L283" s="1073"/>
      <c r="M283" s="1073"/>
      <c r="N283" s="1073"/>
      <c r="O283" s="1073"/>
      <c r="P283" s="1073"/>
      <c r="Q283" s="1073"/>
      <c r="R283" s="1073"/>
      <c r="S283" s="1073"/>
      <c r="T283" s="1073"/>
      <c r="U283" s="1073"/>
      <c r="V283" s="1073"/>
      <c r="W283" s="1073"/>
      <c r="X283" s="1073"/>
      <c r="Y283" s="1073"/>
      <c r="Z283" s="1073"/>
    </row>
    <row r="284" spans="1:26" ht="12.75" customHeight="1">
      <c r="A284" s="1073"/>
      <c r="B284" s="1073"/>
      <c r="C284" s="1073"/>
      <c r="D284" s="1073"/>
      <c r="E284" s="1073"/>
      <c r="F284" s="1073"/>
      <c r="G284" s="1073"/>
      <c r="H284" s="1073"/>
      <c r="I284" s="1073"/>
      <c r="J284" s="1073"/>
      <c r="K284" s="1073"/>
      <c r="L284" s="1073"/>
      <c r="M284" s="1073"/>
      <c r="N284" s="1073"/>
      <c r="O284" s="1073"/>
      <c r="P284" s="1073"/>
      <c r="Q284" s="1073"/>
      <c r="R284" s="1073"/>
      <c r="S284" s="1073"/>
      <c r="T284" s="1073"/>
      <c r="U284" s="1073"/>
      <c r="V284" s="1073"/>
      <c r="W284" s="1073"/>
      <c r="X284" s="1073"/>
      <c r="Y284" s="1073"/>
      <c r="Z284" s="1073"/>
    </row>
    <row r="285" spans="1:26" ht="12.75" customHeight="1">
      <c r="A285" s="1073"/>
      <c r="B285" s="1073"/>
      <c r="C285" s="1073"/>
      <c r="D285" s="1073"/>
      <c r="E285" s="1073"/>
      <c r="F285" s="1073"/>
      <c r="G285" s="1073"/>
      <c r="H285" s="1073"/>
      <c r="I285" s="1073"/>
      <c r="J285" s="1073"/>
      <c r="K285" s="1073"/>
      <c r="L285" s="1073"/>
      <c r="M285" s="1073"/>
      <c r="N285" s="1073"/>
      <c r="O285" s="1073"/>
      <c r="P285" s="1073"/>
      <c r="Q285" s="1073"/>
      <c r="R285" s="1073"/>
      <c r="S285" s="1073"/>
      <c r="T285" s="1073"/>
      <c r="U285" s="1073"/>
      <c r="V285" s="1073"/>
      <c r="W285" s="1073"/>
      <c r="X285" s="1073"/>
      <c r="Y285" s="1073"/>
      <c r="Z285" s="1073"/>
    </row>
    <row r="286" spans="1:26" ht="12.75" customHeight="1">
      <c r="A286" s="1073"/>
      <c r="B286" s="1073"/>
      <c r="C286" s="1073"/>
      <c r="D286" s="1073"/>
      <c r="E286" s="1073"/>
      <c r="F286" s="1073"/>
      <c r="G286" s="1073"/>
      <c r="H286" s="1073"/>
      <c r="I286" s="1073"/>
      <c r="J286" s="1073"/>
      <c r="K286" s="1073"/>
      <c r="L286" s="1073"/>
      <c r="M286" s="1073"/>
      <c r="N286" s="1073"/>
      <c r="O286" s="1073"/>
      <c r="P286" s="1073"/>
      <c r="Q286" s="1073"/>
      <c r="R286" s="1073"/>
      <c r="S286" s="1073"/>
      <c r="T286" s="1073"/>
      <c r="U286" s="1073"/>
      <c r="V286" s="1073"/>
      <c r="W286" s="1073"/>
      <c r="X286" s="1073"/>
      <c r="Y286" s="1073"/>
      <c r="Z286" s="1073"/>
    </row>
    <row r="287" spans="1:26" ht="12.75" customHeight="1">
      <c r="A287" s="1073"/>
      <c r="B287" s="1073"/>
      <c r="C287" s="1073"/>
      <c r="D287" s="1073"/>
      <c r="E287" s="1073"/>
      <c r="F287" s="1073"/>
      <c r="G287" s="1073"/>
      <c r="H287" s="1073"/>
      <c r="I287" s="1073"/>
      <c r="J287" s="1073"/>
      <c r="K287" s="1073"/>
      <c r="L287" s="1073"/>
      <c r="M287" s="1073"/>
      <c r="N287" s="1073"/>
      <c r="O287" s="1073"/>
      <c r="P287" s="1073"/>
      <c r="Q287" s="1073"/>
      <c r="R287" s="1073"/>
      <c r="S287" s="1073"/>
      <c r="T287" s="1073"/>
      <c r="U287" s="1073"/>
      <c r="V287" s="1073"/>
      <c r="W287" s="1073"/>
      <c r="X287" s="1073"/>
      <c r="Y287" s="1073"/>
      <c r="Z287" s="1073"/>
    </row>
    <row r="288" spans="1:26" ht="12.75" customHeight="1">
      <c r="A288" s="1073"/>
      <c r="B288" s="1073"/>
      <c r="C288" s="1073"/>
      <c r="D288" s="1073"/>
      <c r="E288" s="1073"/>
      <c r="F288" s="1073"/>
      <c r="G288" s="1073"/>
      <c r="H288" s="1073"/>
      <c r="I288" s="1073"/>
      <c r="J288" s="1073"/>
      <c r="K288" s="1073"/>
      <c r="L288" s="1073"/>
      <c r="M288" s="1073"/>
      <c r="N288" s="1073"/>
      <c r="O288" s="1073"/>
      <c r="P288" s="1073"/>
      <c r="Q288" s="1073"/>
      <c r="R288" s="1073"/>
      <c r="S288" s="1073"/>
      <c r="T288" s="1073"/>
      <c r="U288" s="1073"/>
      <c r="V288" s="1073"/>
      <c r="W288" s="1073"/>
      <c r="X288" s="1073"/>
      <c r="Y288" s="1073"/>
      <c r="Z288" s="1073"/>
    </row>
    <row r="289" spans="1:26" ht="12.75" customHeight="1">
      <c r="A289" s="1073"/>
      <c r="B289" s="1073"/>
      <c r="C289" s="1073"/>
      <c r="D289" s="1073"/>
      <c r="E289" s="1073"/>
      <c r="F289" s="1073"/>
      <c r="G289" s="1073"/>
      <c r="H289" s="1073"/>
      <c r="I289" s="1073"/>
      <c r="J289" s="1073"/>
      <c r="K289" s="1073"/>
      <c r="L289" s="1073"/>
      <c r="M289" s="1073"/>
      <c r="N289" s="1073"/>
      <c r="O289" s="1073"/>
      <c r="P289" s="1073"/>
      <c r="Q289" s="1073"/>
      <c r="R289" s="1073"/>
      <c r="S289" s="1073"/>
      <c r="T289" s="1073"/>
      <c r="U289" s="1073"/>
      <c r="V289" s="1073"/>
      <c r="W289" s="1073"/>
      <c r="X289" s="1073"/>
      <c r="Y289" s="1073"/>
      <c r="Z289" s="1073"/>
    </row>
    <row r="290" spans="1:26" ht="12.75" customHeight="1">
      <c r="A290" s="1073"/>
      <c r="B290" s="1073"/>
      <c r="C290" s="1073"/>
      <c r="D290" s="1073"/>
      <c r="E290" s="1073"/>
      <c r="F290" s="1073"/>
      <c r="G290" s="1073"/>
      <c r="H290" s="1073"/>
      <c r="I290" s="1073"/>
      <c r="J290" s="1073"/>
      <c r="K290" s="1073"/>
      <c r="L290" s="1073"/>
      <c r="M290" s="1073"/>
      <c r="N290" s="1073"/>
      <c r="O290" s="1073"/>
      <c r="P290" s="1073"/>
      <c r="Q290" s="1073"/>
      <c r="R290" s="1073"/>
      <c r="S290" s="1073"/>
      <c r="T290" s="1073"/>
      <c r="U290" s="1073"/>
      <c r="V290" s="1073"/>
      <c r="W290" s="1073"/>
      <c r="X290" s="1073"/>
      <c r="Y290" s="1073"/>
      <c r="Z290" s="1073"/>
    </row>
    <row r="291" spans="1:26" ht="12.75" customHeight="1">
      <c r="A291" s="1073"/>
      <c r="B291" s="1073"/>
      <c r="C291" s="1073"/>
      <c r="D291" s="1073"/>
      <c r="E291" s="1073"/>
      <c r="F291" s="1073"/>
      <c r="G291" s="1073"/>
      <c r="H291" s="1073"/>
      <c r="I291" s="1073"/>
      <c r="J291" s="1073"/>
      <c r="K291" s="1073"/>
      <c r="L291" s="1073"/>
      <c r="M291" s="1073"/>
      <c r="N291" s="1073"/>
      <c r="O291" s="1073"/>
      <c r="P291" s="1073"/>
      <c r="Q291" s="1073"/>
      <c r="R291" s="1073"/>
      <c r="S291" s="1073"/>
      <c r="T291" s="1073"/>
      <c r="U291" s="1073"/>
      <c r="V291" s="1073"/>
      <c r="W291" s="1073"/>
      <c r="X291" s="1073"/>
      <c r="Y291" s="1073"/>
      <c r="Z291" s="1073"/>
    </row>
    <row r="292" spans="1:26" ht="12.75" customHeight="1">
      <c r="A292" s="1073"/>
      <c r="B292" s="1073"/>
      <c r="C292" s="1073"/>
      <c r="D292" s="1073"/>
      <c r="E292" s="1073"/>
      <c r="F292" s="1073"/>
      <c r="G292" s="1073"/>
      <c r="H292" s="1073"/>
      <c r="I292" s="1073"/>
      <c r="J292" s="1073"/>
      <c r="K292" s="1073"/>
      <c r="L292" s="1073"/>
      <c r="M292" s="1073"/>
      <c r="N292" s="1073"/>
      <c r="O292" s="1073"/>
      <c r="P292" s="1073"/>
      <c r="Q292" s="1073"/>
      <c r="R292" s="1073"/>
      <c r="S292" s="1073"/>
      <c r="T292" s="1073"/>
      <c r="U292" s="1073"/>
      <c r="V292" s="1073"/>
      <c r="W292" s="1073"/>
      <c r="X292" s="1073"/>
      <c r="Y292" s="1073"/>
      <c r="Z292" s="1073"/>
    </row>
    <row r="293" spans="1:26" ht="12.75" customHeight="1">
      <c r="A293" s="1073"/>
      <c r="B293" s="1073"/>
      <c r="C293" s="1073"/>
      <c r="D293" s="1073"/>
      <c r="E293" s="1073"/>
      <c r="F293" s="1073"/>
      <c r="G293" s="1073"/>
      <c r="H293" s="1073"/>
      <c r="I293" s="1073"/>
      <c r="J293" s="1073"/>
      <c r="K293" s="1073"/>
      <c r="L293" s="1073"/>
      <c r="M293" s="1073"/>
      <c r="N293" s="1073"/>
      <c r="O293" s="1073"/>
      <c r="P293" s="1073"/>
      <c r="Q293" s="1073"/>
      <c r="R293" s="1073"/>
      <c r="S293" s="1073"/>
      <c r="T293" s="1073"/>
      <c r="U293" s="1073"/>
      <c r="V293" s="1073"/>
      <c r="W293" s="1073"/>
      <c r="X293" s="1073"/>
      <c r="Y293" s="1073"/>
      <c r="Z293" s="1073"/>
    </row>
    <row r="294" spans="1:26" ht="12.75" customHeight="1">
      <c r="A294" s="1073"/>
      <c r="B294" s="1073"/>
      <c r="C294" s="1073"/>
      <c r="D294" s="1073"/>
      <c r="E294" s="1073"/>
      <c r="F294" s="1073"/>
      <c r="G294" s="1073"/>
      <c r="H294" s="1073"/>
      <c r="I294" s="1073"/>
      <c r="J294" s="1073"/>
      <c r="K294" s="1073"/>
      <c r="L294" s="1073"/>
      <c r="M294" s="1073"/>
      <c r="N294" s="1073"/>
      <c r="O294" s="1073"/>
      <c r="P294" s="1073"/>
      <c r="Q294" s="1073"/>
      <c r="R294" s="1073"/>
      <c r="S294" s="1073"/>
      <c r="T294" s="1073"/>
      <c r="U294" s="1073"/>
      <c r="V294" s="1073"/>
      <c r="W294" s="1073"/>
      <c r="X294" s="1073"/>
      <c r="Y294" s="1073"/>
      <c r="Z294" s="1073"/>
    </row>
    <row r="295" spans="1:26" ht="12.75" customHeight="1">
      <c r="A295" s="1073"/>
      <c r="B295" s="1073"/>
      <c r="C295" s="1073"/>
      <c r="D295" s="1073"/>
      <c r="E295" s="1073"/>
      <c r="F295" s="1073"/>
      <c r="G295" s="1073"/>
      <c r="H295" s="1073"/>
      <c r="I295" s="1073"/>
      <c r="J295" s="1073"/>
      <c r="K295" s="1073"/>
      <c r="L295" s="1073"/>
      <c r="M295" s="1073"/>
      <c r="N295" s="1073"/>
      <c r="O295" s="1073"/>
      <c r="P295" s="1073"/>
      <c r="Q295" s="1073"/>
      <c r="R295" s="1073"/>
      <c r="S295" s="1073"/>
      <c r="T295" s="1073"/>
      <c r="U295" s="1073"/>
      <c r="V295" s="1073"/>
      <c r="W295" s="1073"/>
      <c r="X295" s="1073"/>
      <c r="Y295" s="1073"/>
      <c r="Z295" s="1073"/>
    </row>
    <row r="296" spans="1:26" ht="12.75" customHeight="1">
      <c r="A296" s="1073"/>
      <c r="B296" s="1073"/>
      <c r="C296" s="1073"/>
      <c r="D296" s="1073"/>
      <c r="E296" s="1073"/>
      <c r="F296" s="1073"/>
      <c r="G296" s="1073"/>
      <c r="H296" s="1073"/>
      <c r="I296" s="1073"/>
      <c r="J296" s="1073"/>
      <c r="K296" s="1073"/>
      <c r="L296" s="1073"/>
      <c r="M296" s="1073"/>
      <c r="N296" s="1073"/>
      <c r="O296" s="1073"/>
      <c r="P296" s="1073"/>
      <c r="Q296" s="1073"/>
      <c r="R296" s="1073"/>
      <c r="S296" s="1073"/>
      <c r="T296" s="1073"/>
      <c r="U296" s="1073"/>
      <c r="V296" s="1073"/>
      <c r="W296" s="1073"/>
      <c r="X296" s="1073"/>
      <c r="Y296" s="1073"/>
      <c r="Z296" s="1073"/>
    </row>
    <row r="297" spans="1:26" ht="12.75" customHeight="1">
      <c r="A297" s="1073"/>
      <c r="B297" s="1073"/>
      <c r="C297" s="1073"/>
      <c r="D297" s="1073"/>
      <c r="E297" s="1073"/>
      <c r="F297" s="1073"/>
      <c r="G297" s="1073"/>
      <c r="H297" s="1073"/>
      <c r="I297" s="1073"/>
      <c r="J297" s="1073"/>
      <c r="K297" s="1073"/>
      <c r="L297" s="1073"/>
      <c r="M297" s="1073"/>
      <c r="N297" s="1073"/>
      <c r="O297" s="1073"/>
      <c r="P297" s="1073"/>
      <c r="Q297" s="1073"/>
      <c r="R297" s="1073"/>
      <c r="S297" s="1073"/>
      <c r="T297" s="1073"/>
      <c r="U297" s="1073"/>
      <c r="V297" s="1073"/>
      <c r="W297" s="1073"/>
      <c r="X297" s="1073"/>
      <c r="Y297" s="1073"/>
      <c r="Z297" s="1073"/>
    </row>
    <row r="298" spans="1:26" ht="12.75" customHeight="1">
      <c r="A298" s="1073"/>
      <c r="B298" s="1073"/>
      <c r="C298" s="1073"/>
      <c r="D298" s="1073"/>
      <c r="E298" s="1073"/>
      <c r="F298" s="1073"/>
      <c r="G298" s="1073"/>
      <c r="H298" s="1073"/>
      <c r="I298" s="1073"/>
      <c r="J298" s="1073"/>
      <c r="K298" s="1073"/>
      <c r="L298" s="1073"/>
      <c r="M298" s="1073"/>
      <c r="N298" s="1073"/>
      <c r="O298" s="1073"/>
      <c r="P298" s="1073"/>
      <c r="Q298" s="1073"/>
      <c r="R298" s="1073"/>
      <c r="S298" s="1073"/>
      <c r="T298" s="1073"/>
      <c r="U298" s="1073"/>
      <c r="V298" s="1073"/>
      <c r="W298" s="1073"/>
      <c r="X298" s="1073"/>
      <c r="Y298" s="1073"/>
      <c r="Z298" s="1073"/>
    </row>
    <row r="299" spans="1:26" ht="12.75" customHeight="1">
      <c r="A299" s="1073"/>
      <c r="B299" s="1073"/>
      <c r="C299" s="1073"/>
      <c r="D299" s="1073"/>
      <c r="E299" s="1073"/>
      <c r="F299" s="1073"/>
      <c r="G299" s="1073"/>
      <c r="H299" s="1073"/>
      <c r="I299" s="1073"/>
      <c r="J299" s="1073"/>
      <c r="K299" s="1073"/>
      <c r="L299" s="1073"/>
      <c r="M299" s="1073"/>
      <c r="N299" s="1073"/>
      <c r="O299" s="1073"/>
      <c r="P299" s="1073"/>
      <c r="Q299" s="1073"/>
      <c r="R299" s="1073"/>
      <c r="S299" s="1073"/>
      <c r="T299" s="1073"/>
      <c r="U299" s="1073"/>
      <c r="V299" s="1073"/>
      <c r="W299" s="1073"/>
      <c r="X299" s="1073"/>
      <c r="Y299" s="1073"/>
      <c r="Z299" s="1073"/>
    </row>
    <row r="300" spans="1:26" ht="12.75" customHeight="1">
      <c r="A300" s="1073"/>
      <c r="B300" s="1073"/>
      <c r="C300" s="1073"/>
      <c r="D300" s="1073"/>
      <c r="E300" s="1073"/>
      <c r="F300" s="1073"/>
      <c r="G300" s="1073"/>
      <c r="H300" s="1073"/>
      <c r="I300" s="1073"/>
      <c r="J300" s="1073"/>
      <c r="K300" s="1073"/>
      <c r="L300" s="1073"/>
      <c r="M300" s="1073"/>
      <c r="N300" s="1073"/>
      <c r="O300" s="1073"/>
      <c r="P300" s="1073"/>
      <c r="Q300" s="1073"/>
      <c r="R300" s="1073"/>
      <c r="S300" s="1073"/>
      <c r="T300" s="1073"/>
      <c r="U300" s="1073"/>
      <c r="V300" s="1073"/>
      <c r="W300" s="1073"/>
      <c r="X300" s="1073"/>
      <c r="Y300" s="1073"/>
      <c r="Z300" s="1073"/>
    </row>
    <row r="301" spans="1:26" ht="12.75" customHeight="1">
      <c r="A301" s="1073"/>
      <c r="B301" s="1073"/>
      <c r="C301" s="1073"/>
      <c r="D301" s="1073"/>
      <c r="E301" s="1073"/>
      <c r="F301" s="1073"/>
      <c r="G301" s="1073"/>
      <c r="H301" s="1073"/>
      <c r="I301" s="1073"/>
      <c r="J301" s="1073"/>
      <c r="K301" s="1073"/>
      <c r="L301" s="1073"/>
      <c r="M301" s="1073"/>
      <c r="N301" s="1073"/>
      <c r="O301" s="1073"/>
      <c r="P301" s="1073"/>
      <c r="Q301" s="1073"/>
      <c r="R301" s="1073"/>
      <c r="S301" s="1073"/>
      <c r="T301" s="1073"/>
      <c r="U301" s="1073"/>
      <c r="V301" s="1073"/>
      <c r="W301" s="1073"/>
      <c r="X301" s="1073"/>
      <c r="Y301" s="1073"/>
      <c r="Z301" s="1073"/>
    </row>
    <row r="302" spans="1:26" ht="12.75" customHeight="1">
      <c r="A302" s="1073"/>
      <c r="B302" s="1073"/>
      <c r="C302" s="1073"/>
      <c r="D302" s="1073"/>
      <c r="E302" s="1073"/>
      <c r="F302" s="1073"/>
      <c r="G302" s="1073"/>
      <c r="H302" s="1073"/>
      <c r="I302" s="1073"/>
      <c r="J302" s="1073"/>
      <c r="K302" s="1073"/>
      <c r="L302" s="1073"/>
      <c r="M302" s="1073"/>
      <c r="N302" s="1073"/>
      <c r="O302" s="1073"/>
      <c r="P302" s="1073"/>
      <c r="Q302" s="1073"/>
      <c r="R302" s="1073"/>
      <c r="S302" s="1073"/>
      <c r="T302" s="1073"/>
      <c r="U302" s="1073"/>
      <c r="V302" s="1073"/>
      <c r="W302" s="1073"/>
      <c r="X302" s="1073"/>
      <c r="Y302" s="1073"/>
      <c r="Z302" s="1073"/>
    </row>
    <row r="303" spans="1:26" ht="12.75" customHeight="1">
      <c r="A303" s="1073"/>
      <c r="B303" s="1073"/>
      <c r="C303" s="1073"/>
      <c r="D303" s="1073"/>
      <c r="E303" s="1073"/>
      <c r="F303" s="1073"/>
      <c r="G303" s="1073"/>
      <c r="H303" s="1073"/>
      <c r="I303" s="1073"/>
      <c r="J303" s="1073"/>
      <c r="K303" s="1073"/>
      <c r="L303" s="1073"/>
      <c r="M303" s="1073"/>
      <c r="N303" s="1073"/>
      <c r="O303" s="1073"/>
      <c r="P303" s="1073"/>
      <c r="Q303" s="1073"/>
      <c r="R303" s="1073"/>
      <c r="S303" s="1073"/>
      <c r="T303" s="1073"/>
      <c r="U303" s="1073"/>
      <c r="V303" s="1073"/>
      <c r="W303" s="1073"/>
      <c r="X303" s="1073"/>
      <c r="Y303" s="1073"/>
      <c r="Z303" s="1073"/>
    </row>
    <row r="304" spans="1:26" ht="12.75" customHeight="1">
      <c r="A304" s="1073"/>
      <c r="B304" s="1073"/>
      <c r="C304" s="1073"/>
      <c r="D304" s="1073"/>
      <c r="E304" s="1073"/>
      <c r="F304" s="1073"/>
      <c r="G304" s="1073"/>
      <c r="H304" s="1073"/>
      <c r="I304" s="1073"/>
      <c r="J304" s="1073"/>
      <c r="K304" s="1073"/>
      <c r="L304" s="1073"/>
      <c r="M304" s="1073"/>
      <c r="N304" s="1073"/>
      <c r="O304" s="1073"/>
      <c r="P304" s="1073"/>
      <c r="Q304" s="1073"/>
      <c r="R304" s="1073"/>
      <c r="S304" s="1073"/>
      <c r="T304" s="1073"/>
      <c r="U304" s="1073"/>
      <c r="V304" s="1073"/>
      <c r="W304" s="1073"/>
      <c r="X304" s="1073"/>
      <c r="Y304" s="1073"/>
      <c r="Z304" s="1073"/>
    </row>
    <row r="305" spans="1:26" ht="12.75" customHeight="1">
      <c r="A305" s="1073"/>
      <c r="B305" s="1073"/>
      <c r="C305" s="1073"/>
      <c r="D305" s="1073"/>
      <c r="E305" s="1073"/>
      <c r="F305" s="1073"/>
      <c r="G305" s="1073"/>
      <c r="H305" s="1073"/>
      <c r="I305" s="1073"/>
      <c r="J305" s="1073"/>
      <c r="K305" s="1073"/>
      <c r="L305" s="1073"/>
      <c r="M305" s="1073"/>
      <c r="N305" s="1073"/>
      <c r="O305" s="1073"/>
      <c r="P305" s="1073"/>
      <c r="Q305" s="1073"/>
      <c r="R305" s="1073"/>
      <c r="S305" s="1073"/>
      <c r="T305" s="1073"/>
      <c r="U305" s="1073"/>
      <c r="V305" s="1073"/>
      <c r="W305" s="1073"/>
      <c r="X305" s="1073"/>
      <c r="Y305" s="1073"/>
      <c r="Z305" s="1073"/>
    </row>
    <row r="306" spans="1:26" ht="12.75" customHeight="1">
      <c r="A306" s="1073"/>
      <c r="B306" s="1073"/>
      <c r="C306" s="1073"/>
      <c r="D306" s="1073"/>
      <c r="E306" s="1073"/>
      <c r="F306" s="1073"/>
      <c r="G306" s="1073"/>
      <c r="H306" s="1073"/>
      <c r="I306" s="1073"/>
      <c r="J306" s="1073"/>
      <c r="K306" s="1073"/>
      <c r="L306" s="1073"/>
      <c r="M306" s="1073"/>
      <c r="N306" s="1073"/>
      <c r="O306" s="1073"/>
      <c r="P306" s="1073"/>
      <c r="Q306" s="1073"/>
      <c r="R306" s="1073"/>
      <c r="S306" s="1073"/>
      <c r="T306" s="1073"/>
      <c r="U306" s="1073"/>
      <c r="V306" s="1073"/>
      <c r="W306" s="1073"/>
      <c r="X306" s="1073"/>
      <c r="Y306" s="1073"/>
      <c r="Z306" s="1073"/>
    </row>
    <row r="307" spans="1:26" ht="12.75" customHeight="1">
      <c r="A307" s="1073"/>
      <c r="B307" s="1073"/>
      <c r="C307" s="1073"/>
      <c r="D307" s="1073"/>
      <c r="E307" s="1073"/>
      <c r="F307" s="1073"/>
      <c r="G307" s="1073"/>
      <c r="H307" s="1073"/>
      <c r="I307" s="1073"/>
      <c r="J307" s="1073"/>
      <c r="K307" s="1073"/>
      <c r="L307" s="1073"/>
      <c r="M307" s="1073"/>
      <c r="N307" s="1073"/>
      <c r="O307" s="1073"/>
      <c r="P307" s="1073"/>
      <c r="Q307" s="1073"/>
      <c r="R307" s="1073"/>
      <c r="S307" s="1073"/>
      <c r="T307" s="1073"/>
      <c r="U307" s="1073"/>
      <c r="V307" s="1073"/>
      <c r="W307" s="1073"/>
      <c r="X307" s="1073"/>
      <c r="Y307" s="1073"/>
      <c r="Z307" s="1073"/>
    </row>
    <row r="308" spans="1:26" ht="12.75" customHeight="1">
      <c r="A308" s="1073"/>
      <c r="B308" s="1073"/>
      <c r="C308" s="1073"/>
      <c r="D308" s="1073"/>
      <c r="E308" s="1073"/>
      <c r="F308" s="1073"/>
      <c r="G308" s="1073"/>
      <c r="H308" s="1073"/>
      <c r="I308" s="1073"/>
      <c r="J308" s="1073"/>
      <c r="K308" s="1073"/>
      <c r="L308" s="1073"/>
      <c r="M308" s="1073"/>
      <c r="N308" s="1073"/>
      <c r="O308" s="1073"/>
      <c r="P308" s="1073"/>
      <c r="Q308" s="1073"/>
      <c r="R308" s="1073"/>
      <c r="S308" s="1073"/>
      <c r="T308" s="1073"/>
      <c r="U308" s="1073"/>
      <c r="V308" s="1073"/>
      <c r="W308" s="1073"/>
      <c r="X308" s="1073"/>
      <c r="Y308" s="1073"/>
      <c r="Z308" s="1073"/>
    </row>
    <row r="309" spans="1:26" ht="12.75" customHeight="1">
      <c r="A309" s="1073"/>
      <c r="B309" s="1073"/>
      <c r="C309" s="1073"/>
      <c r="D309" s="1073"/>
      <c r="E309" s="1073"/>
      <c r="F309" s="1073"/>
      <c r="G309" s="1073"/>
      <c r="H309" s="1073"/>
      <c r="I309" s="1073"/>
      <c r="J309" s="1073"/>
      <c r="K309" s="1073"/>
      <c r="L309" s="1073"/>
      <c r="M309" s="1073"/>
      <c r="N309" s="1073"/>
      <c r="O309" s="1073"/>
      <c r="P309" s="1073"/>
      <c r="Q309" s="1073"/>
      <c r="R309" s="1073"/>
      <c r="S309" s="1073"/>
      <c r="T309" s="1073"/>
      <c r="U309" s="1073"/>
      <c r="V309" s="1073"/>
      <c r="W309" s="1073"/>
      <c r="X309" s="1073"/>
      <c r="Y309" s="1073"/>
      <c r="Z309" s="1073"/>
    </row>
    <row r="310" spans="1:26" ht="12.75" customHeight="1">
      <c r="A310" s="1073"/>
      <c r="B310" s="1073"/>
      <c r="C310" s="1073"/>
      <c r="D310" s="1073"/>
      <c r="E310" s="1073"/>
      <c r="F310" s="1073"/>
      <c r="G310" s="1073"/>
      <c r="H310" s="1073"/>
      <c r="I310" s="1073"/>
      <c r="J310" s="1073"/>
      <c r="K310" s="1073"/>
      <c r="L310" s="1073"/>
      <c r="M310" s="1073"/>
      <c r="N310" s="1073"/>
      <c r="O310" s="1073"/>
      <c r="P310" s="1073"/>
      <c r="Q310" s="1073"/>
      <c r="R310" s="1073"/>
      <c r="S310" s="1073"/>
      <c r="T310" s="1073"/>
      <c r="U310" s="1073"/>
      <c r="V310" s="1073"/>
      <c r="W310" s="1073"/>
      <c r="X310" s="1073"/>
      <c r="Y310" s="1073"/>
      <c r="Z310" s="1073"/>
    </row>
    <row r="311" spans="1:26" ht="12.75" customHeight="1">
      <c r="A311" s="1073"/>
      <c r="B311" s="1073"/>
      <c r="C311" s="1073"/>
      <c r="D311" s="1073"/>
      <c r="E311" s="1073"/>
      <c r="F311" s="1073"/>
      <c r="G311" s="1073"/>
      <c r="H311" s="1073"/>
      <c r="I311" s="1073"/>
      <c r="J311" s="1073"/>
      <c r="K311" s="1073"/>
      <c r="L311" s="1073"/>
      <c r="M311" s="1073"/>
      <c r="N311" s="1073"/>
      <c r="O311" s="1073"/>
      <c r="P311" s="1073"/>
      <c r="Q311" s="1073"/>
      <c r="R311" s="1073"/>
      <c r="S311" s="1073"/>
      <c r="T311" s="1073"/>
      <c r="U311" s="1073"/>
      <c r="V311" s="1073"/>
      <c r="W311" s="1073"/>
      <c r="X311" s="1073"/>
      <c r="Y311" s="1073"/>
      <c r="Z311" s="1073"/>
    </row>
    <row r="312" spans="1:26" ht="12.75" customHeight="1">
      <c r="A312" s="1073"/>
      <c r="B312" s="1073"/>
      <c r="C312" s="1073"/>
      <c r="D312" s="1073"/>
      <c r="E312" s="1073"/>
      <c r="F312" s="1073"/>
      <c r="G312" s="1073"/>
      <c r="H312" s="1073"/>
      <c r="I312" s="1073"/>
      <c r="J312" s="1073"/>
      <c r="K312" s="1073"/>
      <c r="L312" s="1073"/>
      <c r="M312" s="1073"/>
      <c r="N312" s="1073"/>
      <c r="O312" s="1073"/>
      <c r="P312" s="1073"/>
      <c r="Q312" s="1073"/>
      <c r="R312" s="1073"/>
      <c r="S312" s="1073"/>
      <c r="T312" s="1073"/>
      <c r="U312" s="1073"/>
      <c r="V312" s="1073"/>
      <c r="W312" s="1073"/>
      <c r="X312" s="1073"/>
      <c r="Y312" s="1073"/>
      <c r="Z312" s="1073"/>
    </row>
    <row r="313" spans="1:26" ht="12.75" customHeight="1">
      <c r="A313" s="1073"/>
      <c r="B313" s="1073"/>
      <c r="C313" s="1073"/>
      <c r="D313" s="1073"/>
      <c r="E313" s="1073"/>
      <c r="F313" s="1073"/>
      <c r="G313" s="1073"/>
      <c r="H313" s="1073"/>
      <c r="I313" s="1073"/>
      <c r="J313" s="1073"/>
      <c r="K313" s="1073"/>
      <c r="L313" s="1073"/>
      <c r="M313" s="1073"/>
      <c r="N313" s="1073"/>
      <c r="O313" s="1073"/>
      <c r="P313" s="1073"/>
      <c r="Q313" s="1073"/>
      <c r="R313" s="1073"/>
      <c r="S313" s="1073"/>
      <c r="T313" s="1073"/>
      <c r="U313" s="1073"/>
      <c r="V313" s="1073"/>
      <c r="W313" s="1073"/>
      <c r="X313" s="1073"/>
      <c r="Y313" s="1073"/>
      <c r="Z313" s="1073"/>
    </row>
    <row r="314" spans="1:26" ht="12.75" customHeight="1">
      <c r="A314" s="1073"/>
      <c r="B314" s="1073"/>
      <c r="C314" s="1073"/>
      <c r="D314" s="1073"/>
      <c r="E314" s="1073"/>
      <c r="F314" s="1073"/>
      <c r="G314" s="1073"/>
      <c r="H314" s="1073"/>
      <c r="I314" s="1073"/>
      <c r="J314" s="1073"/>
      <c r="K314" s="1073"/>
      <c r="L314" s="1073"/>
      <c r="M314" s="1073"/>
      <c r="N314" s="1073"/>
      <c r="O314" s="1073"/>
      <c r="P314" s="1073"/>
      <c r="Q314" s="1073"/>
      <c r="R314" s="1073"/>
      <c r="S314" s="1073"/>
      <c r="T314" s="1073"/>
      <c r="U314" s="1073"/>
      <c r="V314" s="1073"/>
      <c r="W314" s="1073"/>
      <c r="X314" s="1073"/>
      <c r="Y314" s="1073"/>
      <c r="Z314" s="1073"/>
    </row>
    <row r="315" spans="1:26" ht="12.75" customHeight="1">
      <c r="A315" s="1073"/>
      <c r="B315" s="1073"/>
      <c r="C315" s="1073"/>
      <c r="D315" s="1073"/>
      <c r="E315" s="1073"/>
      <c r="F315" s="1073"/>
      <c r="G315" s="1073"/>
      <c r="H315" s="1073"/>
      <c r="I315" s="1073"/>
      <c r="J315" s="1073"/>
      <c r="K315" s="1073"/>
      <c r="L315" s="1073"/>
      <c r="M315" s="1073"/>
      <c r="N315" s="1073"/>
      <c r="O315" s="1073"/>
      <c r="P315" s="1073"/>
      <c r="Q315" s="1073"/>
      <c r="R315" s="1073"/>
      <c r="S315" s="1073"/>
      <c r="T315" s="1073"/>
      <c r="U315" s="1073"/>
      <c r="V315" s="1073"/>
      <c r="W315" s="1073"/>
      <c r="X315" s="1073"/>
      <c r="Y315" s="1073"/>
      <c r="Z315" s="1073"/>
    </row>
    <row r="316" spans="1:26" ht="12.75" customHeight="1">
      <c r="A316" s="1073"/>
      <c r="B316" s="1073"/>
      <c r="C316" s="1073"/>
      <c r="D316" s="1073"/>
      <c r="E316" s="1073"/>
      <c r="F316" s="1073"/>
      <c r="G316" s="1073"/>
      <c r="H316" s="1073"/>
      <c r="I316" s="1073"/>
      <c r="J316" s="1073"/>
      <c r="K316" s="1073"/>
      <c r="L316" s="1073"/>
      <c r="M316" s="1073"/>
      <c r="N316" s="1073"/>
      <c r="O316" s="1073"/>
      <c r="P316" s="1073"/>
      <c r="Q316" s="1073"/>
      <c r="R316" s="1073"/>
      <c r="S316" s="1073"/>
      <c r="T316" s="1073"/>
      <c r="U316" s="1073"/>
      <c r="V316" s="1073"/>
      <c r="W316" s="1073"/>
      <c r="X316" s="1073"/>
      <c r="Y316" s="1073"/>
      <c r="Z316" s="1073"/>
    </row>
    <row r="317" spans="1:26" ht="12.75" customHeight="1">
      <c r="A317" s="1073"/>
      <c r="B317" s="1073"/>
      <c r="C317" s="1073"/>
      <c r="D317" s="1073"/>
      <c r="E317" s="1073"/>
      <c r="F317" s="1073"/>
      <c r="G317" s="1073"/>
      <c r="H317" s="1073"/>
      <c r="I317" s="1073"/>
      <c r="J317" s="1073"/>
      <c r="K317" s="1073"/>
      <c r="L317" s="1073"/>
      <c r="M317" s="1073"/>
      <c r="N317" s="1073"/>
      <c r="O317" s="1073"/>
      <c r="P317" s="1073"/>
      <c r="Q317" s="1073"/>
      <c r="R317" s="1073"/>
      <c r="S317" s="1073"/>
      <c r="T317" s="1073"/>
      <c r="U317" s="1073"/>
      <c r="V317" s="1073"/>
      <c r="W317" s="1073"/>
      <c r="X317" s="1073"/>
      <c r="Y317" s="1073"/>
      <c r="Z317" s="1073"/>
    </row>
    <row r="318" spans="1:26" ht="12.75" customHeight="1">
      <c r="A318" s="1073"/>
      <c r="B318" s="1073"/>
      <c r="C318" s="1073"/>
      <c r="D318" s="1073"/>
      <c r="E318" s="1073"/>
      <c r="F318" s="1073"/>
      <c r="G318" s="1073"/>
      <c r="H318" s="1073"/>
      <c r="I318" s="1073"/>
      <c r="J318" s="1073"/>
      <c r="K318" s="1073"/>
      <c r="L318" s="1073"/>
      <c r="M318" s="1073"/>
      <c r="N318" s="1073"/>
      <c r="O318" s="1073"/>
      <c r="P318" s="1073"/>
      <c r="Q318" s="1073"/>
      <c r="R318" s="1073"/>
      <c r="S318" s="1073"/>
      <c r="T318" s="1073"/>
      <c r="U318" s="1073"/>
      <c r="V318" s="1073"/>
      <c r="W318" s="1073"/>
      <c r="X318" s="1073"/>
      <c r="Y318" s="1073"/>
      <c r="Z318" s="1073"/>
    </row>
    <row r="319" spans="1:26" ht="12.75" customHeight="1">
      <c r="A319" s="1073"/>
      <c r="B319" s="1073"/>
      <c r="C319" s="1073"/>
      <c r="D319" s="1073"/>
      <c r="E319" s="1073"/>
      <c r="F319" s="1073"/>
      <c r="G319" s="1073"/>
      <c r="H319" s="1073"/>
      <c r="I319" s="1073"/>
      <c r="J319" s="1073"/>
      <c r="K319" s="1073"/>
      <c r="L319" s="1073"/>
      <c r="M319" s="1073"/>
      <c r="N319" s="1073"/>
      <c r="O319" s="1073"/>
      <c r="P319" s="1073"/>
      <c r="Q319" s="1073"/>
      <c r="R319" s="1073"/>
      <c r="S319" s="1073"/>
      <c r="T319" s="1073"/>
      <c r="U319" s="1073"/>
      <c r="V319" s="1073"/>
      <c r="W319" s="1073"/>
      <c r="X319" s="1073"/>
      <c r="Y319" s="1073"/>
      <c r="Z319" s="1073"/>
    </row>
    <row r="320" spans="1:26" ht="12.75" customHeight="1">
      <c r="A320" s="1073"/>
      <c r="B320" s="1073"/>
      <c r="C320" s="1073"/>
      <c r="D320" s="1073"/>
      <c r="E320" s="1073"/>
      <c r="F320" s="1073"/>
      <c r="G320" s="1073"/>
      <c r="H320" s="1073"/>
      <c r="I320" s="1073"/>
      <c r="J320" s="1073"/>
      <c r="K320" s="1073"/>
      <c r="L320" s="1073"/>
      <c r="M320" s="1073"/>
      <c r="N320" s="1073"/>
      <c r="O320" s="1073"/>
      <c r="P320" s="1073"/>
      <c r="Q320" s="1073"/>
      <c r="R320" s="1073"/>
      <c r="S320" s="1073"/>
      <c r="T320" s="1073"/>
      <c r="U320" s="1073"/>
      <c r="V320" s="1073"/>
      <c r="W320" s="1073"/>
      <c r="X320" s="1073"/>
      <c r="Y320" s="1073"/>
      <c r="Z320" s="1073"/>
    </row>
    <row r="321" spans="1:26" ht="12.75" customHeight="1">
      <c r="A321" s="1073"/>
      <c r="B321" s="1073"/>
      <c r="C321" s="1073"/>
      <c r="D321" s="1073"/>
      <c r="E321" s="1073"/>
      <c r="F321" s="1073"/>
      <c r="G321" s="1073"/>
      <c r="H321" s="1073"/>
      <c r="I321" s="1073"/>
      <c r="J321" s="1073"/>
      <c r="K321" s="1073"/>
      <c r="L321" s="1073"/>
      <c r="M321" s="1073"/>
      <c r="N321" s="1073"/>
      <c r="O321" s="1073"/>
      <c r="P321" s="1073"/>
      <c r="Q321" s="1073"/>
      <c r="R321" s="1073"/>
      <c r="S321" s="1073"/>
      <c r="T321" s="1073"/>
      <c r="U321" s="1073"/>
      <c r="V321" s="1073"/>
      <c r="W321" s="1073"/>
      <c r="X321" s="1073"/>
      <c r="Y321" s="1073"/>
      <c r="Z321" s="1073"/>
    </row>
    <row r="322" spans="1:26" ht="12.75" customHeight="1">
      <c r="A322" s="1073"/>
      <c r="B322" s="1073"/>
      <c r="C322" s="1073"/>
      <c r="D322" s="1073"/>
      <c r="E322" s="1073"/>
      <c r="F322" s="1073"/>
      <c r="G322" s="1073"/>
      <c r="H322" s="1073"/>
      <c r="I322" s="1073"/>
      <c r="J322" s="1073"/>
      <c r="K322" s="1073"/>
      <c r="L322" s="1073"/>
      <c r="M322" s="1073"/>
      <c r="N322" s="1073"/>
      <c r="O322" s="1073"/>
      <c r="P322" s="1073"/>
      <c r="Q322" s="1073"/>
      <c r="R322" s="1073"/>
      <c r="S322" s="1073"/>
      <c r="T322" s="1073"/>
      <c r="U322" s="1073"/>
      <c r="V322" s="1073"/>
      <c r="W322" s="1073"/>
      <c r="X322" s="1073"/>
      <c r="Y322" s="1073"/>
      <c r="Z322" s="1073"/>
    </row>
    <row r="323" spans="1:26" ht="12.75" customHeight="1">
      <c r="A323" s="1073"/>
      <c r="B323" s="1073"/>
      <c r="C323" s="1073"/>
      <c r="D323" s="1073"/>
      <c r="E323" s="1073"/>
      <c r="F323" s="1073"/>
      <c r="G323" s="1073"/>
      <c r="H323" s="1073"/>
      <c r="I323" s="1073"/>
      <c r="J323" s="1073"/>
      <c r="K323" s="1073"/>
      <c r="L323" s="1073"/>
      <c r="M323" s="1073"/>
      <c r="N323" s="1073"/>
      <c r="O323" s="1073"/>
      <c r="P323" s="1073"/>
      <c r="Q323" s="1073"/>
      <c r="R323" s="1073"/>
      <c r="S323" s="1073"/>
      <c r="T323" s="1073"/>
      <c r="U323" s="1073"/>
      <c r="V323" s="1073"/>
      <c r="W323" s="1073"/>
      <c r="X323" s="1073"/>
      <c r="Y323" s="1073"/>
      <c r="Z323" s="1073"/>
    </row>
    <row r="324" spans="1:26" ht="12.75" customHeight="1">
      <c r="A324" s="1073"/>
      <c r="B324" s="1073"/>
      <c r="C324" s="1073"/>
      <c r="D324" s="1073"/>
      <c r="E324" s="1073"/>
      <c r="F324" s="1073"/>
      <c r="G324" s="1073"/>
      <c r="H324" s="1073"/>
      <c r="I324" s="1073"/>
      <c r="J324" s="1073"/>
      <c r="K324" s="1073"/>
      <c r="L324" s="1073"/>
      <c r="M324" s="1073"/>
      <c r="N324" s="1073"/>
      <c r="O324" s="1073"/>
      <c r="P324" s="1073"/>
      <c r="Q324" s="1073"/>
      <c r="R324" s="1073"/>
      <c r="S324" s="1073"/>
      <c r="T324" s="1073"/>
      <c r="U324" s="1073"/>
      <c r="V324" s="1073"/>
      <c r="W324" s="1073"/>
      <c r="X324" s="1073"/>
      <c r="Y324" s="1073"/>
      <c r="Z324" s="1073"/>
    </row>
    <row r="325" spans="1:26" ht="12.75" customHeight="1">
      <c r="A325" s="1073"/>
      <c r="B325" s="1073"/>
      <c r="C325" s="1073"/>
      <c r="D325" s="1073"/>
      <c r="E325" s="1073"/>
      <c r="F325" s="1073"/>
      <c r="G325" s="1073"/>
      <c r="H325" s="1073"/>
      <c r="I325" s="1073"/>
      <c r="J325" s="1073"/>
      <c r="K325" s="1073"/>
      <c r="L325" s="1073"/>
      <c r="M325" s="1073"/>
      <c r="N325" s="1073"/>
      <c r="O325" s="1073"/>
      <c r="P325" s="1073"/>
      <c r="Q325" s="1073"/>
      <c r="R325" s="1073"/>
      <c r="S325" s="1073"/>
      <c r="T325" s="1073"/>
      <c r="U325" s="1073"/>
      <c r="V325" s="1073"/>
      <c r="W325" s="1073"/>
      <c r="X325" s="1073"/>
      <c r="Y325" s="1073"/>
      <c r="Z325" s="1073"/>
    </row>
    <row r="326" spans="1:26" ht="12.75" customHeight="1">
      <c r="A326" s="1073"/>
      <c r="B326" s="1073"/>
      <c r="C326" s="1073"/>
      <c r="D326" s="1073"/>
      <c r="E326" s="1073"/>
      <c r="F326" s="1073"/>
      <c r="G326" s="1073"/>
      <c r="H326" s="1073"/>
      <c r="I326" s="1073"/>
      <c r="J326" s="1073"/>
      <c r="K326" s="1073"/>
      <c r="L326" s="1073"/>
      <c r="M326" s="1073"/>
      <c r="N326" s="1073"/>
      <c r="O326" s="1073"/>
      <c r="P326" s="1073"/>
      <c r="Q326" s="1073"/>
      <c r="R326" s="1073"/>
      <c r="S326" s="1073"/>
      <c r="T326" s="1073"/>
      <c r="U326" s="1073"/>
      <c r="V326" s="1073"/>
      <c r="W326" s="1073"/>
      <c r="X326" s="1073"/>
      <c r="Y326" s="1073"/>
      <c r="Z326" s="1073"/>
    </row>
    <row r="327" spans="1:26" ht="12.75" customHeight="1">
      <c r="A327" s="1073"/>
      <c r="B327" s="1073"/>
      <c r="C327" s="1073"/>
      <c r="D327" s="1073"/>
      <c r="E327" s="1073"/>
      <c r="F327" s="1073"/>
      <c r="G327" s="1073"/>
      <c r="H327" s="1073"/>
      <c r="I327" s="1073"/>
      <c r="J327" s="1073"/>
      <c r="K327" s="1073"/>
      <c r="L327" s="1073"/>
      <c r="M327" s="1073"/>
      <c r="N327" s="1073"/>
      <c r="O327" s="1073"/>
      <c r="P327" s="1073"/>
      <c r="Q327" s="1073"/>
      <c r="R327" s="1073"/>
      <c r="S327" s="1073"/>
      <c r="T327" s="1073"/>
      <c r="U327" s="1073"/>
      <c r="V327" s="1073"/>
      <c r="W327" s="1073"/>
      <c r="X327" s="1073"/>
      <c r="Y327" s="1073"/>
      <c r="Z327" s="1073"/>
    </row>
    <row r="328" spans="1:26" ht="12.75" customHeight="1">
      <c r="A328" s="1073"/>
      <c r="B328" s="1073"/>
      <c r="C328" s="1073"/>
      <c r="D328" s="1073"/>
      <c r="E328" s="1073"/>
      <c r="F328" s="1073"/>
      <c r="G328" s="1073"/>
      <c r="H328" s="1073"/>
      <c r="I328" s="1073"/>
      <c r="J328" s="1073"/>
      <c r="K328" s="1073"/>
      <c r="L328" s="1073"/>
      <c r="M328" s="1073"/>
      <c r="N328" s="1073"/>
      <c r="O328" s="1073"/>
      <c r="P328" s="1073"/>
      <c r="Q328" s="1073"/>
      <c r="R328" s="1073"/>
      <c r="S328" s="1073"/>
      <c r="T328" s="1073"/>
      <c r="U328" s="1073"/>
      <c r="V328" s="1073"/>
      <c r="W328" s="1073"/>
      <c r="X328" s="1073"/>
      <c r="Y328" s="1073"/>
      <c r="Z328" s="1073"/>
    </row>
    <row r="329" spans="1:26" ht="12.75" customHeight="1">
      <c r="A329" s="1073"/>
      <c r="B329" s="1073"/>
      <c r="C329" s="1073"/>
      <c r="D329" s="1073"/>
      <c r="E329" s="1073"/>
      <c r="F329" s="1073"/>
      <c r="G329" s="1073"/>
      <c r="H329" s="1073"/>
      <c r="I329" s="1073"/>
      <c r="J329" s="1073"/>
      <c r="K329" s="1073"/>
      <c r="L329" s="1073"/>
      <c r="M329" s="1073"/>
      <c r="N329" s="1073"/>
      <c r="O329" s="1073"/>
      <c r="P329" s="1073"/>
      <c r="Q329" s="1073"/>
      <c r="R329" s="1073"/>
      <c r="S329" s="1073"/>
      <c r="T329" s="1073"/>
      <c r="U329" s="1073"/>
      <c r="V329" s="1073"/>
      <c r="W329" s="1073"/>
      <c r="X329" s="1073"/>
      <c r="Y329" s="1073"/>
      <c r="Z329" s="1073"/>
    </row>
    <row r="330" spans="1:26" ht="12.75" customHeight="1">
      <c r="A330" s="1073"/>
      <c r="B330" s="1073"/>
      <c r="C330" s="1073"/>
      <c r="D330" s="1073"/>
      <c r="E330" s="1073"/>
      <c r="F330" s="1073"/>
      <c r="G330" s="1073"/>
      <c r="H330" s="1073"/>
      <c r="I330" s="1073"/>
      <c r="J330" s="1073"/>
      <c r="K330" s="1073"/>
      <c r="L330" s="1073"/>
      <c r="M330" s="1073"/>
      <c r="N330" s="1073"/>
      <c r="O330" s="1073"/>
      <c r="P330" s="1073"/>
      <c r="Q330" s="1073"/>
      <c r="R330" s="1073"/>
      <c r="S330" s="1073"/>
      <c r="T330" s="1073"/>
      <c r="U330" s="1073"/>
      <c r="V330" s="1073"/>
      <c r="W330" s="1073"/>
      <c r="X330" s="1073"/>
      <c r="Y330" s="1073"/>
      <c r="Z330" s="1073"/>
    </row>
    <row r="331" spans="1:26" ht="12.75" customHeight="1">
      <c r="A331" s="1073"/>
      <c r="B331" s="1073"/>
      <c r="C331" s="1073"/>
      <c r="D331" s="1073"/>
      <c r="E331" s="1073"/>
      <c r="F331" s="1073"/>
      <c r="G331" s="1073"/>
      <c r="H331" s="1073"/>
      <c r="I331" s="1073"/>
      <c r="J331" s="1073"/>
      <c r="K331" s="1073"/>
      <c r="L331" s="1073"/>
      <c r="M331" s="1073"/>
      <c r="N331" s="1073"/>
      <c r="O331" s="1073"/>
      <c r="P331" s="1073"/>
      <c r="Q331" s="1073"/>
      <c r="R331" s="1073"/>
      <c r="S331" s="1073"/>
      <c r="T331" s="1073"/>
      <c r="U331" s="1073"/>
      <c r="V331" s="1073"/>
      <c r="W331" s="1073"/>
      <c r="X331" s="1073"/>
      <c r="Y331" s="1073"/>
      <c r="Z331" s="1073"/>
    </row>
    <row r="332" spans="1:26" ht="12.75" customHeight="1">
      <c r="A332" s="1073"/>
      <c r="B332" s="1073"/>
      <c r="C332" s="1073"/>
      <c r="D332" s="1073"/>
      <c r="E332" s="1073"/>
      <c r="F332" s="1073"/>
      <c r="G332" s="1073"/>
      <c r="H332" s="1073"/>
      <c r="I332" s="1073"/>
      <c r="J332" s="1073"/>
      <c r="K332" s="1073"/>
      <c r="L332" s="1073"/>
      <c r="M332" s="1073"/>
      <c r="N332" s="1073"/>
      <c r="O332" s="1073"/>
      <c r="P332" s="1073"/>
      <c r="Q332" s="1073"/>
      <c r="R332" s="1073"/>
      <c r="S332" s="1073"/>
      <c r="T332" s="1073"/>
      <c r="U332" s="1073"/>
      <c r="V332" s="1073"/>
      <c r="W332" s="1073"/>
      <c r="X332" s="1073"/>
      <c r="Y332" s="1073"/>
      <c r="Z332" s="1073"/>
    </row>
    <row r="333" spans="1:26" ht="12.75" customHeight="1">
      <c r="A333" s="1073"/>
      <c r="B333" s="1073"/>
      <c r="C333" s="1073"/>
      <c r="D333" s="1073"/>
      <c r="E333" s="1073"/>
      <c r="F333" s="1073"/>
      <c r="G333" s="1073"/>
      <c r="H333" s="1073"/>
      <c r="I333" s="1073"/>
      <c r="J333" s="1073"/>
      <c r="K333" s="1073"/>
      <c r="L333" s="1073"/>
      <c r="M333" s="1073"/>
      <c r="N333" s="1073"/>
      <c r="O333" s="1073"/>
      <c r="P333" s="1073"/>
      <c r="Q333" s="1073"/>
      <c r="R333" s="1073"/>
      <c r="S333" s="1073"/>
      <c r="T333" s="1073"/>
      <c r="U333" s="1073"/>
      <c r="V333" s="1073"/>
      <c r="W333" s="1073"/>
      <c r="X333" s="1073"/>
      <c r="Y333" s="1073"/>
      <c r="Z333" s="1073"/>
    </row>
    <row r="334" spans="1:26" ht="12.75" customHeight="1">
      <c r="A334" s="1073"/>
      <c r="B334" s="1073"/>
      <c r="C334" s="1073"/>
      <c r="D334" s="1073"/>
      <c r="E334" s="1073"/>
      <c r="F334" s="1073"/>
      <c r="G334" s="1073"/>
      <c r="H334" s="1073"/>
      <c r="I334" s="1073"/>
      <c r="J334" s="1073"/>
      <c r="K334" s="1073"/>
      <c r="L334" s="1073"/>
      <c r="M334" s="1073"/>
      <c r="N334" s="1073"/>
      <c r="O334" s="1073"/>
      <c r="P334" s="1073"/>
      <c r="Q334" s="1073"/>
      <c r="R334" s="1073"/>
      <c r="S334" s="1073"/>
      <c r="T334" s="1073"/>
      <c r="U334" s="1073"/>
      <c r="V334" s="1073"/>
      <c r="W334" s="1073"/>
      <c r="X334" s="1073"/>
      <c r="Y334" s="1073"/>
      <c r="Z334" s="1073"/>
    </row>
    <row r="335" spans="1:26" ht="12.75" customHeight="1">
      <c r="A335" s="1073"/>
      <c r="B335" s="1073"/>
      <c r="C335" s="1073"/>
      <c r="D335" s="1073"/>
      <c r="E335" s="1073"/>
      <c r="F335" s="1073"/>
      <c r="G335" s="1073"/>
      <c r="H335" s="1073"/>
      <c r="I335" s="1073"/>
      <c r="J335" s="1073"/>
      <c r="K335" s="1073"/>
      <c r="L335" s="1073"/>
      <c r="M335" s="1073"/>
      <c r="N335" s="1073"/>
      <c r="O335" s="1073"/>
      <c r="P335" s="1073"/>
      <c r="Q335" s="1073"/>
      <c r="R335" s="1073"/>
      <c r="S335" s="1073"/>
      <c r="T335" s="1073"/>
      <c r="U335" s="1073"/>
      <c r="V335" s="1073"/>
      <c r="W335" s="1073"/>
      <c r="X335" s="1073"/>
      <c r="Y335" s="1073"/>
      <c r="Z335" s="1073"/>
    </row>
    <row r="336" spans="1:26" ht="12.75" customHeight="1">
      <c r="A336" s="1073"/>
      <c r="B336" s="1073"/>
      <c r="C336" s="1073"/>
      <c r="D336" s="1073"/>
      <c r="E336" s="1073"/>
      <c r="F336" s="1073"/>
      <c r="G336" s="1073"/>
      <c r="H336" s="1073"/>
      <c r="I336" s="1073"/>
      <c r="J336" s="1073"/>
      <c r="K336" s="1073"/>
      <c r="L336" s="1073"/>
      <c r="M336" s="1073"/>
      <c r="N336" s="1073"/>
      <c r="O336" s="1073"/>
      <c r="P336" s="1073"/>
      <c r="Q336" s="1073"/>
      <c r="R336" s="1073"/>
      <c r="S336" s="1073"/>
      <c r="T336" s="1073"/>
      <c r="U336" s="1073"/>
      <c r="V336" s="1073"/>
      <c r="W336" s="1073"/>
      <c r="X336" s="1073"/>
      <c r="Y336" s="1073"/>
      <c r="Z336" s="1073"/>
    </row>
    <row r="337" spans="1:26" ht="12.75" customHeight="1">
      <c r="A337" s="1073"/>
      <c r="B337" s="1073"/>
      <c r="C337" s="1073"/>
      <c r="D337" s="1073"/>
      <c r="E337" s="1073"/>
      <c r="F337" s="1073"/>
      <c r="G337" s="1073"/>
      <c r="H337" s="1073"/>
      <c r="I337" s="1073"/>
      <c r="J337" s="1073"/>
      <c r="K337" s="1073"/>
      <c r="L337" s="1073"/>
      <c r="M337" s="1073"/>
      <c r="N337" s="1073"/>
      <c r="O337" s="1073"/>
      <c r="P337" s="1073"/>
      <c r="Q337" s="1073"/>
      <c r="R337" s="1073"/>
      <c r="S337" s="1073"/>
      <c r="T337" s="1073"/>
      <c r="U337" s="1073"/>
      <c r="V337" s="1073"/>
      <c r="W337" s="1073"/>
      <c r="X337" s="1073"/>
      <c r="Y337" s="1073"/>
      <c r="Z337" s="1073"/>
    </row>
    <row r="338" spans="1:26" ht="12.75" customHeight="1">
      <c r="A338" s="1073"/>
      <c r="B338" s="1073"/>
      <c r="C338" s="1073"/>
      <c r="D338" s="1073"/>
      <c r="E338" s="1073"/>
      <c r="F338" s="1073"/>
      <c r="G338" s="1073"/>
      <c r="H338" s="1073"/>
      <c r="I338" s="1073"/>
      <c r="J338" s="1073"/>
      <c r="K338" s="1073"/>
      <c r="L338" s="1073"/>
      <c r="M338" s="1073"/>
      <c r="N338" s="1073"/>
      <c r="O338" s="1073"/>
      <c r="P338" s="1073"/>
      <c r="Q338" s="1073"/>
      <c r="R338" s="1073"/>
      <c r="S338" s="1073"/>
      <c r="T338" s="1073"/>
      <c r="U338" s="1073"/>
      <c r="V338" s="1073"/>
      <c r="W338" s="1073"/>
      <c r="X338" s="1073"/>
      <c r="Y338" s="1073"/>
      <c r="Z338" s="1073"/>
    </row>
    <row r="339" spans="1:26" ht="12.75" customHeight="1">
      <c r="A339" s="1073"/>
      <c r="B339" s="1073"/>
      <c r="C339" s="1073"/>
      <c r="D339" s="1073"/>
      <c r="E339" s="1073"/>
      <c r="F339" s="1073"/>
      <c r="G339" s="1073"/>
      <c r="H339" s="1073"/>
      <c r="I339" s="1073"/>
      <c r="J339" s="1073"/>
      <c r="K339" s="1073"/>
      <c r="L339" s="1073"/>
      <c r="M339" s="1073"/>
      <c r="N339" s="1073"/>
      <c r="O339" s="1073"/>
      <c r="P339" s="1073"/>
      <c r="Q339" s="1073"/>
      <c r="R339" s="1073"/>
      <c r="S339" s="1073"/>
      <c r="T339" s="1073"/>
      <c r="U339" s="1073"/>
      <c r="V339" s="1073"/>
      <c r="W339" s="1073"/>
      <c r="X339" s="1073"/>
      <c r="Y339" s="1073"/>
      <c r="Z339" s="1073"/>
    </row>
    <row r="340" spans="1:26" ht="12.75" customHeight="1">
      <c r="A340" s="1073"/>
      <c r="B340" s="1073"/>
      <c r="C340" s="1073"/>
      <c r="D340" s="1073"/>
      <c r="E340" s="1073"/>
      <c r="F340" s="1073"/>
      <c r="G340" s="1073"/>
      <c r="H340" s="1073"/>
      <c r="I340" s="1073"/>
      <c r="J340" s="1073"/>
      <c r="K340" s="1073"/>
      <c r="L340" s="1073"/>
      <c r="M340" s="1073"/>
      <c r="N340" s="1073"/>
      <c r="O340" s="1073"/>
      <c r="P340" s="1073"/>
      <c r="Q340" s="1073"/>
      <c r="R340" s="1073"/>
      <c r="S340" s="1073"/>
      <c r="T340" s="1073"/>
      <c r="U340" s="1073"/>
      <c r="V340" s="1073"/>
      <c r="W340" s="1073"/>
      <c r="X340" s="1073"/>
      <c r="Y340" s="1073"/>
      <c r="Z340" s="1073"/>
    </row>
    <row r="341" spans="1:26" ht="12.75" customHeight="1">
      <c r="A341" s="1073"/>
      <c r="B341" s="1073"/>
      <c r="C341" s="1073"/>
      <c r="D341" s="1073"/>
      <c r="E341" s="1073"/>
      <c r="F341" s="1073"/>
      <c r="G341" s="1073"/>
      <c r="H341" s="1073"/>
      <c r="I341" s="1073"/>
      <c r="J341" s="1073"/>
      <c r="K341" s="1073"/>
      <c r="L341" s="1073"/>
      <c r="M341" s="1073"/>
      <c r="N341" s="1073"/>
      <c r="O341" s="1073"/>
      <c r="P341" s="1073"/>
      <c r="Q341" s="1073"/>
      <c r="R341" s="1073"/>
      <c r="S341" s="1073"/>
      <c r="T341" s="1073"/>
      <c r="U341" s="1073"/>
      <c r="V341" s="1073"/>
      <c r="W341" s="1073"/>
      <c r="X341" s="1073"/>
      <c r="Y341" s="1073"/>
      <c r="Z341" s="1073"/>
    </row>
    <row r="342" spans="1:26" ht="12.75" customHeight="1">
      <c r="A342" s="1073"/>
      <c r="B342" s="1073"/>
      <c r="C342" s="1073"/>
      <c r="D342" s="1073"/>
      <c r="E342" s="1073"/>
      <c r="F342" s="1073"/>
      <c r="G342" s="1073"/>
      <c r="H342" s="1073"/>
      <c r="I342" s="1073"/>
      <c r="J342" s="1073"/>
      <c r="K342" s="1073"/>
      <c r="L342" s="1073"/>
      <c r="M342" s="1073"/>
      <c r="N342" s="1073"/>
      <c r="O342" s="1073"/>
      <c r="P342" s="1073"/>
      <c r="Q342" s="1073"/>
      <c r="R342" s="1073"/>
      <c r="S342" s="1073"/>
      <c r="T342" s="1073"/>
      <c r="U342" s="1073"/>
      <c r="V342" s="1073"/>
      <c r="W342" s="1073"/>
      <c r="X342" s="1073"/>
      <c r="Y342" s="1073"/>
      <c r="Z342" s="1073"/>
    </row>
    <row r="343" spans="1:26" ht="12.75" customHeight="1">
      <c r="A343" s="1073"/>
      <c r="B343" s="1073"/>
      <c r="C343" s="1073"/>
      <c r="D343" s="1073"/>
      <c r="E343" s="1073"/>
      <c r="F343" s="1073"/>
      <c r="G343" s="1073"/>
      <c r="H343" s="1073"/>
      <c r="I343" s="1073"/>
      <c r="J343" s="1073"/>
      <c r="K343" s="1073"/>
      <c r="L343" s="1073"/>
      <c r="M343" s="1073"/>
      <c r="N343" s="1073"/>
      <c r="O343" s="1073"/>
      <c r="P343" s="1073"/>
      <c r="Q343" s="1073"/>
      <c r="R343" s="1073"/>
      <c r="S343" s="1073"/>
      <c r="T343" s="1073"/>
      <c r="U343" s="1073"/>
      <c r="V343" s="1073"/>
      <c r="W343" s="1073"/>
      <c r="X343" s="1073"/>
      <c r="Y343" s="1073"/>
      <c r="Z343" s="1073"/>
    </row>
    <row r="344" spans="1:26" ht="12.75" customHeight="1">
      <c r="A344" s="1073"/>
      <c r="B344" s="1073"/>
      <c r="C344" s="1073"/>
      <c r="D344" s="1073"/>
      <c r="E344" s="1073"/>
      <c r="F344" s="1073"/>
      <c r="G344" s="1073"/>
      <c r="H344" s="1073"/>
      <c r="I344" s="1073"/>
      <c r="J344" s="1073"/>
      <c r="K344" s="1073"/>
      <c r="L344" s="1073"/>
      <c r="M344" s="1073"/>
      <c r="N344" s="1073"/>
      <c r="O344" s="1073"/>
      <c r="P344" s="1073"/>
      <c r="Q344" s="1073"/>
      <c r="R344" s="1073"/>
      <c r="S344" s="1073"/>
      <c r="T344" s="1073"/>
      <c r="U344" s="1073"/>
      <c r="V344" s="1073"/>
      <c r="W344" s="1073"/>
      <c r="X344" s="1073"/>
      <c r="Y344" s="1073"/>
      <c r="Z344" s="1073"/>
    </row>
    <row r="345" spans="1:26" ht="12.75" customHeight="1">
      <c r="A345" s="1073"/>
      <c r="B345" s="1073"/>
      <c r="C345" s="1073"/>
      <c r="D345" s="1073"/>
      <c r="E345" s="1073"/>
      <c r="F345" s="1073"/>
      <c r="G345" s="1073"/>
      <c r="H345" s="1073"/>
      <c r="I345" s="1073"/>
      <c r="J345" s="1073"/>
      <c r="K345" s="1073"/>
      <c r="L345" s="1073"/>
      <c r="M345" s="1073"/>
      <c r="N345" s="1073"/>
      <c r="O345" s="1073"/>
      <c r="P345" s="1073"/>
      <c r="Q345" s="1073"/>
      <c r="R345" s="1073"/>
      <c r="S345" s="1073"/>
      <c r="T345" s="1073"/>
      <c r="U345" s="1073"/>
      <c r="V345" s="1073"/>
      <c r="W345" s="1073"/>
      <c r="X345" s="1073"/>
      <c r="Y345" s="1073"/>
      <c r="Z345" s="1073"/>
    </row>
    <row r="346" spans="1:26" ht="12.75" customHeight="1">
      <c r="A346" s="1073"/>
      <c r="B346" s="1073"/>
      <c r="C346" s="1073"/>
      <c r="D346" s="1073"/>
      <c r="E346" s="1073"/>
      <c r="F346" s="1073"/>
      <c r="G346" s="1073"/>
      <c r="H346" s="1073"/>
      <c r="I346" s="1073"/>
      <c r="J346" s="1073"/>
      <c r="K346" s="1073"/>
      <c r="L346" s="1073"/>
      <c r="M346" s="1073"/>
      <c r="N346" s="1073"/>
      <c r="O346" s="1073"/>
      <c r="P346" s="1073"/>
      <c r="Q346" s="1073"/>
      <c r="R346" s="1073"/>
      <c r="S346" s="1073"/>
      <c r="T346" s="1073"/>
      <c r="U346" s="1073"/>
      <c r="V346" s="1073"/>
      <c r="W346" s="1073"/>
      <c r="X346" s="1073"/>
      <c r="Y346" s="1073"/>
      <c r="Z346" s="1073"/>
    </row>
    <row r="347" spans="1:26" ht="12.75" customHeight="1">
      <c r="A347" s="1073"/>
      <c r="B347" s="1073"/>
      <c r="C347" s="1073"/>
      <c r="D347" s="1073"/>
      <c r="E347" s="1073"/>
      <c r="F347" s="1073"/>
      <c r="G347" s="1073"/>
      <c r="H347" s="1073"/>
      <c r="I347" s="1073"/>
      <c r="J347" s="1073"/>
      <c r="K347" s="1073"/>
      <c r="L347" s="1073"/>
      <c r="M347" s="1073"/>
      <c r="N347" s="1073"/>
      <c r="O347" s="1073"/>
      <c r="P347" s="1073"/>
      <c r="Q347" s="1073"/>
      <c r="R347" s="1073"/>
      <c r="S347" s="1073"/>
      <c r="T347" s="1073"/>
      <c r="U347" s="1073"/>
      <c r="V347" s="1073"/>
      <c r="W347" s="1073"/>
      <c r="X347" s="1073"/>
      <c r="Y347" s="1073"/>
      <c r="Z347" s="1073"/>
    </row>
    <row r="348" spans="1:26" ht="12.75" customHeight="1">
      <c r="A348" s="1073"/>
      <c r="B348" s="1073"/>
      <c r="C348" s="1073"/>
      <c r="D348" s="1073"/>
      <c r="E348" s="1073"/>
      <c r="F348" s="1073"/>
      <c r="G348" s="1073"/>
      <c r="H348" s="1073"/>
      <c r="I348" s="1073"/>
      <c r="J348" s="1073"/>
      <c r="K348" s="1073"/>
      <c r="L348" s="1073"/>
      <c r="M348" s="1073"/>
      <c r="N348" s="1073"/>
      <c r="O348" s="1073"/>
      <c r="P348" s="1073"/>
      <c r="Q348" s="1073"/>
      <c r="R348" s="1073"/>
      <c r="S348" s="1073"/>
      <c r="T348" s="1073"/>
      <c r="U348" s="1073"/>
      <c r="V348" s="1073"/>
      <c r="W348" s="1073"/>
      <c r="X348" s="1073"/>
      <c r="Y348" s="1073"/>
      <c r="Z348" s="1073"/>
    </row>
    <row r="349" spans="1:26" ht="12.75" customHeight="1">
      <c r="A349" s="1073"/>
      <c r="B349" s="1073"/>
      <c r="C349" s="1073"/>
      <c r="D349" s="1073"/>
      <c r="E349" s="1073"/>
      <c r="F349" s="1073"/>
      <c r="G349" s="1073"/>
      <c r="H349" s="1073"/>
      <c r="I349" s="1073"/>
      <c r="J349" s="1073"/>
      <c r="K349" s="1073"/>
      <c r="L349" s="1073"/>
      <c r="M349" s="1073"/>
      <c r="N349" s="1073"/>
      <c r="O349" s="1073"/>
      <c r="P349" s="1073"/>
      <c r="Q349" s="1073"/>
      <c r="R349" s="1073"/>
      <c r="S349" s="1073"/>
      <c r="T349" s="1073"/>
      <c r="U349" s="1073"/>
      <c r="V349" s="1073"/>
      <c r="W349" s="1073"/>
      <c r="X349" s="1073"/>
      <c r="Y349" s="1073"/>
      <c r="Z349" s="1073"/>
    </row>
    <row r="350" spans="1:26" ht="12.75" customHeight="1">
      <c r="A350" s="1073"/>
      <c r="B350" s="1073"/>
      <c r="C350" s="1073"/>
      <c r="D350" s="1073"/>
      <c r="E350" s="1073"/>
      <c r="F350" s="1073"/>
      <c r="G350" s="1073"/>
      <c r="H350" s="1073"/>
      <c r="I350" s="1073"/>
      <c r="J350" s="1073"/>
      <c r="K350" s="1073"/>
      <c r="L350" s="1073"/>
      <c r="M350" s="1073"/>
      <c r="N350" s="1073"/>
      <c r="O350" s="1073"/>
      <c r="P350" s="1073"/>
      <c r="Q350" s="1073"/>
      <c r="R350" s="1073"/>
      <c r="S350" s="1073"/>
      <c r="T350" s="1073"/>
      <c r="U350" s="1073"/>
      <c r="V350" s="1073"/>
      <c r="W350" s="1073"/>
      <c r="X350" s="1073"/>
      <c r="Y350" s="1073"/>
      <c r="Z350" s="1073"/>
    </row>
    <row r="351" spans="1:26" ht="12.75" customHeight="1">
      <c r="A351" s="1073"/>
      <c r="B351" s="1073"/>
      <c r="C351" s="1073"/>
      <c r="D351" s="1073"/>
      <c r="E351" s="1073"/>
      <c r="F351" s="1073"/>
      <c r="G351" s="1073"/>
      <c r="H351" s="1073"/>
      <c r="I351" s="1073"/>
      <c r="J351" s="1073"/>
      <c r="K351" s="1073"/>
      <c r="L351" s="1073"/>
      <c r="M351" s="1073"/>
      <c r="N351" s="1073"/>
      <c r="O351" s="1073"/>
      <c r="P351" s="1073"/>
      <c r="Q351" s="1073"/>
      <c r="R351" s="1073"/>
      <c r="S351" s="1073"/>
      <c r="T351" s="1073"/>
      <c r="U351" s="1073"/>
      <c r="V351" s="1073"/>
      <c r="W351" s="1073"/>
      <c r="X351" s="1073"/>
      <c r="Y351" s="1073"/>
      <c r="Z351" s="1073"/>
    </row>
    <row r="352" spans="1:26" ht="12.75" customHeight="1">
      <c r="A352" s="1073"/>
      <c r="B352" s="1073"/>
      <c r="C352" s="1073"/>
      <c r="D352" s="1073"/>
      <c r="E352" s="1073"/>
      <c r="F352" s="1073"/>
      <c r="G352" s="1073"/>
      <c r="H352" s="1073"/>
      <c r="I352" s="1073"/>
      <c r="J352" s="1073"/>
      <c r="K352" s="1073"/>
      <c r="L352" s="1073"/>
      <c r="M352" s="1073"/>
      <c r="N352" s="1073"/>
      <c r="O352" s="1073"/>
      <c r="P352" s="1073"/>
      <c r="Q352" s="1073"/>
      <c r="R352" s="1073"/>
      <c r="S352" s="1073"/>
      <c r="T352" s="1073"/>
      <c r="U352" s="1073"/>
      <c r="V352" s="1073"/>
      <c r="W352" s="1073"/>
      <c r="X352" s="1073"/>
      <c r="Y352" s="1073"/>
      <c r="Z352" s="1073"/>
    </row>
    <row r="353" spans="1:26" ht="12.75" customHeight="1">
      <c r="A353" s="1073"/>
      <c r="B353" s="1073"/>
      <c r="C353" s="1073"/>
      <c r="D353" s="1073"/>
      <c r="E353" s="1073"/>
      <c r="F353" s="1073"/>
      <c r="G353" s="1073"/>
      <c r="H353" s="1073"/>
      <c r="I353" s="1073"/>
      <c r="J353" s="1073"/>
      <c r="K353" s="1073"/>
      <c r="L353" s="1073"/>
      <c r="M353" s="1073"/>
      <c r="N353" s="1073"/>
      <c r="O353" s="1073"/>
      <c r="P353" s="1073"/>
      <c r="Q353" s="1073"/>
      <c r="R353" s="1073"/>
      <c r="S353" s="1073"/>
      <c r="T353" s="1073"/>
      <c r="U353" s="1073"/>
      <c r="V353" s="1073"/>
      <c r="W353" s="1073"/>
      <c r="X353" s="1073"/>
      <c r="Y353" s="1073"/>
      <c r="Z353" s="1073"/>
    </row>
    <row r="354" spans="1:26" ht="12.75" customHeight="1">
      <c r="A354" s="1073"/>
      <c r="B354" s="1073"/>
      <c r="C354" s="1073"/>
      <c r="D354" s="1073"/>
      <c r="E354" s="1073"/>
      <c r="F354" s="1073"/>
      <c r="G354" s="1073"/>
      <c r="H354" s="1073"/>
      <c r="I354" s="1073"/>
      <c r="J354" s="1073"/>
      <c r="K354" s="1073"/>
      <c r="L354" s="1073"/>
      <c r="M354" s="1073"/>
      <c r="N354" s="1073"/>
      <c r="O354" s="1073"/>
      <c r="P354" s="1073"/>
      <c r="Q354" s="1073"/>
      <c r="R354" s="1073"/>
      <c r="S354" s="1073"/>
      <c r="T354" s="1073"/>
      <c r="U354" s="1073"/>
      <c r="V354" s="1073"/>
      <c r="W354" s="1073"/>
      <c r="X354" s="1073"/>
      <c r="Y354" s="1073"/>
      <c r="Z354" s="1073"/>
    </row>
    <row r="355" spans="1:26" ht="12.75" customHeight="1">
      <c r="A355" s="1073"/>
      <c r="B355" s="1073"/>
      <c r="C355" s="1073"/>
      <c r="D355" s="1073"/>
      <c r="E355" s="1073"/>
      <c r="F355" s="1073"/>
      <c r="G355" s="1073"/>
      <c r="H355" s="1073"/>
      <c r="I355" s="1073"/>
      <c r="J355" s="1073"/>
      <c r="K355" s="1073"/>
      <c r="L355" s="1073"/>
      <c r="M355" s="1073"/>
      <c r="N355" s="1073"/>
      <c r="O355" s="1073"/>
      <c r="P355" s="1073"/>
      <c r="Q355" s="1073"/>
      <c r="R355" s="1073"/>
      <c r="S355" s="1073"/>
      <c r="T355" s="1073"/>
      <c r="U355" s="1073"/>
      <c r="V355" s="1073"/>
      <c r="W355" s="1073"/>
      <c r="X355" s="1073"/>
      <c r="Y355" s="1073"/>
      <c r="Z355" s="1073"/>
    </row>
    <row r="356" spans="1:26" ht="12.75" customHeight="1">
      <c r="A356" s="1073"/>
      <c r="B356" s="1073"/>
      <c r="C356" s="1073"/>
      <c r="D356" s="1073"/>
      <c r="E356" s="1073"/>
      <c r="F356" s="1073"/>
      <c r="G356" s="1073"/>
      <c r="H356" s="1073"/>
      <c r="I356" s="1073"/>
      <c r="J356" s="1073"/>
      <c r="K356" s="1073"/>
      <c r="L356" s="1073"/>
      <c r="M356" s="1073"/>
      <c r="N356" s="1073"/>
      <c r="O356" s="1073"/>
      <c r="P356" s="1073"/>
      <c r="Q356" s="1073"/>
      <c r="R356" s="1073"/>
      <c r="S356" s="1073"/>
      <c r="T356" s="1073"/>
      <c r="U356" s="1073"/>
      <c r="V356" s="1073"/>
      <c r="W356" s="1073"/>
      <c r="X356" s="1073"/>
      <c r="Y356" s="1073"/>
      <c r="Z356" s="1073"/>
    </row>
    <row r="357" spans="1:26" ht="12.75" customHeight="1">
      <c r="A357" s="1073"/>
      <c r="B357" s="1073"/>
      <c r="C357" s="1073"/>
      <c r="D357" s="1073"/>
      <c r="E357" s="1073"/>
      <c r="F357" s="1073"/>
      <c r="G357" s="1073"/>
      <c r="H357" s="1073"/>
      <c r="I357" s="1073"/>
      <c r="J357" s="1073"/>
      <c r="K357" s="1073"/>
      <c r="L357" s="1073"/>
      <c r="M357" s="1073"/>
      <c r="N357" s="1073"/>
      <c r="O357" s="1073"/>
      <c r="P357" s="1073"/>
      <c r="Q357" s="1073"/>
      <c r="R357" s="1073"/>
      <c r="S357" s="1073"/>
      <c r="T357" s="1073"/>
      <c r="U357" s="1073"/>
      <c r="V357" s="1073"/>
      <c r="W357" s="1073"/>
      <c r="X357" s="1073"/>
      <c r="Y357" s="1073"/>
      <c r="Z357" s="1073"/>
    </row>
    <row r="358" spans="1:26" ht="12.75" customHeight="1">
      <c r="A358" s="1073"/>
      <c r="B358" s="1073"/>
      <c r="C358" s="1073"/>
      <c r="D358" s="1073"/>
      <c r="E358" s="1073"/>
      <c r="F358" s="1073"/>
      <c r="G358" s="1073"/>
      <c r="H358" s="1073"/>
      <c r="I358" s="1073"/>
      <c r="J358" s="1073"/>
      <c r="K358" s="1073"/>
      <c r="L358" s="1073"/>
      <c r="M358" s="1073"/>
      <c r="N358" s="1073"/>
      <c r="O358" s="1073"/>
      <c r="P358" s="1073"/>
      <c r="Q358" s="1073"/>
      <c r="R358" s="1073"/>
      <c r="S358" s="1073"/>
      <c r="T358" s="1073"/>
      <c r="U358" s="1073"/>
      <c r="V358" s="1073"/>
      <c r="W358" s="1073"/>
      <c r="X358" s="1073"/>
      <c r="Y358" s="1073"/>
      <c r="Z358" s="1073"/>
    </row>
    <row r="359" spans="1:26" ht="12.75" customHeight="1">
      <c r="A359" s="1073"/>
      <c r="B359" s="1073"/>
      <c r="C359" s="1073"/>
      <c r="D359" s="1073"/>
      <c r="E359" s="1073"/>
      <c r="F359" s="1073"/>
      <c r="G359" s="1073"/>
      <c r="H359" s="1073"/>
      <c r="I359" s="1073"/>
      <c r="J359" s="1073"/>
      <c r="K359" s="1073"/>
      <c r="L359" s="1073"/>
      <c r="M359" s="1073"/>
      <c r="N359" s="1073"/>
      <c r="O359" s="1073"/>
      <c r="P359" s="1073"/>
      <c r="Q359" s="1073"/>
      <c r="R359" s="1073"/>
      <c r="S359" s="1073"/>
      <c r="T359" s="1073"/>
      <c r="U359" s="1073"/>
      <c r="V359" s="1073"/>
      <c r="W359" s="1073"/>
      <c r="X359" s="1073"/>
      <c r="Y359" s="1073"/>
      <c r="Z359" s="1073"/>
    </row>
    <row r="360" spans="1:26" ht="12.75" customHeight="1">
      <c r="A360" s="1073"/>
      <c r="B360" s="1073"/>
      <c r="C360" s="1073"/>
      <c r="D360" s="1073"/>
      <c r="E360" s="1073"/>
      <c r="F360" s="1073"/>
      <c r="G360" s="1073"/>
      <c r="H360" s="1073"/>
      <c r="I360" s="1073"/>
      <c r="J360" s="1073"/>
      <c r="K360" s="1073"/>
      <c r="L360" s="1073"/>
      <c r="M360" s="1073"/>
      <c r="N360" s="1073"/>
      <c r="O360" s="1073"/>
      <c r="P360" s="1073"/>
      <c r="Q360" s="1073"/>
      <c r="R360" s="1073"/>
      <c r="S360" s="1073"/>
      <c r="T360" s="1073"/>
      <c r="U360" s="1073"/>
      <c r="V360" s="1073"/>
      <c r="W360" s="1073"/>
      <c r="X360" s="1073"/>
      <c r="Y360" s="1073"/>
      <c r="Z360" s="1073"/>
    </row>
    <row r="361" spans="1:26" ht="12.75" customHeight="1">
      <c r="A361" s="1073"/>
      <c r="B361" s="1073"/>
      <c r="C361" s="1073"/>
      <c r="D361" s="1073"/>
      <c r="E361" s="1073"/>
      <c r="F361" s="1073"/>
      <c r="G361" s="1073"/>
      <c r="H361" s="1073"/>
      <c r="I361" s="1073"/>
      <c r="J361" s="1073"/>
      <c r="K361" s="1073"/>
      <c r="L361" s="1073"/>
      <c r="M361" s="1073"/>
      <c r="N361" s="1073"/>
      <c r="O361" s="1073"/>
      <c r="P361" s="1073"/>
      <c r="Q361" s="1073"/>
      <c r="R361" s="1073"/>
      <c r="S361" s="1073"/>
      <c r="T361" s="1073"/>
      <c r="U361" s="1073"/>
      <c r="V361" s="1073"/>
      <c r="W361" s="1073"/>
      <c r="X361" s="1073"/>
      <c r="Y361" s="1073"/>
      <c r="Z361" s="1073"/>
    </row>
    <row r="362" spans="1:26" ht="12.75" customHeight="1">
      <c r="A362" s="1073"/>
      <c r="B362" s="1073"/>
      <c r="C362" s="1073"/>
      <c r="D362" s="1073"/>
      <c r="E362" s="1073"/>
      <c r="F362" s="1073"/>
      <c r="G362" s="1073"/>
      <c r="H362" s="1073"/>
      <c r="I362" s="1073"/>
      <c r="J362" s="1073"/>
      <c r="K362" s="1073"/>
      <c r="L362" s="1073"/>
      <c r="M362" s="1073"/>
      <c r="N362" s="1073"/>
      <c r="O362" s="1073"/>
      <c r="P362" s="1073"/>
      <c r="Q362" s="1073"/>
      <c r="R362" s="1073"/>
      <c r="S362" s="1073"/>
      <c r="T362" s="1073"/>
      <c r="U362" s="1073"/>
      <c r="V362" s="1073"/>
      <c r="W362" s="1073"/>
      <c r="X362" s="1073"/>
      <c r="Y362" s="1073"/>
      <c r="Z362" s="1073"/>
    </row>
    <row r="363" spans="1:26" ht="12.75" customHeight="1">
      <c r="A363" s="1073"/>
      <c r="B363" s="1073"/>
      <c r="C363" s="1073"/>
      <c r="D363" s="1073"/>
      <c r="E363" s="1073"/>
      <c r="F363" s="1073"/>
      <c r="G363" s="1073"/>
      <c r="H363" s="1073"/>
      <c r="I363" s="1073"/>
      <c r="J363" s="1073"/>
      <c r="K363" s="1073"/>
      <c r="L363" s="1073"/>
      <c r="M363" s="1073"/>
      <c r="N363" s="1073"/>
      <c r="O363" s="1073"/>
      <c r="P363" s="1073"/>
      <c r="Q363" s="1073"/>
      <c r="R363" s="1073"/>
      <c r="S363" s="1073"/>
      <c r="T363" s="1073"/>
      <c r="U363" s="1073"/>
      <c r="V363" s="1073"/>
      <c r="W363" s="1073"/>
      <c r="X363" s="1073"/>
      <c r="Y363" s="1073"/>
      <c r="Z363" s="1073"/>
    </row>
    <row r="364" spans="1:26" ht="12.75" customHeight="1">
      <c r="A364" s="1073"/>
      <c r="B364" s="1073"/>
      <c r="C364" s="1073"/>
      <c r="D364" s="1073"/>
      <c r="E364" s="1073"/>
      <c r="F364" s="1073"/>
      <c r="G364" s="1073"/>
      <c r="H364" s="1073"/>
      <c r="I364" s="1073"/>
      <c r="J364" s="1073"/>
      <c r="K364" s="1073"/>
      <c r="L364" s="1073"/>
      <c r="M364" s="1073"/>
      <c r="N364" s="1073"/>
      <c r="O364" s="1073"/>
      <c r="P364" s="1073"/>
      <c r="Q364" s="1073"/>
      <c r="R364" s="1073"/>
      <c r="S364" s="1073"/>
      <c r="T364" s="1073"/>
      <c r="U364" s="1073"/>
      <c r="V364" s="1073"/>
      <c r="W364" s="1073"/>
      <c r="X364" s="1073"/>
      <c r="Y364" s="1073"/>
      <c r="Z364" s="1073"/>
    </row>
    <row r="365" spans="1:26" ht="12.75" customHeight="1">
      <c r="A365" s="1073"/>
      <c r="B365" s="1073"/>
      <c r="C365" s="1073"/>
      <c r="D365" s="1073"/>
      <c r="E365" s="1073"/>
      <c r="F365" s="1073"/>
      <c r="G365" s="1073"/>
      <c r="H365" s="1073"/>
      <c r="I365" s="1073"/>
      <c r="J365" s="1073"/>
      <c r="K365" s="1073"/>
      <c r="L365" s="1073"/>
      <c r="M365" s="1073"/>
      <c r="N365" s="1073"/>
      <c r="O365" s="1073"/>
      <c r="P365" s="1073"/>
      <c r="Q365" s="1073"/>
      <c r="R365" s="1073"/>
      <c r="S365" s="1073"/>
      <c r="T365" s="1073"/>
      <c r="U365" s="1073"/>
      <c r="V365" s="1073"/>
      <c r="W365" s="1073"/>
      <c r="X365" s="1073"/>
      <c r="Y365" s="1073"/>
      <c r="Z365" s="1073"/>
    </row>
    <row r="366" spans="1:26" ht="12.75" customHeight="1">
      <c r="A366" s="1073"/>
      <c r="B366" s="1073"/>
      <c r="C366" s="1073"/>
      <c r="D366" s="1073"/>
      <c r="E366" s="1073"/>
      <c r="F366" s="1073"/>
      <c r="G366" s="1073"/>
      <c r="H366" s="1073"/>
      <c r="I366" s="1073"/>
      <c r="J366" s="1073"/>
      <c r="K366" s="1073"/>
      <c r="L366" s="1073"/>
      <c r="M366" s="1073"/>
      <c r="N366" s="1073"/>
      <c r="O366" s="1073"/>
      <c r="P366" s="1073"/>
      <c r="Q366" s="1073"/>
      <c r="R366" s="1073"/>
      <c r="S366" s="1073"/>
      <c r="T366" s="1073"/>
      <c r="U366" s="1073"/>
      <c r="V366" s="1073"/>
      <c r="W366" s="1073"/>
      <c r="X366" s="1073"/>
      <c r="Y366" s="1073"/>
      <c r="Z366" s="1073"/>
    </row>
    <row r="367" spans="1:26" ht="12.75" customHeight="1">
      <c r="A367" s="1073"/>
      <c r="B367" s="1073"/>
      <c r="C367" s="1073"/>
      <c r="D367" s="1073"/>
      <c r="E367" s="1073"/>
      <c r="F367" s="1073"/>
      <c r="G367" s="1073"/>
      <c r="H367" s="1073"/>
      <c r="I367" s="1073"/>
      <c r="J367" s="1073"/>
      <c r="K367" s="1073"/>
      <c r="L367" s="1073"/>
      <c r="M367" s="1073"/>
      <c r="N367" s="1073"/>
      <c r="O367" s="1073"/>
      <c r="P367" s="1073"/>
      <c r="Q367" s="1073"/>
      <c r="R367" s="1073"/>
      <c r="S367" s="1073"/>
      <c r="T367" s="1073"/>
      <c r="U367" s="1073"/>
      <c r="V367" s="1073"/>
      <c r="W367" s="1073"/>
      <c r="X367" s="1073"/>
      <c r="Y367" s="1073"/>
      <c r="Z367" s="1073"/>
    </row>
    <row r="368" spans="1:26" ht="12.75" customHeight="1">
      <c r="A368" s="1073"/>
      <c r="B368" s="1073"/>
      <c r="C368" s="1073"/>
      <c r="D368" s="1073"/>
      <c r="E368" s="1073"/>
      <c r="F368" s="1073"/>
      <c r="G368" s="1073"/>
      <c r="H368" s="1073"/>
      <c r="I368" s="1073"/>
      <c r="J368" s="1073"/>
      <c r="K368" s="1073"/>
      <c r="L368" s="1073"/>
      <c r="M368" s="1073"/>
      <c r="N368" s="1073"/>
      <c r="O368" s="1073"/>
      <c r="P368" s="1073"/>
      <c r="Q368" s="1073"/>
      <c r="R368" s="1073"/>
      <c r="S368" s="1073"/>
      <c r="T368" s="1073"/>
      <c r="U368" s="1073"/>
      <c r="V368" s="1073"/>
      <c r="W368" s="1073"/>
      <c r="X368" s="1073"/>
      <c r="Y368" s="1073"/>
      <c r="Z368" s="1073"/>
    </row>
    <row r="369" spans="1:26" ht="12.75" customHeight="1">
      <c r="A369" s="1073"/>
      <c r="B369" s="1073"/>
      <c r="C369" s="1073"/>
      <c r="D369" s="1073"/>
      <c r="E369" s="1073"/>
      <c r="F369" s="1073"/>
      <c r="G369" s="1073"/>
      <c r="H369" s="1073"/>
      <c r="I369" s="1073"/>
      <c r="J369" s="1073"/>
      <c r="K369" s="1073"/>
      <c r="L369" s="1073"/>
      <c r="M369" s="1073"/>
      <c r="N369" s="1073"/>
      <c r="O369" s="1073"/>
      <c r="P369" s="1073"/>
      <c r="Q369" s="1073"/>
      <c r="R369" s="1073"/>
      <c r="S369" s="1073"/>
      <c r="T369" s="1073"/>
      <c r="U369" s="1073"/>
      <c r="V369" s="1073"/>
      <c r="W369" s="1073"/>
      <c r="X369" s="1073"/>
      <c r="Y369" s="1073"/>
      <c r="Z369" s="1073"/>
    </row>
    <row r="370" spans="1:26" ht="12.75" customHeight="1">
      <c r="A370" s="1073"/>
      <c r="B370" s="1073"/>
      <c r="C370" s="1073"/>
      <c r="D370" s="1073"/>
      <c r="E370" s="1073"/>
      <c r="F370" s="1073"/>
      <c r="G370" s="1073"/>
      <c r="H370" s="1073"/>
      <c r="I370" s="1073"/>
      <c r="J370" s="1073"/>
      <c r="K370" s="1073"/>
      <c r="L370" s="1073"/>
      <c r="M370" s="1073"/>
      <c r="N370" s="1073"/>
      <c r="O370" s="1073"/>
      <c r="P370" s="1073"/>
      <c r="Q370" s="1073"/>
      <c r="R370" s="1073"/>
      <c r="S370" s="1073"/>
      <c r="T370" s="1073"/>
      <c r="U370" s="1073"/>
      <c r="V370" s="1073"/>
      <c r="W370" s="1073"/>
      <c r="X370" s="1073"/>
      <c r="Y370" s="1073"/>
      <c r="Z370" s="1073"/>
    </row>
    <row r="371" spans="1:26" ht="12.75" customHeight="1">
      <c r="A371" s="1073"/>
      <c r="B371" s="1073"/>
      <c r="C371" s="1073"/>
      <c r="D371" s="1073"/>
      <c r="E371" s="1073"/>
      <c r="F371" s="1073"/>
      <c r="G371" s="1073"/>
      <c r="H371" s="1073"/>
      <c r="I371" s="1073"/>
      <c r="J371" s="1073"/>
      <c r="K371" s="1073"/>
      <c r="L371" s="1073"/>
      <c r="M371" s="1073"/>
      <c r="N371" s="1073"/>
      <c r="O371" s="1073"/>
      <c r="P371" s="1073"/>
      <c r="Q371" s="1073"/>
      <c r="R371" s="1073"/>
      <c r="S371" s="1073"/>
      <c r="T371" s="1073"/>
      <c r="U371" s="1073"/>
      <c r="V371" s="1073"/>
      <c r="W371" s="1073"/>
      <c r="X371" s="1073"/>
      <c r="Y371" s="1073"/>
      <c r="Z371" s="1073"/>
    </row>
    <row r="372" spans="1:26" ht="12.75" customHeight="1">
      <c r="A372" s="1073"/>
      <c r="B372" s="1073"/>
      <c r="C372" s="1073"/>
      <c r="D372" s="1073"/>
      <c r="E372" s="1073"/>
      <c r="F372" s="1073"/>
      <c r="G372" s="1073"/>
      <c r="H372" s="1073"/>
      <c r="I372" s="1073"/>
      <c r="J372" s="1073"/>
      <c r="K372" s="1073"/>
      <c r="L372" s="1073"/>
      <c r="M372" s="1073"/>
      <c r="N372" s="1073"/>
      <c r="O372" s="1073"/>
      <c r="P372" s="1073"/>
      <c r="Q372" s="1073"/>
      <c r="R372" s="1073"/>
      <c r="S372" s="1073"/>
      <c r="T372" s="1073"/>
      <c r="U372" s="1073"/>
      <c r="V372" s="1073"/>
      <c r="W372" s="1073"/>
      <c r="X372" s="1073"/>
      <c r="Y372" s="1073"/>
      <c r="Z372" s="1073"/>
    </row>
    <row r="373" spans="1:26" ht="12.75" customHeight="1">
      <c r="A373" s="1073"/>
      <c r="B373" s="1073"/>
      <c r="C373" s="1073"/>
      <c r="D373" s="1073"/>
      <c r="E373" s="1073"/>
      <c r="F373" s="1073"/>
      <c r="G373" s="1073"/>
      <c r="H373" s="1073"/>
      <c r="I373" s="1073"/>
      <c r="J373" s="1073"/>
      <c r="K373" s="1073"/>
      <c r="L373" s="1073"/>
      <c r="M373" s="1073"/>
      <c r="N373" s="1073"/>
      <c r="O373" s="1073"/>
      <c r="P373" s="1073"/>
      <c r="Q373" s="1073"/>
      <c r="R373" s="1073"/>
      <c r="S373" s="1073"/>
      <c r="T373" s="1073"/>
      <c r="U373" s="1073"/>
      <c r="V373" s="1073"/>
      <c r="W373" s="1073"/>
      <c r="X373" s="1073"/>
      <c r="Y373" s="1073"/>
      <c r="Z373" s="1073"/>
    </row>
    <row r="374" spans="1:26" ht="12.75" customHeight="1">
      <c r="A374" s="1073"/>
      <c r="B374" s="1073"/>
      <c r="C374" s="1073"/>
      <c r="D374" s="1073"/>
      <c r="E374" s="1073"/>
      <c r="F374" s="1073"/>
      <c r="G374" s="1073"/>
      <c r="H374" s="1073"/>
      <c r="I374" s="1073"/>
      <c r="J374" s="1073"/>
      <c r="K374" s="1073"/>
      <c r="L374" s="1073"/>
      <c r="M374" s="1073"/>
      <c r="N374" s="1073"/>
      <c r="O374" s="1073"/>
      <c r="P374" s="1073"/>
      <c r="Q374" s="1073"/>
      <c r="R374" s="1073"/>
      <c r="S374" s="1073"/>
      <c r="T374" s="1073"/>
      <c r="U374" s="1073"/>
      <c r="V374" s="1073"/>
      <c r="W374" s="1073"/>
      <c r="X374" s="1073"/>
      <c r="Y374" s="1073"/>
      <c r="Z374" s="1073"/>
    </row>
    <row r="375" spans="1:26" ht="12.75" customHeight="1">
      <c r="A375" s="1073"/>
      <c r="B375" s="1073"/>
      <c r="C375" s="1073"/>
      <c r="D375" s="1073"/>
      <c r="E375" s="1073"/>
      <c r="F375" s="1073"/>
      <c r="G375" s="1073"/>
      <c r="H375" s="1073"/>
      <c r="I375" s="1073"/>
      <c r="J375" s="1073"/>
      <c r="K375" s="1073"/>
      <c r="L375" s="1073"/>
      <c r="M375" s="1073"/>
      <c r="N375" s="1073"/>
      <c r="O375" s="1073"/>
      <c r="P375" s="1073"/>
      <c r="Q375" s="1073"/>
      <c r="R375" s="1073"/>
      <c r="S375" s="1073"/>
      <c r="T375" s="1073"/>
      <c r="U375" s="1073"/>
      <c r="V375" s="1073"/>
      <c r="W375" s="1073"/>
      <c r="X375" s="1073"/>
      <c r="Y375" s="1073"/>
      <c r="Z375" s="1073"/>
    </row>
    <row r="376" spans="1:26" ht="12.75" customHeight="1">
      <c r="A376" s="1073"/>
      <c r="B376" s="1073"/>
      <c r="C376" s="1073"/>
      <c r="D376" s="1073"/>
      <c r="E376" s="1073"/>
      <c r="F376" s="1073"/>
      <c r="G376" s="1073"/>
      <c r="H376" s="1073"/>
      <c r="I376" s="1073"/>
      <c r="J376" s="1073"/>
      <c r="K376" s="1073"/>
      <c r="L376" s="1073"/>
      <c r="M376" s="1073"/>
      <c r="N376" s="1073"/>
      <c r="O376" s="1073"/>
      <c r="P376" s="1073"/>
      <c r="Q376" s="1073"/>
      <c r="R376" s="1073"/>
      <c r="S376" s="1073"/>
      <c r="T376" s="1073"/>
      <c r="U376" s="1073"/>
      <c r="V376" s="1073"/>
      <c r="W376" s="1073"/>
      <c r="X376" s="1073"/>
      <c r="Y376" s="1073"/>
      <c r="Z376" s="1073"/>
    </row>
    <row r="377" spans="1:26" ht="12.75" customHeight="1">
      <c r="A377" s="1073"/>
      <c r="B377" s="1073"/>
      <c r="C377" s="1073"/>
      <c r="D377" s="1073"/>
      <c r="E377" s="1073"/>
      <c r="F377" s="1073"/>
      <c r="G377" s="1073"/>
      <c r="H377" s="1073"/>
      <c r="I377" s="1073"/>
      <c r="J377" s="1073"/>
      <c r="K377" s="1073"/>
      <c r="L377" s="1073"/>
      <c r="M377" s="1073"/>
      <c r="N377" s="1073"/>
      <c r="O377" s="1073"/>
      <c r="P377" s="1073"/>
      <c r="Q377" s="1073"/>
      <c r="R377" s="1073"/>
      <c r="S377" s="1073"/>
      <c r="T377" s="1073"/>
      <c r="U377" s="1073"/>
      <c r="V377" s="1073"/>
      <c r="W377" s="1073"/>
      <c r="X377" s="1073"/>
      <c r="Y377" s="1073"/>
      <c r="Z377" s="1073"/>
    </row>
    <row r="378" spans="1:26" ht="12.75" customHeight="1">
      <c r="A378" s="1073"/>
      <c r="B378" s="1073"/>
      <c r="C378" s="1073"/>
      <c r="D378" s="1073"/>
      <c r="E378" s="1073"/>
      <c r="F378" s="1073"/>
      <c r="G378" s="1073"/>
      <c r="H378" s="1073"/>
      <c r="I378" s="1073"/>
      <c r="J378" s="1073"/>
      <c r="K378" s="1073"/>
      <c r="L378" s="1073"/>
      <c r="M378" s="1073"/>
      <c r="N378" s="1073"/>
      <c r="O378" s="1073"/>
      <c r="P378" s="1073"/>
      <c r="Q378" s="1073"/>
      <c r="R378" s="1073"/>
      <c r="S378" s="1073"/>
      <c r="T378" s="1073"/>
      <c r="U378" s="1073"/>
      <c r="V378" s="1073"/>
      <c r="W378" s="1073"/>
      <c r="X378" s="1073"/>
      <c r="Y378" s="1073"/>
      <c r="Z378" s="1073"/>
    </row>
    <row r="379" spans="1:26" ht="12.75" customHeight="1">
      <c r="A379" s="1073"/>
      <c r="B379" s="1073"/>
      <c r="C379" s="1073"/>
      <c r="D379" s="1073"/>
      <c r="E379" s="1073"/>
      <c r="F379" s="1073"/>
      <c r="G379" s="1073"/>
      <c r="H379" s="1073"/>
      <c r="I379" s="1073"/>
      <c r="J379" s="1073"/>
      <c r="K379" s="1073"/>
      <c r="L379" s="1073"/>
      <c r="M379" s="1073"/>
      <c r="N379" s="1073"/>
      <c r="O379" s="1073"/>
      <c r="P379" s="1073"/>
      <c r="Q379" s="1073"/>
      <c r="R379" s="1073"/>
      <c r="S379" s="1073"/>
      <c r="T379" s="1073"/>
      <c r="U379" s="1073"/>
      <c r="V379" s="1073"/>
      <c r="W379" s="1073"/>
      <c r="X379" s="1073"/>
      <c r="Y379" s="1073"/>
      <c r="Z379" s="1073"/>
    </row>
    <row r="380" spans="1:26" ht="12.75" customHeight="1">
      <c r="A380" s="1073"/>
      <c r="B380" s="1073"/>
      <c r="C380" s="1073"/>
      <c r="D380" s="1073"/>
      <c r="E380" s="1073"/>
      <c r="F380" s="1073"/>
      <c r="G380" s="1073"/>
      <c r="H380" s="1073"/>
      <c r="I380" s="1073"/>
      <c r="J380" s="1073"/>
      <c r="K380" s="1073"/>
      <c r="L380" s="1073"/>
      <c r="M380" s="1073"/>
      <c r="N380" s="1073"/>
      <c r="O380" s="1073"/>
      <c r="P380" s="1073"/>
      <c r="Q380" s="1073"/>
      <c r="R380" s="1073"/>
      <c r="S380" s="1073"/>
      <c r="T380" s="1073"/>
      <c r="U380" s="1073"/>
      <c r="V380" s="1073"/>
      <c r="W380" s="1073"/>
      <c r="X380" s="1073"/>
      <c r="Y380" s="1073"/>
      <c r="Z380" s="1073"/>
    </row>
    <row r="381" spans="1:26" ht="12.75" customHeight="1">
      <c r="A381" s="1073"/>
      <c r="B381" s="1073"/>
      <c r="C381" s="1073"/>
      <c r="D381" s="1073"/>
      <c r="E381" s="1073"/>
      <c r="F381" s="1073"/>
      <c r="G381" s="1073"/>
      <c r="H381" s="1073"/>
      <c r="I381" s="1073"/>
      <c r="J381" s="1073"/>
      <c r="K381" s="1073"/>
      <c r="L381" s="1073"/>
      <c r="M381" s="1073"/>
      <c r="N381" s="1073"/>
      <c r="O381" s="1073"/>
      <c r="P381" s="1073"/>
      <c r="Q381" s="1073"/>
      <c r="R381" s="1073"/>
      <c r="S381" s="1073"/>
      <c r="T381" s="1073"/>
      <c r="U381" s="1073"/>
      <c r="V381" s="1073"/>
      <c r="W381" s="1073"/>
      <c r="X381" s="1073"/>
      <c r="Y381" s="1073"/>
      <c r="Z381" s="1073"/>
    </row>
    <row r="382" spans="1:26" ht="12.75" customHeight="1">
      <c r="A382" s="1073"/>
      <c r="B382" s="1073"/>
      <c r="C382" s="1073"/>
      <c r="D382" s="1073"/>
      <c r="E382" s="1073"/>
      <c r="F382" s="1073"/>
      <c r="G382" s="1073"/>
      <c r="H382" s="1073"/>
      <c r="I382" s="1073"/>
      <c r="J382" s="1073"/>
      <c r="K382" s="1073"/>
      <c r="L382" s="1073"/>
      <c r="M382" s="1073"/>
      <c r="N382" s="1073"/>
      <c r="O382" s="1073"/>
      <c r="P382" s="1073"/>
      <c r="Q382" s="1073"/>
      <c r="R382" s="1073"/>
      <c r="S382" s="1073"/>
      <c r="T382" s="1073"/>
      <c r="U382" s="1073"/>
      <c r="V382" s="1073"/>
      <c r="W382" s="1073"/>
      <c r="X382" s="1073"/>
      <c r="Y382" s="1073"/>
      <c r="Z382" s="1073"/>
    </row>
    <row r="383" spans="1:26" ht="12.75" customHeight="1">
      <c r="A383" s="1073"/>
      <c r="B383" s="1073"/>
      <c r="C383" s="1073"/>
      <c r="D383" s="1073"/>
      <c r="E383" s="1073"/>
      <c r="F383" s="1073"/>
      <c r="G383" s="1073"/>
      <c r="H383" s="1073"/>
      <c r="I383" s="1073"/>
      <c r="J383" s="1073"/>
      <c r="K383" s="1073"/>
      <c r="L383" s="1073"/>
      <c r="M383" s="1073"/>
      <c r="N383" s="1073"/>
      <c r="O383" s="1073"/>
      <c r="P383" s="1073"/>
      <c r="Q383" s="1073"/>
      <c r="R383" s="1073"/>
      <c r="S383" s="1073"/>
      <c r="T383" s="1073"/>
      <c r="U383" s="1073"/>
      <c r="V383" s="1073"/>
      <c r="W383" s="1073"/>
      <c r="X383" s="1073"/>
      <c r="Y383" s="1073"/>
      <c r="Z383" s="1073"/>
    </row>
    <row r="384" spans="1:26" ht="12.75" customHeight="1">
      <c r="A384" s="1073"/>
      <c r="B384" s="1073"/>
      <c r="C384" s="1073"/>
      <c r="D384" s="1073"/>
      <c r="E384" s="1073"/>
      <c r="F384" s="1073"/>
      <c r="G384" s="1073"/>
      <c r="H384" s="1073"/>
      <c r="I384" s="1073"/>
      <c r="J384" s="1073"/>
      <c r="K384" s="1073"/>
      <c r="L384" s="1073"/>
      <c r="M384" s="1073"/>
      <c r="N384" s="1073"/>
      <c r="O384" s="1073"/>
      <c r="P384" s="1073"/>
      <c r="Q384" s="1073"/>
      <c r="R384" s="1073"/>
      <c r="S384" s="1073"/>
      <c r="T384" s="1073"/>
      <c r="U384" s="1073"/>
      <c r="V384" s="1073"/>
      <c r="W384" s="1073"/>
      <c r="X384" s="1073"/>
      <c r="Y384" s="1073"/>
      <c r="Z384" s="1073"/>
    </row>
    <row r="385" spans="1:26" ht="12.75" customHeight="1">
      <c r="A385" s="1073"/>
      <c r="B385" s="1073"/>
      <c r="C385" s="1073"/>
      <c r="D385" s="1073"/>
      <c r="E385" s="1073"/>
      <c r="F385" s="1073"/>
      <c r="G385" s="1073"/>
      <c r="H385" s="1073"/>
      <c r="I385" s="1073"/>
      <c r="J385" s="1073"/>
      <c r="K385" s="1073"/>
      <c r="L385" s="1073"/>
      <c r="M385" s="1073"/>
      <c r="N385" s="1073"/>
      <c r="O385" s="1073"/>
      <c r="P385" s="1073"/>
      <c r="Q385" s="1073"/>
      <c r="R385" s="1073"/>
      <c r="S385" s="1073"/>
      <c r="T385" s="1073"/>
      <c r="U385" s="1073"/>
      <c r="V385" s="1073"/>
      <c r="W385" s="1073"/>
      <c r="X385" s="1073"/>
      <c r="Y385" s="1073"/>
      <c r="Z385" s="1073"/>
    </row>
    <row r="386" spans="1:26" ht="12.75" customHeight="1">
      <c r="A386" s="1073"/>
      <c r="B386" s="1073"/>
      <c r="C386" s="1073"/>
      <c r="D386" s="1073"/>
      <c r="E386" s="1073"/>
      <c r="F386" s="1073"/>
      <c r="G386" s="1073"/>
      <c r="H386" s="1073"/>
      <c r="I386" s="1073"/>
      <c r="J386" s="1073"/>
      <c r="K386" s="1073"/>
      <c r="L386" s="1073"/>
      <c r="M386" s="1073"/>
      <c r="N386" s="1073"/>
      <c r="O386" s="1073"/>
      <c r="P386" s="1073"/>
      <c r="Q386" s="1073"/>
      <c r="R386" s="1073"/>
      <c r="S386" s="1073"/>
      <c r="T386" s="1073"/>
      <c r="U386" s="1073"/>
      <c r="V386" s="1073"/>
      <c r="W386" s="1073"/>
      <c r="X386" s="1073"/>
      <c r="Y386" s="1073"/>
      <c r="Z386" s="1073"/>
    </row>
    <row r="387" spans="1:26" ht="12.75" customHeight="1">
      <c r="A387" s="1073"/>
      <c r="B387" s="1073"/>
      <c r="C387" s="1073"/>
      <c r="D387" s="1073"/>
      <c r="E387" s="1073"/>
      <c r="F387" s="1073"/>
      <c r="G387" s="1073"/>
      <c r="H387" s="1073"/>
      <c r="I387" s="1073"/>
      <c r="J387" s="1073"/>
      <c r="K387" s="1073"/>
      <c r="L387" s="1073"/>
      <c r="M387" s="1073"/>
      <c r="N387" s="1073"/>
      <c r="O387" s="1073"/>
      <c r="P387" s="1073"/>
      <c r="Q387" s="1073"/>
      <c r="R387" s="1073"/>
      <c r="S387" s="1073"/>
      <c r="T387" s="1073"/>
      <c r="U387" s="1073"/>
      <c r="V387" s="1073"/>
      <c r="W387" s="1073"/>
      <c r="X387" s="1073"/>
      <c r="Y387" s="1073"/>
      <c r="Z387" s="1073"/>
    </row>
    <row r="388" spans="1:26" ht="12.75" customHeight="1">
      <c r="A388" s="1073"/>
      <c r="B388" s="1073"/>
      <c r="C388" s="1073"/>
      <c r="D388" s="1073"/>
      <c r="E388" s="1073"/>
      <c r="F388" s="1073"/>
      <c r="G388" s="1073"/>
      <c r="H388" s="1073"/>
      <c r="I388" s="1073"/>
      <c r="J388" s="1073"/>
      <c r="K388" s="1073"/>
      <c r="L388" s="1073"/>
      <c r="M388" s="1073"/>
      <c r="N388" s="1073"/>
      <c r="O388" s="1073"/>
      <c r="P388" s="1073"/>
      <c r="Q388" s="1073"/>
      <c r="R388" s="1073"/>
      <c r="S388" s="1073"/>
      <c r="T388" s="1073"/>
      <c r="U388" s="1073"/>
      <c r="V388" s="1073"/>
      <c r="W388" s="1073"/>
      <c r="X388" s="1073"/>
      <c r="Y388" s="1073"/>
      <c r="Z388" s="1073"/>
    </row>
    <row r="389" spans="1:26" ht="12.75" customHeight="1">
      <c r="A389" s="1073"/>
      <c r="B389" s="1073"/>
      <c r="C389" s="1073"/>
      <c r="D389" s="1073"/>
      <c r="E389" s="1073"/>
      <c r="F389" s="1073"/>
      <c r="G389" s="1073"/>
      <c r="H389" s="1073"/>
      <c r="I389" s="1073"/>
      <c r="J389" s="1073"/>
      <c r="K389" s="1073"/>
      <c r="L389" s="1073"/>
      <c r="M389" s="1073"/>
      <c r="N389" s="1073"/>
      <c r="O389" s="1073"/>
      <c r="P389" s="1073"/>
      <c r="Q389" s="1073"/>
      <c r="R389" s="1073"/>
      <c r="S389" s="1073"/>
      <c r="T389" s="1073"/>
      <c r="U389" s="1073"/>
      <c r="V389" s="1073"/>
      <c r="W389" s="1073"/>
      <c r="X389" s="1073"/>
      <c r="Y389" s="1073"/>
      <c r="Z389" s="1073"/>
    </row>
    <row r="390" spans="1:26" ht="12.75" customHeight="1">
      <c r="A390" s="1073"/>
      <c r="B390" s="1073"/>
      <c r="C390" s="1073"/>
      <c r="D390" s="1073"/>
      <c r="E390" s="1073"/>
      <c r="F390" s="1073"/>
      <c r="G390" s="1073"/>
      <c r="H390" s="1073"/>
      <c r="I390" s="1073"/>
      <c r="J390" s="1073"/>
      <c r="K390" s="1073"/>
      <c r="L390" s="1073"/>
      <c r="M390" s="1073"/>
      <c r="N390" s="1073"/>
      <c r="O390" s="1073"/>
      <c r="P390" s="1073"/>
      <c r="Q390" s="1073"/>
      <c r="R390" s="1073"/>
      <c r="S390" s="1073"/>
      <c r="T390" s="1073"/>
      <c r="U390" s="1073"/>
      <c r="V390" s="1073"/>
      <c r="W390" s="1073"/>
      <c r="X390" s="1073"/>
      <c r="Y390" s="1073"/>
      <c r="Z390" s="1073"/>
    </row>
    <row r="391" spans="1:26" ht="12.75" customHeight="1">
      <c r="A391" s="1073"/>
      <c r="B391" s="1073"/>
      <c r="C391" s="1073"/>
      <c r="D391" s="1073"/>
      <c r="E391" s="1073"/>
      <c r="F391" s="1073"/>
      <c r="G391" s="1073"/>
      <c r="H391" s="1073"/>
      <c r="I391" s="1073"/>
      <c r="J391" s="1073"/>
      <c r="K391" s="1073"/>
      <c r="L391" s="1073"/>
      <c r="M391" s="1073"/>
      <c r="N391" s="1073"/>
      <c r="O391" s="1073"/>
      <c r="P391" s="1073"/>
      <c r="Q391" s="1073"/>
      <c r="R391" s="1073"/>
      <c r="S391" s="1073"/>
      <c r="T391" s="1073"/>
      <c r="U391" s="1073"/>
      <c r="V391" s="1073"/>
      <c r="W391" s="1073"/>
      <c r="X391" s="1073"/>
      <c r="Y391" s="1073"/>
      <c r="Z391" s="1073"/>
    </row>
    <row r="392" spans="1:26" ht="12.75" customHeight="1">
      <c r="A392" s="1073"/>
      <c r="B392" s="1073"/>
      <c r="C392" s="1073"/>
      <c r="D392" s="1073"/>
      <c r="E392" s="1073"/>
      <c r="F392" s="1073"/>
      <c r="G392" s="1073"/>
      <c r="H392" s="1073"/>
      <c r="I392" s="1073"/>
      <c r="J392" s="1073"/>
      <c r="K392" s="1073"/>
      <c r="L392" s="1073"/>
      <c r="M392" s="1073"/>
      <c r="N392" s="1073"/>
      <c r="O392" s="1073"/>
      <c r="P392" s="1073"/>
      <c r="Q392" s="1073"/>
      <c r="R392" s="1073"/>
      <c r="S392" s="1073"/>
      <c r="T392" s="1073"/>
      <c r="U392" s="1073"/>
      <c r="V392" s="1073"/>
      <c r="W392" s="1073"/>
      <c r="X392" s="1073"/>
      <c r="Y392" s="1073"/>
      <c r="Z392" s="1073"/>
    </row>
    <row r="393" spans="1:26" ht="12.75" customHeight="1">
      <c r="A393" s="1073"/>
      <c r="B393" s="1073"/>
      <c r="C393" s="1073"/>
      <c r="D393" s="1073"/>
      <c r="E393" s="1073"/>
      <c r="F393" s="1073"/>
      <c r="G393" s="1073"/>
      <c r="H393" s="1073"/>
      <c r="I393" s="1073"/>
      <c r="J393" s="1073"/>
      <c r="K393" s="1073"/>
      <c r="L393" s="1073"/>
      <c r="M393" s="1073"/>
      <c r="N393" s="1073"/>
      <c r="O393" s="1073"/>
      <c r="P393" s="1073"/>
      <c r="Q393" s="1073"/>
      <c r="R393" s="1073"/>
      <c r="S393" s="1073"/>
      <c r="T393" s="1073"/>
      <c r="U393" s="1073"/>
      <c r="V393" s="1073"/>
      <c r="W393" s="1073"/>
      <c r="X393" s="1073"/>
      <c r="Y393" s="1073"/>
      <c r="Z393" s="1073"/>
    </row>
    <row r="394" spans="1:26" ht="12.75" customHeight="1">
      <c r="A394" s="1073"/>
      <c r="B394" s="1073"/>
      <c r="C394" s="1073"/>
      <c r="D394" s="1073"/>
      <c r="E394" s="1073"/>
      <c r="F394" s="1073"/>
      <c r="G394" s="1073"/>
      <c r="H394" s="1073"/>
      <c r="I394" s="1073"/>
      <c r="J394" s="1073"/>
      <c r="K394" s="1073"/>
      <c r="L394" s="1073"/>
      <c r="M394" s="1073"/>
      <c r="N394" s="1073"/>
      <c r="O394" s="1073"/>
      <c r="P394" s="1073"/>
      <c r="Q394" s="1073"/>
      <c r="R394" s="1073"/>
      <c r="S394" s="1073"/>
      <c r="T394" s="1073"/>
      <c r="U394" s="1073"/>
      <c r="V394" s="1073"/>
      <c r="W394" s="1073"/>
      <c r="X394" s="1073"/>
      <c r="Y394" s="1073"/>
      <c r="Z394" s="1073"/>
    </row>
    <row r="395" spans="1:26" ht="12.75" customHeight="1">
      <c r="A395" s="1073"/>
      <c r="B395" s="1073"/>
      <c r="C395" s="1073"/>
      <c r="D395" s="1073"/>
      <c r="E395" s="1073"/>
      <c r="F395" s="1073"/>
      <c r="G395" s="1073"/>
      <c r="H395" s="1073"/>
      <c r="I395" s="1073"/>
      <c r="J395" s="1073"/>
      <c r="K395" s="1073"/>
      <c r="L395" s="1073"/>
      <c r="M395" s="1073"/>
      <c r="N395" s="1073"/>
      <c r="O395" s="1073"/>
      <c r="P395" s="1073"/>
      <c r="Q395" s="1073"/>
      <c r="R395" s="1073"/>
      <c r="S395" s="1073"/>
      <c r="T395" s="1073"/>
      <c r="U395" s="1073"/>
      <c r="V395" s="1073"/>
      <c r="W395" s="1073"/>
      <c r="X395" s="1073"/>
      <c r="Y395" s="1073"/>
      <c r="Z395" s="1073"/>
    </row>
    <row r="396" spans="1:26" ht="12.75" customHeight="1">
      <c r="A396" s="1073"/>
      <c r="B396" s="1073"/>
      <c r="C396" s="1073"/>
      <c r="D396" s="1073"/>
      <c r="E396" s="1073"/>
      <c r="F396" s="1073"/>
      <c r="G396" s="1073"/>
      <c r="H396" s="1073"/>
      <c r="I396" s="1073"/>
      <c r="J396" s="1073"/>
      <c r="K396" s="1073"/>
      <c r="L396" s="1073"/>
      <c r="M396" s="1073"/>
      <c r="N396" s="1073"/>
      <c r="O396" s="1073"/>
      <c r="P396" s="1073"/>
      <c r="Q396" s="1073"/>
      <c r="R396" s="1073"/>
      <c r="S396" s="1073"/>
      <c r="T396" s="1073"/>
      <c r="U396" s="1073"/>
      <c r="V396" s="1073"/>
      <c r="W396" s="1073"/>
      <c r="X396" s="1073"/>
      <c r="Y396" s="1073"/>
      <c r="Z396" s="1073"/>
    </row>
    <row r="397" spans="1:26" ht="12.75" customHeight="1">
      <c r="A397" s="1073"/>
      <c r="B397" s="1073"/>
      <c r="C397" s="1073"/>
      <c r="D397" s="1073"/>
      <c r="E397" s="1073"/>
      <c r="F397" s="1073"/>
      <c r="G397" s="1073"/>
      <c r="H397" s="1073"/>
      <c r="I397" s="1073"/>
      <c r="J397" s="1073"/>
      <c r="K397" s="1073"/>
      <c r="L397" s="1073"/>
      <c r="M397" s="1073"/>
      <c r="N397" s="1073"/>
      <c r="O397" s="1073"/>
      <c r="P397" s="1073"/>
      <c r="Q397" s="1073"/>
      <c r="R397" s="1073"/>
      <c r="S397" s="1073"/>
      <c r="T397" s="1073"/>
      <c r="U397" s="1073"/>
      <c r="V397" s="1073"/>
      <c r="W397" s="1073"/>
      <c r="X397" s="1073"/>
      <c r="Y397" s="1073"/>
      <c r="Z397" s="1073"/>
    </row>
    <row r="398" spans="1:26" ht="12.75" customHeight="1">
      <c r="A398" s="1073"/>
      <c r="B398" s="1073"/>
      <c r="C398" s="1073"/>
      <c r="D398" s="1073"/>
      <c r="E398" s="1073"/>
      <c r="F398" s="1073"/>
      <c r="G398" s="1073"/>
      <c r="H398" s="1073"/>
      <c r="I398" s="1073"/>
      <c r="J398" s="1073"/>
      <c r="K398" s="1073"/>
      <c r="L398" s="1073"/>
      <c r="M398" s="1073"/>
      <c r="N398" s="1073"/>
      <c r="O398" s="1073"/>
      <c r="P398" s="1073"/>
      <c r="Q398" s="1073"/>
      <c r="R398" s="1073"/>
      <c r="S398" s="1073"/>
      <c r="T398" s="1073"/>
      <c r="U398" s="1073"/>
      <c r="V398" s="1073"/>
      <c r="W398" s="1073"/>
      <c r="X398" s="1073"/>
      <c r="Y398" s="1073"/>
      <c r="Z398" s="1073"/>
    </row>
    <row r="399" spans="1:26" ht="12.75" customHeight="1">
      <c r="A399" s="1073"/>
      <c r="B399" s="1073"/>
      <c r="C399" s="1073"/>
      <c r="D399" s="1073"/>
      <c r="E399" s="1073"/>
      <c r="F399" s="1073"/>
      <c r="G399" s="1073"/>
      <c r="H399" s="1073"/>
      <c r="I399" s="1073"/>
      <c r="J399" s="1073"/>
      <c r="K399" s="1073"/>
      <c r="L399" s="1073"/>
      <c r="M399" s="1073"/>
      <c r="N399" s="1073"/>
      <c r="O399" s="1073"/>
      <c r="P399" s="1073"/>
      <c r="Q399" s="1073"/>
      <c r="R399" s="1073"/>
      <c r="S399" s="1073"/>
      <c r="T399" s="1073"/>
      <c r="U399" s="1073"/>
      <c r="V399" s="1073"/>
      <c r="W399" s="1073"/>
      <c r="X399" s="1073"/>
      <c r="Y399" s="1073"/>
      <c r="Z399" s="1073"/>
    </row>
    <row r="400" spans="1:26" ht="12.75" customHeight="1">
      <c r="A400" s="1073"/>
      <c r="B400" s="1073"/>
      <c r="C400" s="1073"/>
      <c r="D400" s="1073"/>
      <c r="E400" s="1073"/>
      <c r="F400" s="1073"/>
      <c r="G400" s="1073"/>
      <c r="H400" s="1073"/>
      <c r="I400" s="1073"/>
      <c r="J400" s="1073"/>
      <c r="K400" s="1073"/>
      <c r="L400" s="1073"/>
      <c r="M400" s="1073"/>
      <c r="N400" s="1073"/>
      <c r="O400" s="1073"/>
      <c r="P400" s="1073"/>
      <c r="Q400" s="1073"/>
      <c r="R400" s="1073"/>
      <c r="S400" s="1073"/>
      <c r="T400" s="1073"/>
      <c r="U400" s="1073"/>
      <c r="V400" s="1073"/>
      <c r="W400" s="1073"/>
      <c r="X400" s="1073"/>
      <c r="Y400" s="1073"/>
      <c r="Z400" s="1073"/>
    </row>
    <row r="401" spans="1:26" ht="12.75" customHeight="1">
      <c r="A401" s="1073"/>
      <c r="B401" s="1073"/>
      <c r="C401" s="1073"/>
      <c r="D401" s="1073"/>
      <c r="E401" s="1073"/>
      <c r="F401" s="1073"/>
      <c r="G401" s="1073"/>
      <c r="H401" s="1073"/>
      <c r="I401" s="1073"/>
      <c r="J401" s="1073"/>
      <c r="K401" s="1073"/>
      <c r="L401" s="1073"/>
      <c r="M401" s="1073"/>
      <c r="N401" s="1073"/>
      <c r="O401" s="1073"/>
      <c r="P401" s="1073"/>
      <c r="Q401" s="1073"/>
      <c r="R401" s="1073"/>
      <c r="S401" s="1073"/>
      <c r="T401" s="1073"/>
      <c r="U401" s="1073"/>
      <c r="V401" s="1073"/>
      <c r="W401" s="1073"/>
      <c r="X401" s="1073"/>
      <c r="Y401" s="1073"/>
      <c r="Z401" s="1073"/>
    </row>
    <row r="402" spans="1:26" ht="12.75" customHeight="1">
      <c r="A402" s="1073"/>
      <c r="B402" s="1073"/>
      <c r="C402" s="1073"/>
      <c r="D402" s="1073"/>
      <c r="E402" s="1073"/>
      <c r="F402" s="1073"/>
      <c r="G402" s="1073"/>
      <c r="H402" s="1073"/>
      <c r="I402" s="1073"/>
      <c r="J402" s="1073"/>
      <c r="K402" s="1073"/>
      <c r="L402" s="1073"/>
      <c r="M402" s="1073"/>
      <c r="N402" s="1073"/>
      <c r="O402" s="1073"/>
      <c r="P402" s="1073"/>
      <c r="Q402" s="1073"/>
      <c r="R402" s="1073"/>
      <c r="S402" s="1073"/>
      <c r="T402" s="1073"/>
      <c r="U402" s="1073"/>
      <c r="V402" s="1073"/>
      <c r="W402" s="1073"/>
      <c r="X402" s="1073"/>
      <c r="Y402" s="1073"/>
      <c r="Z402" s="1073"/>
    </row>
    <row r="403" spans="1:26" ht="12.75" customHeight="1">
      <c r="A403" s="1073"/>
      <c r="B403" s="1073"/>
      <c r="C403" s="1073"/>
      <c r="D403" s="1073"/>
      <c r="E403" s="1073"/>
      <c r="F403" s="1073"/>
      <c r="G403" s="1073"/>
      <c r="H403" s="1073"/>
      <c r="I403" s="1073"/>
      <c r="J403" s="1073"/>
      <c r="K403" s="1073"/>
      <c r="L403" s="1073"/>
      <c r="M403" s="1073"/>
      <c r="N403" s="1073"/>
      <c r="O403" s="1073"/>
      <c r="P403" s="1073"/>
      <c r="Q403" s="1073"/>
      <c r="R403" s="1073"/>
      <c r="S403" s="1073"/>
      <c r="T403" s="1073"/>
      <c r="U403" s="1073"/>
      <c r="V403" s="1073"/>
      <c r="W403" s="1073"/>
      <c r="X403" s="1073"/>
      <c r="Y403" s="1073"/>
      <c r="Z403" s="1073"/>
    </row>
    <row r="404" spans="1:26" ht="12.75" customHeight="1">
      <c r="A404" s="1073"/>
      <c r="B404" s="1073"/>
      <c r="C404" s="1073"/>
      <c r="D404" s="1073"/>
      <c r="E404" s="1073"/>
      <c r="F404" s="1073"/>
      <c r="G404" s="1073"/>
      <c r="H404" s="1073"/>
      <c r="I404" s="1073"/>
      <c r="J404" s="1073"/>
      <c r="K404" s="1073"/>
      <c r="L404" s="1073"/>
      <c r="M404" s="1073"/>
      <c r="N404" s="1073"/>
      <c r="O404" s="1073"/>
      <c r="P404" s="1073"/>
      <c r="Q404" s="1073"/>
      <c r="R404" s="1073"/>
      <c r="S404" s="1073"/>
      <c r="T404" s="1073"/>
      <c r="U404" s="1073"/>
      <c r="V404" s="1073"/>
      <c r="W404" s="1073"/>
      <c r="X404" s="1073"/>
      <c r="Y404" s="1073"/>
      <c r="Z404" s="1073"/>
    </row>
    <row r="405" spans="1:26" ht="12.75" customHeight="1">
      <c r="A405" s="1073"/>
      <c r="B405" s="1073"/>
      <c r="C405" s="1073"/>
      <c r="D405" s="1073"/>
      <c r="E405" s="1073"/>
      <c r="F405" s="1073"/>
      <c r="G405" s="1073"/>
      <c r="H405" s="1073"/>
      <c r="I405" s="1073"/>
      <c r="J405" s="1073"/>
      <c r="K405" s="1073"/>
      <c r="L405" s="1073"/>
      <c r="M405" s="1073"/>
      <c r="N405" s="1073"/>
      <c r="O405" s="1073"/>
      <c r="P405" s="1073"/>
      <c r="Q405" s="1073"/>
      <c r="R405" s="1073"/>
      <c r="S405" s="1073"/>
      <c r="T405" s="1073"/>
      <c r="U405" s="1073"/>
      <c r="V405" s="1073"/>
      <c r="W405" s="1073"/>
      <c r="X405" s="1073"/>
      <c r="Y405" s="1073"/>
      <c r="Z405" s="1073"/>
    </row>
    <row r="406" spans="1:26" ht="12.75" customHeight="1">
      <c r="A406" s="1073"/>
      <c r="B406" s="1073"/>
      <c r="C406" s="1073"/>
      <c r="D406" s="1073"/>
      <c r="E406" s="1073"/>
      <c r="F406" s="1073"/>
      <c r="G406" s="1073"/>
      <c r="H406" s="1073"/>
      <c r="I406" s="1073"/>
      <c r="J406" s="1073"/>
      <c r="K406" s="1073"/>
      <c r="L406" s="1073"/>
      <c r="M406" s="1073"/>
      <c r="N406" s="1073"/>
      <c r="O406" s="1073"/>
      <c r="P406" s="1073"/>
      <c r="Q406" s="1073"/>
      <c r="R406" s="1073"/>
      <c r="S406" s="1073"/>
      <c r="T406" s="1073"/>
      <c r="U406" s="1073"/>
      <c r="V406" s="1073"/>
      <c r="W406" s="1073"/>
      <c r="X406" s="1073"/>
      <c r="Y406" s="1073"/>
      <c r="Z406" s="1073"/>
    </row>
    <row r="407" spans="1:26" ht="12.75" customHeight="1">
      <c r="A407" s="1073"/>
      <c r="B407" s="1073"/>
      <c r="C407" s="1073"/>
      <c r="D407" s="1073"/>
      <c r="E407" s="1073"/>
      <c r="F407" s="1073"/>
      <c r="G407" s="1073"/>
      <c r="H407" s="1073"/>
      <c r="I407" s="1073"/>
      <c r="J407" s="1073"/>
      <c r="K407" s="1073"/>
      <c r="L407" s="1073"/>
      <c r="M407" s="1073"/>
      <c r="N407" s="1073"/>
      <c r="O407" s="1073"/>
      <c r="P407" s="1073"/>
      <c r="Q407" s="1073"/>
      <c r="R407" s="1073"/>
      <c r="S407" s="1073"/>
      <c r="T407" s="1073"/>
      <c r="U407" s="1073"/>
      <c r="V407" s="1073"/>
      <c r="W407" s="1073"/>
      <c r="X407" s="1073"/>
      <c r="Y407" s="1073"/>
      <c r="Z407" s="1073"/>
    </row>
    <row r="408" spans="1:26" ht="12.75" customHeight="1">
      <c r="A408" s="1073"/>
      <c r="B408" s="1073"/>
      <c r="C408" s="1073"/>
      <c r="D408" s="1073"/>
      <c r="E408" s="1073"/>
      <c r="F408" s="1073"/>
      <c r="G408" s="1073"/>
      <c r="H408" s="1073"/>
      <c r="I408" s="1073"/>
      <c r="J408" s="1073"/>
      <c r="K408" s="1073"/>
      <c r="L408" s="1073"/>
      <c r="M408" s="1073"/>
      <c r="N408" s="1073"/>
      <c r="O408" s="1073"/>
      <c r="P408" s="1073"/>
      <c r="Q408" s="1073"/>
      <c r="R408" s="1073"/>
      <c r="S408" s="1073"/>
      <c r="T408" s="1073"/>
      <c r="U408" s="1073"/>
      <c r="V408" s="1073"/>
      <c r="W408" s="1073"/>
      <c r="X408" s="1073"/>
      <c r="Y408" s="1073"/>
      <c r="Z408" s="1073"/>
    </row>
    <row r="409" spans="1:26" ht="12.75" customHeight="1">
      <c r="A409" s="1073"/>
      <c r="B409" s="1073"/>
      <c r="C409" s="1073"/>
      <c r="D409" s="1073"/>
      <c r="E409" s="1073"/>
      <c r="F409" s="1073"/>
      <c r="G409" s="1073"/>
      <c r="H409" s="1073"/>
      <c r="I409" s="1073"/>
      <c r="J409" s="1073"/>
      <c r="K409" s="1073"/>
      <c r="L409" s="1073"/>
      <c r="M409" s="1073"/>
      <c r="N409" s="1073"/>
      <c r="O409" s="1073"/>
      <c r="P409" s="1073"/>
      <c r="Q409" s="1073"/>
      <c r="R409" s="1073"/>
      <c r="S409" s="1073"/>
      <c r="T409" s="1073"/>
      <c r="U409" s="1073"/>
      <c r="V409" s="1073"/>
      <c r="W409" s="1073"/>
      <c r="X409" s="1073"/>
      <c r="Y409" s="1073"/>
      <c r="Z409" s="1073"/>
    </row>
    <row r="410" spans="1:26" ht="12.75" customHeight="1">
      <c r="A410" s="1073"/>
      <c r="B410" s="1073"/>
      <c r="C410" s="1073"/>
      <c r="D410" s="1073"/>
      <c r="E410" s="1073"/>
      <c r="F410" s="1073"/>
      <c r="G410" s="1073"/>
      <c r="H410" s="1073"/>
      <c r="I410" s="1073"/>
      <c r="J410" s="1073"/>
      <c r="K410" s="1073"/>
      <c r="L410" s="1073"/>
      <c r="M410" s="1073"/>
      <c r="N410" s="1073"/>
      <c r="O410" s="1073"/>
      <c r="P410" s="1073"/>
      <c r="Q410" s="1073"/>
      <c r="R410" s="1073"/>
      <c r="S410" s="1073"/>
      <c r="T410" s="1073"/>
      <c r="U410" s="1073"/>
      <c r="V410" s="1073"/>
      <c r="W410" s="1073"/>
      <c r="X410" s="1073"/>
      <c r="Y410" s="1073"/>
      <c r="Z410" s="1073"/>
    </row>
    <row r="411" spans="1:26" ht="12.75" customHeight="1">
      <c r="A411" s="1073"/>
      <c r="B411" s="1073"/>
      <c r="C411" s="1073"/>
      <c r="D411" s="1073"/>
      <c r="E411" s="1073"/>
      <c r="F411" s="1073"/>
      <c r="G411" s="1073"/>
      <c r="H411" s="1073"/>
      <c r="I411" s="1073"/>
      <c r="J411" s="1073"/>
      <c r="K411" s="1073"/>
      <c r="L411" s="1073"/>
      <c r="M411" s="1073"/>
      <c r="N411" s="1073"/>
      <c r="O411" s="1073"/>
      <c r="P411" s="1073"/>
      <c r="Q411" s="1073"/>
      <c r="R411" s="1073"/>
      <c r="S411" s="1073"/>
      <c r="T411" s="1073"/>
      <c r="U411" s="1073"/>
      <c r="V411" s="1073"/>
      <c r="W411" s="1073"/>
      <c r="X411" s="1073"/>
      <c r="Y411" s="1073"/>
      <c r="Z411" s="1073"/>
    </row>
    <row r="412" spans="1:26" ht="12.75" customHeight="1">
      <c r="A412" s="1073"/>
      <c r="B412" s="1073"/>
      <c r="C412" s="1073"/>
      <c r="D412" s="1073"/>
      <c r="E412" s="1073"/>
      <c r="F412" s="1073"/>
      <c r="G412" s="1073"/>
      <c r="H412" s="1073"/>
      <c r="I412" s="1073"/>
      <c r="J412" s="1073"/>
      <c r="K412" s="1073"/>
      <c r="L412" s="1073"/>
      <c r="M412" s="1073"/>
      <c r="N412" s="1073"/>
      <c r="O412" s="1073"/>
      <c r="P412" s="1073"/>
      <c r="Q412" s="1073"/>
      <c r="R412" s="1073"/>
      <c r="S412" s="1073"/>
      <c r="T412" s="1073"/>
      <c r="U412" s="1073"/>
      <c r="V412" s="1073"/>
      <c r="W412" s="1073"/>
      <c r="X412" s="1073"/>
      <c r="Y412" s="1073"/>
      <c r="Z412" s="1073"/>
    </row>
    <row r="413" spans="1:26" ht="12.75" customHeight="1">
      <c r="A413" s="1073"/>
      <c r="B413" s="1073"/>
      <c r="C413" s="1073"/>
      <c r="D413" s="1073"/>
      <c r="E413" s="1073"/>
      <c r="F413" s="1073"/>
      <c r="G413" s="1073"/>
      <c r="H413" s="1073"/>
      <c r="I413" s="1073"/>
      <c r="J413" s="1073"/>
      <c r="K413" s="1073"/>
      <c r="L413" s="1073"/>
      <c r="M413" s="1073"/>
      <c r="N413" s="1073"/>
      <c r="O413" s="1073"/>
      <c r="P413" s="1073"/>
      <c r="Q413" s="1073"/>
      <c r="R413" s="1073"/>
      <c r="S413" s="1073"/>
      <c r="T413" s="1073"/>
      <c r="U413" s="1073"/>
      <c r="V413" s="1073"/>
      <c r="W413" s="1073"/>
      <c r="X413" s="1073"/>
      <c r="Y413" s="1073"/>
      <c r="Z413" s="1073"/>
    </row>
    <row r="414" spans="1:26" ht="12.75" customHeight="1">
      <c r="A414" s="1073"/>
      <c r="B414" s="1073"/>
      <c r="C414" s="1073"/>
      <c r="D414" s="1073"/>
      <c r="E414" s="1073"/>
      <c r="F414" s="1073"/>
      <c r="G414" s="1073"/>
      <c r="H414" s="1073"/>
      <c r="I414" s="1073"/>
      <c r="J414" s="1073"/>
      <c r="K414" s="1073"/>
      <c r="L414" s="1073"/>
      <c r="M414" s="1073"/>
      <c r="N414" s="1073"/>
      <c r="O414" s="1073"/>
      <c r="P414" s="1073"/>
      <c r="Q414" s="1073"/>
      <c r="R414" s="1073"/>
      <c r="S414" s="1073"/>
      <c r="T414" s="1073"/>
      <c r="U414" s="1073"/>
      <c r="V414" s="1073"/>
      <c r="W414" s="1073"/>
      <c r="X414" s="1073"/>
      <c r="Y414" s="1073"/>
      <c r="Z414" s="1073"/>
    </row>
    <row r="415" spans="1:26" ht="12.75" customHeight="1">
      <c r="A415" s="1073"/>
      <c r="B415" s="1073"/>
      <c r="C415" s="1073"/>
      <c r="D415" s="1073"/>
      <c r="E415" s="1073"/>
      <c r="F415" s="1073"/>
      <c r="G415" s="1073"/>
      <c r="H415" s="1073"/>
      <c r="I415" s="1073"/>
      <c r="J415" s="1073"/>
      <c r="K415" s="1073"/>
      <c r="L415" s="1073"/>
      <c r="M415" s="1073"/>
      <c r="N415" s="1073"/>
      <c r="O415" s="1073"/>
      <c r="P415" s="1073"/>
      <c r="Q415" s="1073"/>
      <c r="R415" s="1073"/>
      <c r="S415" s="1073"/>
      <c r="T415" s="1073"/>
      <c r="U415" s="1073"/>
      <c r="V415" s="1073"/>
      <c r="W415" s="1073"/>
      <c r="X415" s="1073"/>
      <c r="Y415" s="1073"/>
      <c r="Z415" s="1073"/>
    </row>
    <row r="416" spans="1:26" ht="12.75" customHeight="1">
      <c r="A416" s="1073"/>
      <c r="B416" s="1073"/>
      <c r="C416" s="1073"/>
      <c r="D416" s="1073"/>
      <c r="E416" s="1073"/>
      <c r="F416" s="1073"/>
      <c r="G416" s="1073"/>
      <c r="H416" s="1073"/>
      <c r="I416" s="1073"/>
      <c r="J416" s="1073"/>
      <c r="K416" s="1073"/>
      <c r="L416" s="1073"/>
      <c r="M416" s="1073"/>
      <c r="N416" s="1073"/>
      <c r="O416" s="1073"/>
      <c r="P416" s="1073"/>
      <c r="Q416" s="1073"/>
      <c r="R416" s="1073"/>
      <c r="S416" s="1073"/>
      <c r="T416" s="1073"/>
      <c r="U416" s="1073"/>
      <c r="V416" s="1073"/>
      <c r="W416" s="1073"/>
      <c r="X416" s="1073"/>
      <c r="Y416" s="1073"/>
      <c r="Z416" s="1073"/>
    </row>
    <row r="417" spans="1:26" ht="12.75" customHeight="1">
      <c r="A417" s="1073"/>
      <c r="B417" s="1073"/>
      <c r="C417" s="1073"/>
      <c r="D417" s="1073"/>
      <c r="E417" s="1073"/>
      <c r="F417" s="1073"/>
      <c r="G417" s="1073"/>
      <c r="H417" s="1073"/>
      <c r="I417" s="1073"/>
      <c r="J417" s="1073"/>
      <c r="K417" s="1073"/>
      <c r="L417" s="1073"/>
      <c r="M417" s="1073"/>
      <c r="N417" s="1073"/>
      <c r="O417" s="1073"/>
      <c r="P417" s="1073"/>
      <c r="Q417" s="1073"/>
      <c r="R417" s="1073"/>
      <c r="S417" s="1073"/>
      <c r="T417" s="1073"/>
      <c r="U417" s="1073"/>
      <c r="V417" s="1073"/>
      <c r="W417" s="1073"/>
      <c r="X417" s="1073"/>
      <c r="Y417" s="1073"/>
      <c r="Z417" s="1073"/>
    </row>
    <row r="418" spans="1:26" ht="12.75" customHeight="1">
      <c r="A418" s="1073"/>
      <c r="B418" s="1073"/>
      <c r="C418" s="1073"/>
      <c r="D418" s="1073"/>
      <c r="E418" s="1073"/>
      <c r="F418" s="1073"/>
      <c r="G418" s="1073"/>
      <c r="H418" s="1073"/>
      <c r="I418" s="1073"/>
      <c r="J418" s="1073"/>
      <c r="K418" s="1073"/>
      <c r="L418" s="1073"/>
      <c r="M418" s="1073"/>
      <c r="N418" s="1073"/>
      <c r="O418" s="1073"/>
      <c r="P418" s="1073"/>
      <c r="Q418" s="1073"/>
      <c r="R418" s="1073"/>
      <c r="S418" s="1073"/>
      <c r="T418" s="1073"/>
      <c r="U418" s="1073"/>
      <c r="V418" s="1073"/>
      <c r="W418" s="1073"/>
      <c r="X418" s="1073"/>
      <c r="Y418" s="1073"/>
      <c r="Z418" s="1073"/>
    </row>
    <row r="419" spans="1:26" ht="12.75" customHeight="1">
      <c r="A419" s="1073"/>
      <c r="B419" s="1073"/>
      <c r="C419" s="1073"/>
      <c r="D419" s="1073"/>
      <c r="E419" s="1073"/>
      <c r="F419" s="1073"/>
      <c r="G419" s="1073"/>
      <c r="H419" s="1073"/>
      <c r="I419" s="1073"/>
      <c r="J419" s="1073"/>
      <c r="K419" s="1073"/>
      <c r="L419" s="1073"/>
      <c r="M419" s="1073"/>
      <c r="N419" s="1073"/>
      <c r="O419" s="1073"/>
      <c r="P419" s="1073"/>
      <c r="Q419" s="1073"/>
      <c r="R419" s="1073"/>
      <c r="S419" s="1073"/>
      <c r="T419" s="1073"/>
      <c r="U419" s="1073"/>
      <c r="V419" s="1073"/>
      <c r="W419" s="1073"/>
      <c r="X419" s="1073"/>
      <c r="Y419" s="1073"/>
      <c r="Z419" s="1073"/>
    </row>
    <row r="420" spans="1:26" ht="12.75" customHeight="1">
      <c r="A420" s="1073"/>
      <c r="B420" s="1073"/>
      <c r="C420" s="1073"/>
      <c r="D420" s="1073"/>
      <c r="E420" s="1073"/>
      <c r="F420" s="1073"/>
      <c r="G420" s="1073"/>
      <c r="H420" s="1073"/>
      <c r="I420" s="1073"/>
      <c r="J420" s="1073"/>
      <c r="K420" s="1073"/>
      <c r="L420" s="1073"/>
      <c r="M420" s="1073"/>
      <c r="N420" s="1073"/>
      <c r="O420" s="1073"/>
      <c r="P420" s="1073"/>
      <c r="Q420" s="1073"/>
      <c r="R420" s="1073"/>
      <c r="S420" s="1073"/>
      <c r="T420" s="1073"/>
      <c r="U420" s="1073"/>
      <c r="V420" s="1073"/>
      <c r="W420" s="1073"/>
      <c r="X420" s="1073"/>
      <c r="Y420" s="1073"/>
      <c r="Z420" s="1073"/>
    </row>
    <row r="421" spans="1:26" ht="12.75" customHeight="1">
      <c r="A421" s="1073"/>
      <c r="B421" s="1073"/>
      <c r="C421" s="1073"/>
      <c r="D421" s="1073"/>
      <c r="E421" s="1073"/>
      <c r="F421" s="1073"/>
      <c r="G421" s="1073"/>
      <c r="H421" s="1073"/>
      <c r="I421" s="1073"/>
      <c r="J421" s="1073"/>
      <c r="K421" s="1073"/>
      <c r="L421" s="1073"/>
      <c r="M421" s="1073"/>
      <c r="N421" s="1073"/>
      <c r="O421" s="1073"/>
      <c r="P421" s="1073"/>
      <c r="Q421" s="1073"/>
      <c r="R421" s="1073"/>
      <c r="S421" s="1073"/>
      <c r="T421" s="1073"/>
      <c r="U421" s="1073"/>
      <c r="V421" s="1073"/>
      <c r="W421" s="1073"/>
      <c r="X421" s="1073"/>
      <c r="Y421" s="1073"/>
      <c r="Z421" s="1073"/>
    </row>
    <row r="422" spans="1:26" ht="12.75" customHeight="1">
      <c r="A422" s="1073"/>
      <c r="B422" s="1073"/>
      <c r="C422" s="1073"/>
      <c r="D422" s="1073"/>
      <c r="E422" s="1073"/>
      <c r="F422" s="1073"/>
      <c r="G422" s="1073"/>
      <c r="H422" s="1073"/>
      <c r="I422" s="1073"/>
      <c r="J422" s="1073"/>
      <c r="K422" s="1073"/>
      <c r="L422" s="1073"/>
      <c r="M422" s="1073"/>
      <c r="N422" s="1073"/>
      <c r="O422" s="1073"/>
      <c r="P422" s="1073"/>
      <c r="Q422" s="1073"/>
      <c r="R422" s="1073"/>
      <c r="S422" s="1073"/>
      <c r="T422" s="1073"/>
      <c r="U422" s="1073"/>
      <c r="V422" s="1073"/>
      <c r="W422" s="1073"/>
      <c r="X422" s="1073"/>
      <c r="Y422" s="1073"/>
      <c r="Z422" s="1073"/>
    </row>
    <row r="423" spans="1:26" ht="12.75" customHeight="1">
      <c r="A423" s="1073"/>
      <c r="B423" s="1073"/>
      <c r="C423" s="1073"/>
      <c r="D423" s="1073"/>
      <c r="E423" s="1073"/>
      <c r="F423" s="1073"/>
      <c r="G423" s="1073"/>
      <c r="H423" s="1073"/>
      <c r="I423" s="1073"/>
      <c r="J423" s="1073"/>
      <c r="K423" s="1073"/>
      <c r="L423" s="1073"/>
      <c r="M423" s="1073"/>
      <c r="N423" s="1073"/>
      <c r="O423" s="1073"/>
      <c r="P423" s="1073"/>
      <c r="Q423" s="1073"/>
      <c r="R423" s="1073"/>
      <c r="S423" s="1073"/>
      <c r="T423" s="1073"/>
      <c r="U423" s="1073"/>
      <c r="V423" s="1073"/>
      <c r="W423" s="1073"/>
      <c r="X423" s="1073"/>
      <c r="Y423" s="1073"/>
      <c r="Z423" s="1073"/>
    </row>
    <row r="424" spans="1:26" ht="12.75" customHeight="1">
      <c r="A424" s="1073"/>
      <c r="B424" s="1073"/>
      <c r="C424" s="1073"/>
      <c r="D424" s="1073"/>
      <c r="E424" s="1073"/>
      <c r="F424" s="1073"/>
      <c r="G424" s="1073"/>
      <c r="H424" s="1073"/>
      <c r="I424" s="1073"/>
      <c r="J424" s="1073"/>
      <c r="K424" s="1073"/>
      <c r="L424" s="1073"/>
      <c r="M424" s="1073"/>
      <c r="N424" s="1073"/>
      <c r="O424" s="1073"/>
      <c r="P424" s="1073"/>
      <c r="Q424" s="1073"/>
      <c r="R424" s="1073"/>
      <c r="S424" s="1073"/>
      <c r="T424" s="1073"/>
      <c r="U424" s="1073"/>
      <c r="V424" s="1073"/>
      <c r="W424" s="1073"/>
      <c r="X424" s="1073"/>
      <c r="Y424" s="1073"/>
      <c r="Z424" s="1073"/>
    </row>
    <row r="425" spans="1:26" ht="12.75" customHeight="1">
      <c r="A425" s="1073"/>
      <c r="B425" s="1073"/>
      <c r="C425" s="1073"/>
      <c r="D425" s="1073"/>
      <c r="E425" s="1073"/>
      <c r="F425" s="1073"/>
      <c r="G425" s="1073"/>
      <c r="H425" s="1073"/>
      <c r="I425" s="1073"/>
      <c r="J425" s="1073"/>
      <c r="K425" s="1073"/>
      <c r="L425" s="1073"/>
      <c r="M425" s="1073"/>
      <c r="N425" s="1073"/>
      <c r="O425" s="1073"/>
      <c r="P425" s="1073"/>
      <c r="Q425" s="1073"/>
      <c r="R425" s="1073"/>
      <c r="S425" s="1073"/>
      <c r="T425" s="1073"/>
      <c r="U425" s="1073"/>
      <c r="V425" s="1073"/>
      <c r="W425" s="1073"/>
      <c r="X425" s="1073"/>
      <c r="Y425" s="1073"/>
      <c r="Z425" s="1073"/>
    </row>
    <row r="426" spans="1:26" ht="12.75" customHeight="1">
      <c r="A426" s="1073"/>
      <c r="B426" s="1073"/>
      <c r="C426" s="1073"/>
      <c r="D426" s="1073"/>
      <c r="E426" s="1073"/>
      <c r="F426" s="1073"/>
      <c r="G426" s="1073"/>
      <c r="H426" s="1073"/>
      <c r="I426" s="1073"/>
      <c r="J426" s="1073"/>
      <c r="K426" s="1073"/>
      <c r="L426" s="1073"/>
      <c r="M426" s="1073"/>
      <c r="N426" s="1073"/>
      <c r="O426" s="1073"/>
      <c r="P426" s="1073"/>
      <c r="Q426" s="1073"/>
      <c r="R426" s="1073"/>
      <c r="S426" s="1073"/>
      <c r="T426" s="1073"/>
      <c r="U426" s="1073"/>
      <c r="V426" s="1073"/>
      <c r="W426" s="1073"/>
      <c r="X426" s="1073"/>
      <c r="Y426" s="1073"/>
      <c r="Z426" s="1073"/>
    </row>
    <row r="427" spans="1:26" ht="12.75" customHeight="1">
      <c r="A427" s="1073"/>
      <c r="B427" s="1073"/>
      <c r="C427" s="1073"/>
      <c r="D427" s="1073"/>
      <c r="E427" s="1073"/>
      <c r="F427" s="1073"/>
      <c r="G427" s="1073"/>
      <c r="H427" s="1073"/>
      <c r="I427" s="1073"/>
      <c r="J427" s="1073"/>
      <c r="K427" s="1073"/>
      <c r="L427" s="1073"/>
      <c r="M427" s="1073"/>
      <c r="N427" s="1073"/>
      <c r="O427" s="1073"/>
      <c r="P427" s="1073"/>
      <c r="Q427" s="1073"/>
      <c r="R427" s="1073"/>
      <c r="S427" s="1073"/>
      <c r="T427" s="1073"/>
      <c r="U427" s="1073"/>
      <c r="V427" s="1073"/>
      <c r="W427" s="1073"/>
      <c r="X427" s="1073"/>
      <c r="Y427" s="1073"/>
      <c r="Z427" s="1073"/>
    </row>
    <row r="428" spans="1:26" ht="12.75" customHeight="1">
      <c r="A428" s="1073"/>
      <c r="B428" s="1073"/>
      <c r="C428" s="1073"/>
      <c r="D428" s="1073"/>
      <c r="E428" s="1073"/>
      <c r="F428" s="1073"/>
      <c r="G428" s="1073"/>
      <c r="H428" s="1073"/>
      <c r="I428" s="1073"/>
      <c r="J428" s="1073"/>
      <c r="K428" s="1073"/>
      <c r="L428" s="1073"/>
      <c r="M428" s="1073"/>
      <c r="N428" s="1073"/>
      <c r="O428" s="1073"/>
      <c r="P428" s="1073"/>
      <c r="Q428" s="1073"/>
      <c r="R428" s="1073"/>
      <c r="S428" s="1073"/>
      <c r="T428" s="1073"/>
      <c r="U428" s="1073"/>
      <c r="V428" s="1073"/>
      <c r="W428" s="1073"/>
      <c r="X428" s="1073"/>
      <c r="Y428" s="1073"/>
      <c r="Z428" s="1073"/>
    </row>
    <row r="429" spans="1:26" ht="12.75" customHeight="1">
      <c r="A429" s="1073"/>
      <c r="B429" s="1073"/>
      <c r="C429" s="1073"/>
      <c r="D429" s="1073"/>
      <c r="E429" s="1073"/>
      <c r="F429" s="1073"/>
      <c r="G429" s="1073"/>
      <c r="H429" s="1073"/>
      <c r="I429" s="1073"/>
      <c r="J429" s="1073"/>
      <c r="K429" s="1073"/>
      <c r="L429" s="1073"/>
      <c r="M429" s="1073"/>
      <c r="N429" s="1073"/>
      <c r="O429" s="1073"/>
      <c r="P429" s="1073"/>
      <c r="Q429" s="1073"/>
      <c r="R429" s="1073"/>
      <c r="S429" s="1073"/>
      <c r="T429" s="1073"/>
      <c r="U429" s="1073"/>
      <c r="V429" s="1073"/>
      <c r="W429" s="1073"/>
      <c r="X429" s="1073"/>
      <c r="Y429" s="1073"/>
      <c r="Z429" s="1073"/>
    </row>
    <row r="430" spans="1:26" ht="12.75" customHeight="1">
      <c r="A430" s="1073"/>
      <c r="B430" s="1073"/>
      <c r="C430" s="1073"/>
      <c r="D430" s="1073"/>
      <c r="E430" s="1073"/>
      <c r="F430" s="1073"/>
      <c r="G430" s="1073"/>
      <c r="H430" s="1073"/>
      <c r="I430" s="1073"/>
      <c r="J430" s="1073"/>
      <c r="K430" s="1073"/>
      <c r="L430" s="1073"/>
      <c r="M430" s="1073"/>
      <c r="N430" s="1073"/>
      <c r="O430" s="1073"/>
      <c r="P430" s="1073"/>
      <c r="Q430" s="1073"/>
      <c r="R430" s="1073"/>
      <c r="S430" s="1073"/>
      <c r="T430" s="1073"/>
      <c r="U430" s="1073"/>
      <c r="V430" s="1073"/>
      <c r="W430" s="1073"/>
      <c r="X430" s="1073"/>
      <c r="Y430" s="1073"/>
      <c r="Z430" s="1073"/>
    </row>
    <row r="431" spans="1:26" ht="12.75" customHeight="1">
      <c r="A431" s="1073"/>
      <c r="B431" s="1073"/>
      <c r="C431" s="1073"/>
      <c r="D431" s="1073"/>
      <c r="E431" s="1073"/>
      <c r="F431" s="1073"/>
      <c r="G431" s="1073"/>
      <c r="H431" s="1073"/>
      <c r="I431" s="1073"/>
      <c r="J431" s="1073"/>
      <c r="K431" s="1073"/>
      <c r="L431" s="1073"/>
      <c r="M431" s="1073"/>
      <c r="N431" s="1073"/>
      <c r="O431" s="1073"/>
      <c r="P431" s="1073"/>
      <c r="Q431" s="1073"/>
      <c r="R431" s="1073"/>
      <c r="S431" s="1073"/>
      <c r="T431" s="1073"/>
      <c r="U431" s="1073"/>
      <c r="V431" s="1073"/>
      <c r="W431" s="1073"/>
      <c r="X431" s="1073"/>
      <c r="Y431" s="1073"/>
      <c r="Z431" s="1073"/>
    </row>
    <row r="432" spans="1:26" ht="12.75" customHeight="1">
      <c r="A432" s="1073"/>
      <c r="B432" s="1073"/>
      <c r="C432" s="1073"/>
      <c r="D432" s="1073"/>
      <c r="E432" s="1073"/>
      <c r="F432" s="1073"/>
      <c r="G432" s="1073"/>
      <c r="H432" s="1073"/>
      <c r="I432" s="1073"/>
      <c r="J432" s="1073"/>
      <c r="K432" s="1073"/>
      <c r="L432" s="1073"/>
      <c r="M432" s="1073"/>
      <c r="N432" s="1073"/>
      <c r="O432" s="1073"/>
      <c r="P432" s="1073"/>
      <c r="Q432" s="1073"/>
      <c r="R432" s="1073"/>
      <c r="S432" s="1073"/>
      <c r="T432" s="1073"/>
      <c r="U432" s="1073"/>
      <c r="V432" s="1073"/>
      <c r="W432" s="1073"/>
      <c r="X432" s="1073"/>
      <c r="Y432" s="1073"/>
      <c r="Z432" s="1073"/>
    </row>
    <row r="433" spans="1:26" ht="12.75" customHeight="1">
      <c r="A433" s="1073"/>
      <c r="B433" s="1073"/>
      <c r="C433" s="1073"/>
      <c r="D433" s="1073"/>
      <c r="E433" s="1073"/>
      <c r="F433" s="1073"/>
      <c r="G433" s="1073"/>
      <c r="H433" s="1073"/>
      <c r="I433" s="1073"/>
      <c r="J433" s="1073"/>
      <c r="K433" s="1073"/>
      <c r="L433" s="1073"/>
      <c r="M433" s="1073"/>
      <c r="N433" s="1073"/>
      <c r="O433" s="1073"/>
      <c r="P433" s="1073"/>
      <c r="Q433" s="1073"/>
      <c r="R433" s="1073"/>
      <c r="S433" s="1073"/>
      <c r="T433" s="1073"/>
      <c r="U433" s="1073"/>
      <c r="V433" s="1073"/>
      <c r="W433" s="1073"/>
      <c r="X433" s="1073"/>
      <c r="Y433" s="1073"/>
      <c r="Z433" s="1073"/>
    </row>
    <row r="434" spans="1:26" ht="12.75" customHeight="1">
      <c r="A434" s="1073"/>
      <c r="B434" s="1073"/>
      <c r="C434" s="1073"/>
      <c r="D434" s="1073"/>
      <c r="E434" s="1073"/>
      <c r="F434" s="1073"/>
      <c r="G434" s="1073"/>
      <c r="H434" s="1073"/>
      <c r="I434" s="1073"/>
      <c r="J434" s="1073"/>
      <c r="K434" s="1073"/>
      <c r="L434" s="1073"/>
      <c r="M434" s="1073"/>
      <c r="N434" s="1073"/>
      <c r="O434" s="1073"/>
      <c r="P434" s="1073"/>
      <c r="Q434" s="1073"/>
      <c r="R434" s="1073"/>
      <c r="S434" s="1073"/>
      <c r="T434" s="1073"/>
      <c r="U434" s="1073"/>
      <c r="V434" s="1073"/>
      <c r="W434" s="1073"/>
      <c r="X434" s="1073"/>
      <c r="Y434" s="1073"/>
      <c r="Z434" s="1073"/>
    </row>
    <row r="435" spans="1:26" ht="12.75" customHeight="1">
      <c r="A435" s="1073"/>
      <c r="B435" s="1073"/>
      <c r="C435" s="1073"/>
      <c r="D435" s="1073"/>
      <c r="E435" s="1073"/>
      <c r="F435" s="1073"/>
      <c r="G435" s="1073"/>
      <c r="H435" s="1073"/>
      <c r="I435" s="1073"/>
      <c r="J435" s="1073"/>
      <c r="K435" s="1073"/>
      <c r="L435" s="1073"/>
      <c r="M435" s="1073"/>
      <c r="N435" s="1073"/>
      <c r="O435" s="1073"/>
      <c r="P435" s="1073"/>
      <c r="Q435" s="1073"/>
      <c r="R435" s="1073"/>
      <c r="S435" s="1073"/>
      <c r="T435" s="1073"/>
      <c r="U435" s="1073"/>
      <c r="V435" s="1073"/>
      <c r="W435" s="1073"/>
      <c r="X435" s="1073"/>
      <c r="Y435" s="1073"/>
      <c r="Z435" s="1073"/>
    </row>
    <row r="436" spans="1:26" ht="12.75" customHeight="1">
      <c r="A436" s="1073"/>
      <c r="B436" s="1073"/>
      <c r="C436" s="1073"/>
      <c r="D436" s="1073"/>
      <c r="E436" s="1073"/>
      <c r="F436" s="1073"/>
      <c r="G436" s="1073"/>
      <c r="H436" s="1073"/>
      <c r="I436" s="1073"/>
      <c r="J436" s="1073"/>
      <c r="K436" s="1073"/>
      <c r="L436" s="1073"/>
      <c r="M436" s="1073"/>
      <c r="N436" s="1073"/>
      <c r="O436" s="1073"/>
      <c r="P436" s="1073"/>
      <c r="Q436" s="1073"/>
      <c r="R436" s="1073"/>
      <c r="S436" s="1073"/>
      <c r="T436" s="1073"/>
      <c r="U436" s="1073"/>
      <c r="V436" s="1073"/>
      <c r="W436" s="1073"/>
      <c r="X436" s="1073"/>
      <c r="Y436" s="1073"/>
      <c r="Z436" s="1073"/>
    </row>
    <row r="437" spans="1:26" ht="12.75" customHeight="1">
      <c r="A437" s="1073"/>
      <c r="B437" s="1073"/>
      <c r="C437" s="1073"/>
      <c r="D437" s="1073"/>
      <c r="E437" s="1073"/>
      <c r="F437" s="1073"/>
      <c r="G437" s="1073"/>
      <c r="H437" s="1073"/>
      <c r="I437" s="1073"/>
      <c r="J437" s="1073"/>
      <c r="K437" s="1073"/>
      <c r="L437" s="1073"/>
      <c r="M437" s="1073"/>
      <c r="N437" s="1073"/>
      <c r="O437" s="1073"/>
      <c r="P437" s="1073"/>
      <c r="Q437" s="1073"/>
      <c r="R437" s="1073"/>
      <c r="S437" s="1073"/>
      <c r="T437" s="1073"/>
      <c r="U437" s="1073"/>
      <c r="V437" s="1073"/>
      <c r="W437" s="1073"/>
      <c r="X437" s="1073"/>
      <c r="Y437" s="1073"/>
      <c r="Z437" s="1073"/>
    </row>
    <row r="438" spans="1:26" ht="12.75" customHeight="1">
      <c r="A438" s="1073"/>
      <c r="B438" s="1073"/>
      <c r="C438" s="1073"/>
      <c r="D438" s="1073"/>
      <c r="E438" s="1073"/>
      <c r="F438" s="1073"/>
      <c r="G438" s="1073"/>
      <c r="H438" s="1073"/>
      <c r="I438" s="1073"/>
      <c r="J438" s="1073"/>
      <c r="K438" s="1073"/>
      <c r="L438" s="1073"/>
      <c r="M438" s="1073"/>
      <c r="N438" s="1073"/>
      <c r="O438" s="1073"/>
      <c r="P438" s="1073"/>
      <c r="Q438" s="1073"/>
      <c r="R438" s="1073"/>
      <c r="S438" s="1073"/>
      <c r="T438" s="1073"/>
      <c r="U438" s="1073"/>
      <c r="V438" s="1073"/>
      <c r="W438" s="1073"/>
      <c r="X438" s="1073"/>
      <c r="Y438" s="1073"/>
      <c r="Z438" s="1073"/>
    </row>
    <row r="439" spans="1:26" ht="12.75" customHeight="1">
      <c r="A439" s="1073"/>
      <c r="B439" s="1073"/>
      <c r="C439" s="1073"/>
      <c r="D439" s="1073"/>
      <c r="E439" s="1073"/>
      <c r="F439" s="1073"/>
      <c r="G439" s="1073"/>
      <c r="H439" s="1073"/>
      <c r="I439" s="1073"/>
      <c r="J439" s="1073"/>
      <c r="K439" s="1073"/>
      <c r="L439" s="1073"/>
      <c r="M439" s="1073"/>
      <c r="N439" s="1073"/>
      <c r="O439" s="1073"/>
      <c r="P439" s="1073"/>
      <c r="Q439" s="1073"/>
      <c r="R439" s="1073"/>
      <c r="S439" s="1073"/>
      <c r="T439" s="1073"/>
      <c r="U439" s="1073"/>
      <c r="V439" s="1073"/>
      <c r="W439" s="1073"/>
      <c r="X439" s="1073"/>
      <c r="Y439" s="1073"/>
      <c r="Z439" s="1073"/>
    </row>
    <row r="440" spans="1:26" ht="12.75" customHeight="1">
      <c r="A440" s="1073"/>
      <c r="B440" s="1073"/>
      <c r="C440" s="1073"/>
      <c r="D440" s="1073"/>
      <c r="E440" s="1073"/>
      <c r="F440" s="1073"/>
      <c r="G440" s="1073"/>
      <c r="H440" s="1073"/>
      <c r="I440" s="1073"/>
      <c r="J440" s="1073"/>
      <c r="K440" s="1073"/>
      <c r="L440" s="1073"/>
      <c r="M440" s="1073"/>
      <c r="N440" s="1073"/>
      <c r="O440" s="1073"/>
      <c r="P440" s="1073"/>
      <c r="Q440" s="1073"/>
      <c r="R440" s="1073"/>
      <c r="S440" s="1073"/>
      <c r="T440" s="1073"/>
      <c r="U440" s="1073"/>
      <c r="V440" s="1073"/>
      <c r="W440" s="1073"/>
      <c r="X440" s="1073"/>
      <c r="Y440" s="1073"/>
      <c r="Z440" s="1073"/>
    </row>
    <row r="441" spans="1:26" ht="12.75" customHeight="1">
      <c r="A441" s="1073"/>
      <c r="B441" s="1073"/>
      <c r="C441" s="1073"/>
      <c r="D441" s="1073"/>
      <c r="E441" s="1073"/>
      <c r="F441" s="1073"/>
      <c r="G441" s="1073"/>
      <c r="H441" s="1073"/>
      <c r="I441" s="1073"/>
      <c r="J441" s="1073"/>
      <c r="K441" s="1073"/>
      <c r="L441" s="1073"/>
      <c r="M441" s="1073"/>
      <c r="N441" s="1073"/>
      <c r="O441" s="1073"/>
      <c r="P441" s="1073"/>
      <c r="Q441" s="1073"/>
      <c r="R441" s="1073"/>
      <c r="S441" s="1073"/>
      <c r="T441" s="1073"/>
      <c r="U441" s="1073"/>
      <c r="V441" s="1073"/>
      <c r="W441" s="1073"/>
      <c r="X441" s="1073"/>
      <c r="Y441" s="1073"/>
      <c r="Z441" s="1073"/>
    </row>
    <row r="442" spans="1:26" ht="12.75" customHeight="1">
      <c r="A442" s="1073"/>
      <c r="B442" s="1073"/>
      <c r="C442" s="1073"/>
      <c r="D442" s="1073"/>
      <c r="E442" s="1073"/>
      <c r="F442" s="1073"/>
      <c r="G442" s="1073"/>
      <c r="H442" s="1073"/>
      <c r="I442" s="1073"/>
      <c r="J442" s="1073"/>
      <c r="K442" s="1073"/>
      <c r="L442" s="1073"/>
      <c r="M442" s="1073"/>
      <c r="N442" s="1073"/>
      <c r="O442" s="1073"/>
      <c r="P442" s="1073"/>
      <c r="Q442" s="1073"/>
      <c r="R442" s="1073"/>
      <c r="S442" s="1073"/>
      <c r="T442" s="1073"/>
      <c r="U442" s="1073"/>
      <c r="V442" s="1073"/>
      <c r="W442" s="1073"/>
      <c r="X442" s="1073"/>
      <c r="Y442" s="1073"/>
      <c r="Z442" s="1073"/>
    </row>
    <row r="443" spans="1:26" ht="12.75" customHeight="1">
      <c r="A443" s="1073"/>
      <c r="B443" s="1073"/>
      <c r="C443" s="1073"/>
      <c r="D443" s="1073"/>
      <c r="E443" s="1073"/>
      <c r="F443" s="1073"/>
      <c r="G443" s="1073"/>
      <c r="H443" s="1073"/>
      <c r="I443" s="1073"/>
      <c r="J443" s="1073"/>
      <c r="K443" s="1073"/>
      <c r="L443" s="1073"/>
      <c r="M443" s="1073"/>
      <c r="N443" s="1073"/>
      <c r="O443" s="1073"/>
      <c r="P443" s="1073"/>
      <c r="Q443" s="1073"/>
      <c r="R443" s="1073"/>
      <c r="S443" s="1073"/>
      <c r="T443" s="1073"/>
      <c r="U443" s="1073"/>
      <c r="V443" s="1073"/>
      <c r="W443" s="1073"/>
      <c r="X443" s="1073"/>
      <c r="Y443" s="1073"/>
      <c r="Z443" s="1073"/>
    </row>
    <row r="444" spans="1:26" ht="12.75" customHeight="1">
      <c r="A444" s="1073"/>
      <c r="B444" s="1073"/>
      <c r="C444" s="1073"/>
      <c r="D444" s="1073"/>
      <c r="E444" s="1073"/>
      <c r="F444" s="1073"/>
      <c r="G444" s="1073"/>
      <c r="H444" s="1073"/>
      <c r="I444" s="1073"/>
      <c r="J444" s="1073"/>
      <c r="K444" s="1073"/>
      <c r="L444" s="1073"/>
      <c r="M444" s="1073"/>
      <c r="N444" s="1073"/>
      <c r="O444" s="1073"/>
      <c r="P444" s="1073"/>
      <c r="Q444" s="1073"/>
      <c r="R444" s="1073"/>
      <c r="S444" s="1073"/>
      <c r="T444" s="1073"/>
      <c r="U444" s="1073"/>
      <c r="V444" s="1073"/>
      <c r="W444" s="1073"/>
      <c r="X444" s="1073"/>
      <c r="Y444" s="1073"/>
      <c r="Z444" s="1073"/>
    </row>
    <row r="445" spans="1:26" ht="12.75" customHeight="1">
      <c r="A445" s="1073"/>
      <c r="B445" s="1073"/>
      <c r="C445" s="1073"/>
      <c r="D445" s="1073"/>
      <c r="E445" s="1073"/>
      <c r="F445" s="1073"/>
      <c r="G445" s="1073"/>
      <c r="H445" s="1073"/>
      <c r="I445" s="1073"/>
      <c r="J445" s="1073"/>
      <c r="K445" s="1073"/>
      <c r="L445" s="1073"/>
      <c r="M445" s="1073"/>
      <c r="N445" s="1073"/>
      <c r="O445" s="1073"/>
      <c r="P445" s="1073"/>
      <c r="Q445" s="1073"/>
      <c r="R445" s="1073"/>
      <c r="S445" s="1073"/>
      <c r="T445" s="1073"/>
      <c r="U445" s="1073"/>
      <c r="V445" s="1073"/>
      <c r="W445" s="1073"/>
      <c r="X445" s="1073"/>
      <c r="Y445" s="1073"/>
      <c r="Z445" s="1073"/>
    </row>
    <row r="446" spans="1:26" ht="12.75" customHeight="1">
      <c r="A446" s="1073"/>
      <c r="B446" s="1073"/>
      <c r="C446" s="1073"/>
      <c r="D446" s="1073"/>
      <c r="E446" s="1073"/>
      <c r="F446" s="1073"/>
      <c r="G446" s="1073"/>
      <c r="H446" s="1073"/>
      <c r="I446" s="1073"/>
      <c r="J446" s="1073"/>
      <c r="K446" s="1073"/>
      <c r="L446" s="1073"/>
      <c r="M446" s="1073"/>
      <c r="N446" s="1073"/>
      <c r="O446" s="1073"/>
      <c r="P446" s="1073"/>
      <c r="Q446" s="1073"/>
      <c r="R446" s="1073"/>
      <c r="S446" s="1073"/>
      <c r="T446" s="1073"/>
      <c r="U446" s="1073"/>
      <c r="V446" s="1073"/>
      <c r="W446" s="1073"/>
      <c r="X446" s="1073"/>
      <c r="Y446" s="1073"/>
      <c r="Z446" s="1073"/>
    </row>
    <row r="447" spans="1:26" ht="12.75" customHeight="1">
      <c r="A447" s="1073"/>
      <c r="B447" s="1073"/>
      <c r="C447" s="1073"/>
      <c r="D447" s="1073"/>
      <c r="E447" s="1073"/>
      <c r="F447" s="1073"/>
      <c r="G447" s="1073"/>
      <c r="H447" s="1073"/>
      <c r="I447" s="1073"/>
      <c r="J447" s="1073"/>
      <c r="K447" s="1073"/>
      <c r="L447" s="1073"/>
      <c r="M447" s="1073"/>
      <c r="N447" s="1073"/>
      <c r="O447" s="1073"/>
      <c r="P447" s="1073"/>
      <c r="Q447" s="1073"/>
      <c r="R447" s="1073"/>
      <c r="S447" s="1073"/>
      <c r="T447" s="1073"/>
      <c r="U447" s="1073"/>
      <c r="V447" s="1073"/>
      <c r="W447" s="1073"/>
      <c r="X447" s="1073"/>
      <c r="Y447" s="1073"/>
      <c r="Z447" s="1073"/>
    </row>
    <row r="448" spans="1:26" ht="12.75" customHeight="1">
      <c r="A448" s="1073"/>
      <c r="B448" s="1073"/>
      <c r="C448" s="1073"/>
      <c r="D448" s="1073"/>
      <c r="E448" s="1073"/>
      <c r="F448" s="1073"/>
      <c r="G448" s="1073"/>
      <c r="H448" s="1073"/>
      <c r="I448" s="1073"/>
      <c r="J448" s="1073"/>
      <c r="K448" s="1073"/>
      <c r="L448" s="1073"/>
      <c r="M448" s="1073"/>
      <c r="N448" s="1073"/>
      <c r="O448" s="1073"/>
      <c r="P448" s="1073"/>
      <c r="Q448" s="1073"/>
      <c r="R448" s="1073"/>
      <c r="S448" s="1073"/>
      <c r="T448" s="1073"/>
      <c r="U448" s="1073"/>
      <c r="V448" s="1073"/>
      <c r="W448" s="1073"/>
      <c r="X448" s="1073"/>
      <c r="Y448" s="1073"/>
      <c r="Z448" s="1073"/>
    </row>
    <row r="449" spans="1:26" ht="12.75" customHeight="1">
      <c r="A449" s="1073"/>
      <c r="B449" s="1073"/>
      <c r="C449" s="1073"/>
      <c r="D449" s="1073"/>
      <c r="E449" s="1073"/>
      <c r="F449" s="1073"/>
      <c r="G449" s="1073"/>
      <c r="H449" s="1073"/>
      <c r="I449" s="1073"/>
      <c r="J449" s="1073"/>
      <c r="K449" s="1073"/>
      <c r="L449" s="1073"/>
      <c r="M449" s="1073"/>
      <c r="N449" s="1073"/>
      <c r="O449" s="1073"/>
      <c r="P449" s="1073"/>
      <c r="Q449" s="1073"/>
      <c r="R449" s="1073"/>
      <c r="S449" s="1073"/>
      <c r="T449" s="1073"/>
      <c r="U449" s="1073"/>
      <c r="V449" s="1073"/>
      <c r="W449" s="1073"/>
      <c r="X449" s="1073"/>
      <c r="Y449" s="1073"/>
      <c r="Z449" s="1073"/>
    </row>
    <row r="450" spans="1:26" ht="12.75" customHeight="1">
      <c r="A450" s="1073"/>
      <c r="B450" s="1073"/>
      <c r="C450" s="1073"/>
      <c r="D450" s="1073"/>
      <c r="E450" s="1073"/>
      <c r="F450" s="1073"/>
      <c r="G450" s="1073"/>
      <c r="H450" s="1073"/>
      <c r="I450" s="1073"/>
      <c r="J450" s="1073"/>
      <c r="K450" s="1073"/>
      <c r="L450" s="1073"/>
      <c r="M450" s="1073"/>
      <c r="N450" s="1073"/>
      <c r="O450" s="1073"/>
      <c r="P450" s="1073"/>
      <c r="Q450" s="1073"/>
      <c r="R450" s="1073"/>
      <c r="S450" s="1073"/>
      <c r="T450" s="1073"/>
      <c r="U450" s="1073"/>
      <c r="V450" s="1073"/>
      <c r="W450" s="1073"/>
      <c r="X450" s="1073"/>
      <c r="Y450" s="1073"/>
      <c r="Z450" s="1073"/>
    </row>
    <row r="451" spans="1:26" ht="12.75" customHeight="1">
      <c r="A451" s="1073"/>
      <c r="B451" s="1073"/>
      <c r="C451" s="1073"/>
      <c r="D451" s="1073"/>
      <c r="E451" s="1073"/>
      <c r="F451" s="1073"/>
      <c r="G451" s="1073"/>
      <c r="H451" s="1073"/>
      <c r="I451" s="1073"/>
      <c r="J451" s="1073"/>
      <c r="K451" s="1073"/>
      <c r="L451" s="1073"/>
      <c r="M451" s="1073"/>
      <c r="N451" s="1073"/>
      <c r="O451" s="1073"/>
      <c r="P451" s="1073"/>
      <c r="Q451" s="1073"/>
      <c r="R451" s="1073"/>
      <c r="S451" s="1073"/>
      <c r="T451" s="1073"/>
      <c r="U451" s="1073"/>
      <c r="V451" s="1073"/>
      <c r="W451" s="1073"/>
      <c r="X451" s="1073"/>
      <c r="Y451" s="1073"/>
      <c r="Z451" s="1073"/>
    </row>
    <row r="452" spans="1:26" ht="12.75" customHeight="1">
      <c r="A452" s="1073"/>
      <c r="B452" s="1073"/>
      <c r="C452" s="1073"/>
      <c r="D452" s="1073"/>
      <c r="E452" s="1073"/>
      <c r="F452" s="1073"/>
      <c r="G452" s="1073"/>
      <c r="H452" s="1073"/>
      <c r="I452" s="1073"/>
      <c r="J452" s="1073"/>
      <c r="K452" s="1073"/>
      <c r="L452" s="1073"/>
      <c r="M452" s="1073"/>
      <c r="N452" s="1073"/>
      <c r="O452" s="1073"/>
      <c r="P452" s="1073"/>
      <c r="Q452" s="1073"/>
      <c r="R452" s="1073"/>
      <c r="S452" s="1073"/>
      <c r="T452" s="1073"/>
      <c r="U452" s="1073"/>
      <c r="V452" s="1073"/>
      <c r="W452" s="1073"/>
      <c r="X452" s="1073"/>
      <c r="Y452" s="1073"/>
      <c r="Z452" s="1073"/>
    </row>
    <row r="453" spans="1:26" ht="12.75" customHeight="1">
      <c r="A453" s="1073"/>
      <c r="B453" s="1073"/>
      <c r="C453" s="1073"/>
      <c r="D453" s="1073"/>
      <c r="E453" s="1073"/>
      <c r="F453" s="1073"/>
      <c r="G453" s="1073"/>
      <c r="H453" s="1073"/>
      <c r="I453" s="1073"/>
      <c r="J453" s="1073"/>
      <c r="K453" s="1073"/>
      <c r="L453" s="1073"/>
      <c r="M453" s="1073"/>
      <c r="N453" s="1073"/>
      <c r="O453" s="1073"/>
      <c r="P453" s="1073"/>
      <c r="Q453" s="1073"/>
      <c r="R453" s="1073"/>
      <c r="S453" s="1073"/>
      <c r="T453" s="1073"/>
      <c r="U453" s="1073"/>
      <c r="V453" s="1073"/>
      <c r="W453" s="1073"/>
      <c r="X453" s="1073"/>
      <c r="Y453" s="1073"/>
      <c r="Z453" s="1073"/>
    </row>
    <row r="454" spans="1:26" ht="12.75" customHeight="1">
      <c r="A454" s="1073"/>
      <c r="B454" s="1073"/>
      <c r="C454" s="1073"/>
      <c r="D454" s="1073"/>
      <c r="E454" s="1073"/>
      <c r="F454" s="1073"/>
      <c r="G454" s="1073"/>
      <c r="H454" s="1073"/>
      <c r="I454" s="1073"/>
      <c r="J454" s="1073"/>
      <c r="K454" s="1073"/>
      <c r="L454" s="1073"/>
      <c r="M454" s="1073"/>
      <c r="N454" s="1073"/>
      <c r="O454" s="1073"/>
      <c r="P454" s="1073"/>
      <c r="Q454" s="1073"/>
      <c r="R454" s="1073"/>
      <c r="S454" s="1073"/>
      <c r="T454" s="1073"/>
      <c r="U454" s="1073"/>
      <c r="V454" s="1073"/>
      <c r="W454" s="1073"/>
      <c r="X454" s="1073"/>
      <c r="Y454" s="1073"/>
      <c r="Z454" s="1073"/>
    </row>
    <row r="455" spans="1:26" ht="12.75" customHeight="1">
      <c r="A455" s="1073"/>
      <c r="B455" s="1073"/>
      <c r="C455" s="1073"/>
      <c r="D455" s="1073"/>
      <c r="E455" s="1073"/>
      <c r="F455" s="1073"/>
      <c r="G455" s="1073"/>
      <c r="H455" s="1073"/>
      <c r="I455" s="1073"/>
      <c r="J455" s="1073"/>
      <c r="K455" s="1073"/>
      <c r="L455" s="1073"/>
      <c r="M455" s="1073"/>
      <c r="N455" s="1073"/>
      <c r="O455" s="1073"/>
      <c r="P455" s="1073"/>
      <c r="Q455" s="1073"/>
      <c r="R455" s="1073"/>
      <c r="S455" s="1073"/>
      <c r="T455" s="1073"/>
      <c r="U455" s="1073"/>
      <c r="V455" s="1073"/>
      <c r="W455" s="1073"/>
      <c r="X455" s="1073"/>
      <c r="Y455" s="1073"/>
      <c r="Z455" s="1073"/>
    </row>
    <row r="456" spans="1:26" ht="12.75" customHeight="1">
      <c r="A456" s="1073"/>
      <c r="B456" s="1073"/>
      <c r="C456" s="1073"/>
      <c r="D456" s="1073"/>
      <c r="E456" s="1073"/>
      <c r="F456" s="1073"/>
      <c r="G456" s="1073"/>
      <c r="H456" s="1073"/>
      <c r="I456" s="1073"/>
      <c r="J456" s="1073"/>
      <c r="K456" s="1073"/>
      <c r="L456" s="1073"/>
      <c r="M456" s="1073"/>
      <c r="N456" s="1073"/>
      <c r="O456" s="1073"/>
      <c r="P456" s="1073"/>
      <c r="Q456" s="1073"/>
      <c r="R456" s="1073"/>
      <c r="S456" s="1073"/>
      <c r="T456" s="1073"/>
      <c r="U456" s="1073"/>
      <c r="V456" s="1073"/>
      <c r="W456" s="1073"/>
      <c r="X456" s="1073"/>
      <c r="Y456" s="1073"/>
      <c r="Z456" s="1073"/>
    </row>
    <row r="457" spans="1:26" ht="12.75" customHeight="1">
      <c r="A457" s="1073"/>
      <c r="B457" s="1073"/>
      <c r="C457" s="1073"/>
      <c r="D457" s="1073"/>
      <c r="E457" s="1073"/>
      <c r="F457" s="1073"/>
      <c r="G457" s="1073"/>
      <c r="H457" s="1073"/>
      <c r="I457" s="1073"/>
      <c r="J457" s="1073"/>
      <c r="K457" s="1073"/>
      <c r="L457" s="1073"/>
      <c r="M457" s="1073"/>
      <c r="N457" s="1073"/>
      <c r="O457" s="1073"/>
      <c r="P457" s="1073"/>
      <c r="Q457" s="1073"/>
      <c r="R457" s="1073"/>
      <c r="S457" s="1073"/>
      <c r="T457" s="1073"/>
      <c r="U457" s="1073"/>
      <c r="V457" s="1073"/>
      <c r="W457" s="1073"/>
      <c r="X457" s="1073"/>
      <c r="Y457" s="1073"/>
      <c r="Z457" s="1073"/>
    </row>
    <row r="458" spans="1:26" ht="12.75" customHeight="1">
      <c r="A458" s="1073"/>
      <c r="B458" s="1073"/>
      <c r="C458" s="1073"/>
      <c r="D458" s="1073"/>
      <c r="E458" s="1073"/>
      <c r="F458" s="1073"/>
      <c r="G458" s="1073"/>
      <c r="H458" s="1073"/>
      <c r="I458" s="1073"/>
      <c r="J458" s="1073"/>
      <c r="K458" s="1073"/>
      <c r="L458" s="1073"/>
      <c r="M458" s="1073"/>
      <c r="N458" s="1073"/>
      <c r="O458" s="1073"/>
      <c r="P458" s="1073"/>
      <c r="Q458" s="1073"/>
      <c r="R458" s="1073"/>
      <c r="S458" s="1073"/>
      <c r="T458" s="1073"/>
      <c r="U458" s="1073"/>
      <c r="V458" s="1073"/>
      <c r="W458" s="1073"/>
      <c r="X458" s="1073"/>
      <c r="Y458" s="1073"/>
      <c r="Z458" s="1073"/>
    </row>
    <row r="459" spans="1:26" ht="12.75" customHeight="1">
      <c r="A459" s="1073"/>
      <c r="B459" s="1073"/>
      <c r="C459" s="1073"/>
      <c r="D459" s="1073"/>
      <c r="E459" s="1073"/>
      <c r="F459" s="1073"/>
      <c r="G459" s="1073"/>
      <c r="H459" s="1073"/>
      <c r="I459" s="1073"/>
      <c r="J459" s="1073"/>
      <c r="K459" s="1073"/>
      <c r="L459" s="1073"/>
      <c r="M459" s="1073"/>
      <c r="N459" s="1073"/>
      <c r="O459" s="1073"/>
      <c r="P459" s="1073"/>
      <c r="Q459" s="1073"/>
      <c r="R459" s="1073"/>
      <c r="S459" s="1073"/>
      <c r="T459" s="1073"/>
      <c r="U459" s="1073"/>
      <c r="V459" s="1073"/>
      <c r="W459" s="1073"/>
      <c r="X459" s="1073"/>
      <c r="Y459" s="1073"/>
      <c r="Z459" s="1073"/>
    </row>
    <row r="460" spans="1:26" ht="12.75" customHeight="1">
      <c r="A460" s="1073"/>
      <c r="B460" s="1073"/>
      <c r="C460" s="1073"/>
      <c r="D460" s="1073"/>
      <c r="E460" s="1073"/>
      <c r="F460" s="1073"/>
      <c r="G460" s="1073"/>
      <c r="H460" s="1073"/>
      <c r="I460" s="1073"/>
      <c r="J460" s="1073"/>
      <c r="K460" s="1073"/>
      <c r="L460" s="1073"/>
      <c r="M460" s="1073"/>
      <c r="N460" s="1073"/>
      <c r="O460" s="1073"/>
      <c r="P460" s="1073"/>
      <c r="Q460" s="1073"/>
      <c r="R460" s="1073"/>
      <c r="S460" s="1073"/>
      <c r="T460" s="1073"/>
      <c r="U460" s="1073"/>
      <c r="V460" s="1073"/>
      <c r="W460" s="1073"/>
      <c r="X460" s="1073"/>
      <c r="Y460" s="1073"/>
      <c r="Z460" s="1073"/>
    </row>
    <row r="461" spans="1:26" ht="12.75" customHeight="1">
      <c r="A461" s="1073"/>
      <c r="B461" s="1073"/>
      <c r="C461" s="1073"/>
      <c r="D461" s="1073"/>
      <c r="E461" s="1073"/>
      <c r="F461" s="1073"/>
      <c r="G461" s="1073"/>
      <c r="H461" s="1073"/>
      <c r="I461" s="1073"/>
      <c r="J461" s="1073"/>
      <c r="K461" s="1073"/>
      <c r="L461" s="1073"/>
      <c r="M461" s="1073"/>
      <c r="N461" s="1073"/>
      <c r="O461" s="1073"/>
      <c r="P461" s="1073"/>
      <c r="Q461" s="1073"/>
      <c r="R461" s="1073"/>
      <c r="S461" s="1073"/>
      <c r="T461" s="1073"/>
      <c r="U461" s="1073"/>
      <c r="V461" s="1073"/>
      <c r="W461" s="1073"/>
      <c r="X461" s="1073"/>
      <c r="Y461" s="1073"/>
      <c r="Z461" s="1073"/>
    </row>
    <row r="462" spans="1:26" ht="12.75" customHeight="1">
      <c r="A462" s="1073"/>
      <c r="B462" s="1073"/>
      <c r="C462" s="1073"/>
      <c r="D462" s="1073"/>
      <c r="E462" s="1073"/>
      <c r="F462" s="1073"/>
      <c r="G462" s="1073"/>
      <c r="H462" s="1073"/>
      <c r="I462" s="1073"/>
      <c r="J462" s="1073"/>
      <c r="K462" s="1073"/>
      <c r="L462" s="1073"/>
      <c r="M462" s="1073"/>
      <c r="N462" s="1073"/>
      <c r="O462" s="1073"/>
      <c r="P462" s="1073"/>
      <c r="Q462" s="1073"/>
      <c r="R462" s="1073"/>
      <c r="S462" s="1073"/>
      <c r="T462" s="1073"/>
      <c r="U462" s="1073"/>
      <c r="V462" s="1073"/>
      <c r="W462" s="1073"/>
      <c r="X462" s="1073"/>
      <c r="Y462" s="1073"/>
      <c r="Z462" s="1073"/>
    </row>
    <row r="463" spans="1:26" ht="12.75" customHeight="1">
      <c r="A463" s="1073"/>
      <c r="B463" s="1073"/>
      <c r="C463" s="1073"/>
      <c r="D463" s="1073"/>
      <c r="E463" s="1073"/>
      <c r="F463" s="1073"/>
      <c r="G463" s="1073"/>
      <c r="H463" s="1073"/>
      <c r="I463" s="1073"/>
      <c r="J463" s="1073"/>
      <c r="K463" s="1073"/>
      <c r="L463" s="1073"/>
      <c r="M463" s="1073"/>
      <c r="N463" s="1073"/>
      <c r="O463" s="1073"/>
      <c r="P463" s="1073"/>
      <c r="Q463" s="1073"/>
      <c r="R463" s="1073"/>
      <c r="S463" s="1073"/>
      <c r="T463" s="1073"/>
      <c r="U463" s="1073"/>
      <c r="V463" s="1073"/>
      <c r="W463" s="1073"/>
      <c r="X463" s="1073"/>
      <c r="Y463" s="1073"/>
      <c r="Z463" s="1073"/>
    </row>
    <row r="464" spans="1:26" ht="12.75" customHeight="1">
      <c r="A464" s="1073"/>
      <c r="B464" s="1073"/>
      <c r="C464" s="1073"/>
      <c r="D464" s="1073"/>
      <c r="E464" s="1073"/>
      <c r="F464" s="1073"/>
      <c r="G464" s="1073"/>
      <c r="H464" s="1073"/>
      <c r="I464" s="1073"/>
      <c r="J464" s="1073"/>
      <c r="K464" s="1073"/>
      <c r="L464" s="1073"/>
      <c r="M464" s="1073"/>
      <c r="N464" s="1073"/>
      <c r="O464" s="1073"/>
      <c r="P464" s="1073"/>
      <c r="Q464" s="1073"/>
      <c r="R464" s="1073"/>
      <c r="S464" s="1073"/>
      <c r="T464" s="1073"/>
      <c r="U464" s="1073"/>
      <c r="V464" s="1073"/>
      <c r="W464" s="1073"/>
      <c r="X464" s="1073"/>
      <c r="Y464" s="1073"/>
      <c r="Z464" s="1073"/>
    </row>
    <row r="465" spans="1:26" ht="12.75" customHeight="1">
      <c r="A465" s="1073"/>
      <c r="B465" s="1073"/>
      <c r="C465" s="1073"/>
      <c r="D465" s="1073"/>
      <c r="E465" s="1073"/>
      <c r="F465" s="1073"/>
      <c r="G465" s="1073"/>
      <c r="H465" s="1073"/>
      <c r="I465" s="1073"/>
      <c r="J465" s="1073"/>
      <c r="K465" s="1073"/>
      <c r="L465" s="1073"/>
      <c r="M465" s="1073"/>
      <c r="N465" s="1073"/>
      <c r="O465" s="1073"/>
      <c r="P465" s="1073"/>
      <c r="Q465" s="1073"/>
      <c r="R465" s="1073"/>
      <c r="S465" s="1073"/>
      <c r="T465" s="1073"/>
      <c r="U465" s="1073"/>
      <c r="V465" s="1073"/>
      <c r="W465" s="1073"/>
      <c r="X465" s="1073"/>
      <c r="Y465" s="1073"/>
      <c r="Z465" s="1073"/>
    </row>
    <row r="466" spans="1:26" ht="12.75" customHeight="1">
      <c r="A466" s="1073"/>
      <c r="B466" s="1073"/>
      <c r="C466" s="1073"/>
      <c r="D466" s="1073"/>
      <c r="E466" s="1073"/>
      <c r="F466" s="1073"/>
      <c r="G466" s="1073"/>
      <c r="H466" s="1073"/>
      <c r="I466" s="1073"/>
      <c r="J466" s="1073"/>
      <c r="K466" s="1073"/>
      <c r="L466" s="1073"/>
      <c r="M466" s="1073"/>
      <c r="N466" s="1073"/>
      <c r="O466" s="1073"/>
      <c r="P466" s="1073"/>
      <c r="Q466" s="1073"/>
      <c r="R466" s="1073"/>
      <c r="S466" s="1073"/>
      <c r="T466" s="1073"/>
      <c r="U466" s="1073"/>
      <c r="V466" s="1073"/>
      <c r="W466" s="1073"/>
      <c r="X466" s="1073"/>
      <c r="Y466" s="1073"/>
      <c r="Z466" s="1073"/>
    </row>
    <row r="467" spans="1:26" ht="12.75" customHeight="1">
      <c r="A467" s="1073"/>
      <c r="B467" s="1073"/>
      <c r="C467" s="1073"/>
      <c r="D467" s="1073"/>
      <c r="E467" s="1073"/>
      <c r="F467" s="1073"/>
      <c r="G467" s="1073"/>
      <c r="H467" s="1073"/>
      <c r="I467" s="1073"/>
      <c r="J467" s="1073"/>
      <c r="K467" s="1073"/>
      <c r="L467" s="1073"/>
      <c r="M467" s="1073"/>
      <c r="N467" s="1073"/>
      <c r="O467" s="1073"/>
      <c r="P467" s="1073"/>
      <c r="Q467" s="1073"/>
      <c r="R467" s="1073"/>
      <c r="S467" s="1073"/>
      <c r="T467" s="1073"/>
      <c r="U467" s="1073"/>
      <c r="V467" s="1073"/>
      <c r="W467" s="1073"/>
      <c r="X467" s="1073"/>
      <c r="Y467" s="1073"/>
      <c r="Z467" s="1073"/>
    </row>
    <row r="468" spans="1:26" ht="12.75" customHeight="1">
      <c r="A468" s="1073"/>
      <c r="B468" s="1073"/>
      <c r="C468" s="1073"/>
      <c r="D468" s="1073"/>
      <c r="E468" s="1073"/>
      <c r="F468" s="1073"/>
      <c r="G468" s="1073"/>
      <c r="H468" s="1073"/>
      <c r="I468" s="1073"/>
      <c r="J468" s="1073"/>
      <c r="K468" s="1073"/>
      <c r="L468" s="1073"/>
      <c r="M468" s="1073"/>
      <c r="N468" s="1073"/>
      <c r="O468" s="1073"/>
      <c r="P468" s="1073"/>
      <c r="Q468" s="1073"/>
      <c r="R468" s="1073"/>
      <c r="S468" s="1073"/>
      <c r="T468" s="1073"/>
      <c r="U468" s="1073"/>
      <c r="V468" s="1073"/>
      <c r="W468" s="1073"/>
      <c r="X468" s="1073"/>
      <c r="Y468" s="1073"/>
      <c r="Z468" s="1073"/>
    </row>
    <row r="469" spans="1:26" ht="12.75" customHeight="1">
      <c r="A469" s="1073"/>
      <c r="B469" s="1073"/>
      <c r="C469" s="1073"/>
      <c r="D469" s="1073"/>
      <c r="E469" s="1073"/>
      <c r="F469" s="1073"/>
      <c r="G469" s="1073"/>
      <c r="H469" s="1073"/>
      <c r="I469" s="1073"/>
      <c r="J469" s="1073"/>
      <c r="K469" s="1073"/>
      <c r="L469" s="1073"/>
      <c r="M469" s="1073"/>
      <c r="N469" s="1073"/>
      <c r="O469" s="1073"/>
      <c r="P469" s="1073"/>
      <c r="Q469" s="1073"/>
      <c r="R469" s="1073"/>
      <c r="S469" s="1073"/>
      <c r="T469" s="1073"/>
      <c r="U469" s="1073"/>
      <c r="V469" s="1073"/>
      <c r="W469" s="1073"/>
      <c r="X469" s="1073"/>
      <c r="Y469" s="1073"/>
      <c r="Z469" s="1073"/>
    </row>
    <row r="470" spans="1:26" ht="12.75" customHeight="1">
      <c r="A470" s="1073"/>
      <c r="B470" s="1073"/>
      <c r="C470" s="1073"/>
      <c r="D470" s="1073"/>
      <c r="E470" s="1073"/>
      <c r="F470" s="1073"/>
      <c r="G470" s="1073"/>
      <c r="H470" s="1073"/>
      <c r="I470" s="1073"/>
      <c r="J470" s="1073"/>
      <c r="K470" s="1073"/>
      <c r="L470" s="1073"/>
      <c r="M470" s="1073"/>
      <c r="N470" s="1073"/>
      <c r="O470" s="1073"/>
      <c r="P470" s="1073"/>
      <c r="Q470" s="1073"/>
      <c r="R470" s="1073"/>
      <c r="S470" s="1073"/>
      <c r="T470" s="1073"/>
      <c r="U470" s="1073"/>
      <c r="V470" s="1073"/>
      <c r="W470" s="1073"/>
      <c r="X470" s="1073"/>
      <c r="Y470" s="1073"/>
      <c r="Z470" s="1073"/>
    </row>
    <row r="471" spans="1:26" ht="12.75" customHeight="1">
      <c r="A471" s="1073"/>
      <c r="B471" s="1073"/>
      <c r="C471" s="1073"/>
      <c r="D471" s="1073"/>
      <c r="E471" s="1073"/>
      <c r="F471" s="1073"/>
      <c r="G471" s="1073"/>
      <c r="H471" s="1073"/>
      <c r="I471" s="1073"/>
      <c r="J471" s="1073"/>
      <c r="K471" s="1073"/>
      <c r="L471" s="1073"/>
      <c r="M471" s="1073"/>
      <c r="N471" s="1073"/>
      <c r="O471" s="1073"/>
      <c r="P471" s="1073"/>
      <c r="Q471" s="1073"/>
      <c r="R471" s="1073"/>
      <c r="S471" s="1073"/>
      <c r="T471" s="1073"/>
      <c r="U471" s="1073"/>
      <c r="V471" s="1073"/>
      <c r="W471" s="1073"/>
      <c r="X471" s="1073"/>
      <c r="Y471" s="1073"/>
      <c r="Z471" s="1073"/>
    </row>
    <row r="472" spans="1:26" ht="12.75" customHeight="1">
      <c r="A472" s="1073"/>
      <c r="B472" s="1073"/>
      <c r="C472" s="1073"/>
      <c r="D472" s="1073"/>
      <c r="E472" s="1073"/>
      <c r="F472" s="1073"/>
      <c r="G472" s="1073"/>
      <c r="H472" s="1073"/>
      <c r="I472" s="1073"/>
      <c r="J472" s="1073"/>
      <c r="K472" s="1073"/>
      <c r="L472" s="1073"/>
      <c r="M472" s="1073"/>
      <c r="N472" s="1073"/>
      <c r="O472" s="1073"/>
      <c r="P472" s="1073"/>
      <c r="Q472" s="1073"/>
      <c r="R472" s="1073"/>
      <c r="S472" s="1073"/>
      <c r="T472" s="1073"/>
      <c r="U472" s="1073"/>
      <c r="V472" s="1073"/>
      <c r="W472" s="1073"/>
      <c r="X472" s="1073"/>
      <c r="Y472" s="1073"/>
      <c r="Z472" s="1073"/>
    </row>
    <row r="473" spans="1:26" ht="12.75" customHeight="1">
      <c r="A473" s="1073"/>
      <c r="B473" s="1073"/>
      <c r="C473" s="1073"/>
      <c r="D473" s="1073"/>
      <c r="E473" s="1073"/>
      <c r="F473" s="1073"/>
      <c r="G473" s="1073"/>
      <c r="H473" s="1073"/>
      <c r="I473" s="1073"/>
      <c r="J473" s="1073"/>
      <c r="K473" s="1073"/>
      <c r="L473" s="1073"/>
      <c r="M473" s="1073"/>
      <c r="N473" s="1073"/>
      <c r="O473" s="1073"/>
      <c r="P473" s="1073"/>
      <c r="Q473" s="1073"/>
      <c r="R473" s="1073"/>
      <c r="S473" s="1073"/>
      <c r="T473" s="1073"/>
      <c r="U473" s="1073"/>
      <c r="V473" s="1073"/>
      <c r="W473" s="1073"/>
      <c r="X473" s="1073"/>
      <c r="Y473" s="1073"/>
      <c r="Z473" s="1073"/>
    </row>
    <row r="474" spans="1:26" ht="12.75" customHeight="1">
      <c r="A474" s="1073"/>
      <c r="B474" s="1073"/>
      <c r="C474" s="1073"/>
      <c r="D474" s="1073"/>
      <c r="E474" s="1073"/>
      <c r="F474" s="1073"/>
      <c r="G474" s="1073"/>
      <c r="H474" s="1073"/>
      <c r="I474" s="1073"/>
      <c r="J474" s="1073"/>
      <c r="K474" s="1073"/>
      <c r="L474" s="1073"/>
      <c r="M474" s="1073"/>
      <c r="N474" s="1073"/>
      <c r="O474" s="1073"/>
      <c r="P474" s="1073"/>
      <c r="Q474" s="1073"/>
      <c r="R474" s="1073"/>
      <c r="S474" s="1073"/>
      <c r="T474" s="1073"/>
      <c r="U474" s="1073"/>
      <c r="V474" s="1073"/>
      <c r="W474" s="1073"/>
      <c r="X474" s="1073"/>
      <c r="Y474" s="1073"/>
      <c r="Z474" s="1073"/>
    </row>
    <row r="475" spans="1:26" ht="12.75" customHeight="1">
      <c r="A475" s="1073"/>
      <c r="B475" s="1073"/>
      <c r="C475" s="1073"/>
      <c r="D475" s="1073"/>
      <c r="E475" s="1073"/>
      <c r="F475" s="1073"/>
      <c r="G475" s="1073"/>
      <c r="H475" s="1073"/>
      <c r="I475" s="1073"/>
      <c r="J475" s="1073"/>
      <c r="K475" s="1073"/>
      <c r="L475" s="1073"/>
      <c r="M475" s="1073"/>
      <c r="N475" s="1073"/>
      <c r="O475" s="1073"/>
      <c r="P475" s="1073"/>
      <c r="Q475" s="1073"/>
      <c r="R475" s="1073"/>
      <c r="S475" s="1073"/>
      <c r="T475" s="1073"/>
      <c r="U475" s="1073"/>
      <c r="V475" s="1073"/>
      <c r="W475" s="1073"/>
      <c r="X475" s="1073"/>
      <c r="Y475" s="1073"/>
      <c r="Z475" s="1073"/>
    </row>
    <row r="476" spans="1:26" ht="12.75" customHeight="1">
      <c r="A476" s="1073"/>
      <c r="B476" s="1073"/>
      <c r="C476" s="1073"/>
      <c r="D476" s="1073"/>
      <c r="E476" s="1073"/>
      <c r="F476" s="1073"/>
      <c r="G476" s="1073"/>
      <c r="H476" s="1073"/>
      <c r="I476" s="1073"/>
      <c r="J476" s="1073"/>
      <c r="K476" s="1073"/>
      <c r="L476" s="1073"/>
      <c r="M476" s="1073"/>
      <c r="N476" s="1073"/>
      <c r="O476" s="1073"/>
      <c r="P476" s="1073"/>
      <c r="Q476" s="1073"/>
      <c r="R476" s="1073"/>
      <c r="S476" s="1073"/>
      <c r="T476" s="1073"/>
      <c r="U476" s="1073"/>
      <c r="V476" s="1073"/>
      <c r="W476" s="1073"/>
      <c r="X476" s="1073"/>
      <c r="Y476" s="1073"/>
      <c r="Z476" s="1073"/>
    </row>
    <row r="477" spans="1:26" ht="12.75" customHeight="1">
      <c r="A477" s="1073"/>
      <c r="B477" s="1073"/>
      <c r="C477" s="1073"/>
      <c r="D477" s="1073"/>
      <c r="E477" s="1073"/>
      <c r="F477" s="1073"/>
      <c r="G477" s="1073"/>
      <c r="H477" s="1073"/>
      <c r="I477" s="1073"/>
      <c r="J477" s="1073"/>
      <c r="K477" s="1073"/>
      <c r="L477" s="1073"/>
      <c r="M477" s="1073"/>
      <c r="N477" s="1073"/>
      <c r="O477" s="1073"/>
      <c r="P477" s="1073"/>
      <c r="Q477" s="1073"/>
      <c r="R477" s="1073"/>
      <c r="S477" s="1073"/>
      <c r="T477" s="1073"/>
      <c r="U477" s="1073"/>
      <c r="V477" s="1073"/>
      <c r="W477" s="1073"/>
      <c r="X477" s="1073"/>
      <c r="Y477" s="1073"/>
      <c r="Z477" s="1073"/>
    </row>
    <row r="478" spans="1:26" ht="12.75" customHeight="1">
      <c r="A478" s="1073"/>
      <c r="B478" s="1073"/>
      <c r="C478" s="1073"/>
      <c r="D478" s="1073"/>
      <c r="E478" s="1073"/>
      <c r="F478" s="1073"/>
      <c r="G478" s="1073"/>
      <c r="H478" s="1073"/>
      <c r="I478" s="1073"/>
      <c r="J478" s="1073"/>
      <c r="K478" s="1073"/>
      <c r="L478" s="1073"/>
      <c r="M478" s="1073"/>
      <c r="N478" s="1073"/>
      <c r="O478" s="1073"/>
      <c r="P478" s="1073"/>
      <c r="Q478" s="1073"/>
      <c r="R478" s="1073"/>
      <c r="S478" s="1073"/>
      <c r="T478" s="1073"/>
      <c r="U478" s="1073"/>
      <c r="V478" s="1073"/>
      <c r="W478" s="1073"/>
      <c r="X478" s="1073"/>
      <c r="Y478" s="1073"/>
      <c r="Z478" s="1073"/>
    </row>
    <row r="479" spans="1:26" ht="12.75" customHeight="1">
      <c r="A479" s="1073"/>
      <c r="B479" s="1073"/>
      <c r="C479" s="1073"/>
      <c r="D479" s="1073"/>
      <c r="E479" s="1073"/>
      <c r="F479" s="1073"/>
      <c r="G479" s="1073"/>
      <c r="H479" s="1073"/>
      <c r="I479" s="1073"/>
      <c r="J479" s="1073"/>
      <c r="K479" s="1073"/>
      <c r="L479" s="1073"/>
      <c r="M479" s="1073"/>
      <c r="N479" s="1073"/>
      <c r="O479" s="1073"/>
      <c r="P479" s="1073"/>
      <c r="Q479" s="1073"/>
      <c r="R479" s="1073"/>
      <c r="S479" s="1073"/>
      <c r="T479" s="1073"/>
      <c r="U479" s="1073"/>
      <c r="V479" s="1073"/>
      <c r="W479" s="1073"/>
      <c r="X479" s="1073"/>
      <c r="Y479" s="1073"/>
      <c r="Z479" s="1073"/>
    </row>
    <row r="480" spans="1:26" ht="12.75" customHeight="1">
      <c r="A480" s="1073"/>
      <c r="B480" s="1073"/>
      <c r="C480" s="1073"/>
      <c r="D480" s="1073"/>
      <c r="E480" s="1073"/>
      <c r="F480" s="1073"/>
      <c r="G480" s="1073"/>
      <c r="H480" s="1073"/>
      <c r="I480" s="1073"/>
      <c r="J480" s="1073"/>
      <c r="K480" s="1073"/>
      <c r="L480" s="1073"/>
      <c r="M480" s="1073"/>
      <c r="N480" s="1073"/>
      <c r="O480" s="1073"/>
      <c r="P480" s="1073"/>
      <c r="Q480" s="1073"/>
      <c r="R480" s="1073"/>
      <c r="S480" s="1073"/>
      <c r="T480" s="1073"/>
      <c r="U480" s="1073"/>
      <c r="V480" s="1073"/>
      <c r="W480" s="1073"/>
      <c r="X480" s="1073"/>
      <c r="Y480" s="1073"/>
      <c r="Z480" s="1073"/>
    </row>
    <row r="481" spans="1:26" ht="12.75" customHeight="1">
      <c r="A481" s="1073"/>
      <c r="B481" s="1073"/>
      <c r="C481" s="1073"/>
      <c r="D481" s="1073"/>
      <c r="E481" s="1073"/>
      <c r="F481" s="1073"/>
      <c r="G481" s="1073"/>
      <c r="H481" s="1073"/>
      <c r="I481" s="1073"/>
      <c r="J481" s="1073"/>
      <c r="K481" s="1073"/>
      <c r="L481" s="1073"/>
      <c r="M481" s="1073"/>
      <c r="N481" s="1073"/>
      <c r="O481" s="1073"/>
      <c r="P481" s="1073"/>
      <c r="Q481" s="1073"/>
      <c r="R481" s="1073"/>
      <c r="S481" s="1073"/>
      <c r="T481" s="1073"/>
      <c r="U481" s="1073"/>
      <c r="V481" s="1073"/>
      <c r="W481" s="1073"/>
      <c r="X481" s="1073"/>
      <c r="Y481" s="1073"/>
      <c r="Z481" s="1073"/>
    </row>
    <row r="482" spans="1:26" ht="12.75" customHeight="1">
      <c r="A482" s="1073"/>
      <c r="B482" s="1073"/>
      <c r="C482" s="1073"/>
      <c r="D482" s="1073"/>
      <c r="E482" s="1073"/>
      <c r="F482" s="1073"/>
      <c r="G482" s="1073"/>
      <c r="H482" s="1073"/>
      <c r="I482" s="1073"/>
      <c r="J482" s="1073"/>
      <c r="K482" s="1073"/>
      <c r="L482" s="1073"/>
      <c r="M482" s="1073"/>
      <c r="N482" s="1073"/>
      <c r="O482" s="1073"/>
      <c r="P482" s="1073"/>
      <c r="Q482" s="1073"/>
      <c r="R482" s="1073"/>
      <c r="S482" s="1073"/>
      <c r="T482" s="1073"/>
      <c r="U482" s="1073"/>
      <c r="V482" s="1073"/>
      <c r="W482" s="1073"/>
      <c r="X482" s="1073"/>
      <c r="Y482" s="1073"/>
      <c r="Z482" s="1073"/>
    </row>
    <row r="483" spans="1:26" ht="12.75" customHeight="1">
      <c r="A483" s="1073"/>
      <c r="B483" s="1073"/>
      <c r="C483" s="1073"/>
      <c r="D483" s="1073"/>
      <c r="E483" s="1073"/>
      <c r="F483" s="1073"/>
      <c r="G483" s="1073"/>
      <c r="H483" s="1073"/>
      <c r="I483" s="1073"/>
      <c r="J483" s="1073"/>
      <c r="K483" s="1073"/>
      <c r="L483" s="1073"/>
      <c r="M483" s="1073"/>
      <c r="N483" s="1073"/>
      <c r="O483" s="1073"/>
      <c r="P483" s="1073"/>
      <c r="Q483" s="1073"/>
      <c r="R483" s="1073"/>
      <c r="S483" s="1073"/>
      <c r="T483" s="1073"/>
      <c r="U483" s="1073"/>
      <c r="V483" s="1073"/>
      <c r="W483" s="1073"/>
      <c r="X483" s="1073"/>
      <c r="Y483" s="1073"/>
      <c r="Z483" s="1073"/>
    </row>
    <row r="484" spans="1:26" ht="12.75" customHeight="1">
      <c r="A484" s="1073"/>
      <c r="B484" s="1073"/>
      <c r="C484" s="1073"/>
      <c r="D484" s="1073"/>
      <c r="E484" s="1073"/>
      <c r="F484" s="1073"/>
      <c r="G484" s="1073"/>
      <c r="H484" s="1073"/>
      <c r="I484" s="1073"/>
      <c r="J484" s="1073"/>
      <c r="K484" s="1073"/>
      <c r="L484" s="1073"/>
      <c r="M484" s="1073"/>
      <c r="N484" s="1073"/>
      <c r="O484" s="1073"/>
      <c r="P484" s="1073"/>
      <c r="Q484" s="1073"/>
      <c r="R484" s="1073"/>
      <c r="S484" s="1073"/>
      <c r="T484" s="1073"/>
      <c r="U484" s="1073"/>
      <c r="V484" s="1073"/>
      <c r="W484" s="1073"/>
      <c r="X484" s="1073"/>
      <c r="Y484" s="1073"/>
      <c r="Z484" s="1073"/>
    </row>
    <row r="485" spans="1:26" ht="12.75" customHeight="1">
      <c r="A485" s="1073"/>
      <c r="B485" s="1073"/>
      <c r="C485" s="1073"/>
      <c r="D485" s="1073"/>
      <c r="E485" s="1073"/>
      <c r="F485" s="1073"/>
      <c r="G485" s="1073"/>
      <c r="H485" s="1073"/>
      <c r="I485" s="1073"/>
      <c r="J485" s="1073"/>
      <c r="K485" s="1073"/>
      <c r="L485" s="1073"/>
      <c r="M485" s="1073"/>
      <c r="N485" s="1073"/>
      <c r="O485" s="1073"/>
      <c r="P485" s="1073"/>
      <c r="Q485" s="1073"/>
      <c r="R485" s="1073"/>
      <c r="S485" s="1073"/>
      <c r="T485" s="1073"/>
      <c r="U485" s="1073"/>
      <c r="V485" s="1073"/>
      <c r="W485" s="1073"/>
      <c r="X485" s="1073"/>
      <c r="Y485" s="1073"/>
      <c r="Z485" s="1073"/>
    </row>
    <row r="486" spans="1:26" ht="12.75" customHeight="1">
      <c r="A486" s="1073"/>
      <c r="B486" s="1073"/>
      <c r="C486" s="1073"/>
      <c r="D486" s="1073"/>
      <c r="E486" s="1073"/>
      <c r="F486" s="1073"/>
      <c r="G486" s="1073"/>
      <c r="H486" s="1073"/>
      <c r="I486" s="1073"/>
      <c r="J486" s="1073"/>
      <c r="K486" s="1073"/>
      <c r="L486" s="1073"/>
      <c r="M486" s="1073"/>
      <c r="N486" s="1073"/>
      <c r="O486" s="1073"/>
      <c r="P486" s="1073"/>
      <c r="Q486" s="1073"/>
      <c r="R486" s="1073"/>
      <c r="S486" s="1073"/>
      <c r="T486" s="1073"/>
      <c r="U486" s="1073"/>
      <c r="V486" s="1073"/>
      <c r="W486" s="1073"/>
      <c r="X486" s="1073"/>
      <c r="Y486" s="1073"/>
      <c r="Z486" s="1073"/>
    </row>
    <row r="487" spans="1:26" ht="12.75" customHeight="1">
      <c r="A487" s="1073"/>
      <c r="B487" s="1073"/>
      <c r="C487" s="1073"/>
      <c r="D487" s="1073"/>
      <c r="E487" s="1073"/>
      <c r="F487" s="1073"/>
      <c r="G487" s="1073"/>
      <c r="H487" s="1073"/>
      <c r="I487" s="1073"/>
      <c r="J487" s="1073"/>
      <c r="K487" s="1073"/>
      <c r="L487" s="1073"/>
      <c r="M487" s="1073"/>
      <c r="N487" s="1073"/>
      <c r="O487" s="1073"/>
      <c r="P487" s="1073"/>
      <c r="Q487" s="1073"/>
      <c r="R487" s="1073"/>
      <c r="S487" s="1073"/>
      <c r="T487" s="1073"/>
      <c r="U487" s="1073"/>
      <c r="V487" s="1073"/>
      <c r="W487" s="1073"/>
      <c r="X487" s="1073"/>
      <c r="Y487" s="1073"/>
      <c r="Z487" s="1073"/>
    </row>
    <row r="488" spans="1:26" ht="12.75" customHeight="1">
      <c r="A488" s="1073"/>
      <c r="B488" s="1073"/>
      <c r="C488" s="1073"/>
      <c r="D488" s="1073"/>
      <c r="E488" s="1073"/>
      <c r="F488" s="1073"/>
      <c r="G488" s="1073"/>
      <c r="H488" s="1073"/>
      <c r="I488" s="1073"/>
      <c r="J488" s="1073"/>
      <c r="K488" s="1073"/>
      <c r="L488" s="1073"/>
      <c r="M488" s="1073"/>
      <c r="N488" s="1073"/>
      <c r="O488" s="1073"/>
      <c r="P488" s="1073"/>
      <c r="Q488" s="1073"/>
      <c r="R488" s="1073"/>
      <c r="S488" s="1073"/>
      <c r="T488" s="1073"/>
      <c r="U488" s="1073"/>
      <c r="V488" s="1073"/>
      <c r="W488" s="1073"/>
      <c r="X488" s="1073"/>
      <c r="Y488" s="1073"/>
      <c r="Z488" s="1073"/>
    </row>
    <row r="489" spans="1:26" ht="12.75" customHeight="1">
      <c r="A489" s="1073"/>
      <c r="B489" s="1073"/>
      <c r="C489" s="1073"/>
      <c r="D489" s="1073"/>
      <c r="E489" s="1073"/>
      <c r="F489" s="1073"/>
      <c r="G489" s="1073"/>
      <c r="H489" s="1073"/>
      <c r="I489" s="1073"/>
      <c r="J489" s="1073"/>
      <c r="K489" s="1073"/>
      <c r="L489" s="1073"/>
      <c r="M489" s="1073"/>
      <c r="N489" s="1073"/>
      <c r="O489" s="1073"/>
      <c r="P489" s="1073"/>
      <c r="Q489" s="1073"/>
      <c r="R489" s="1073"/>
      <c r="S489" s="1073"/>
      <c r="T489" s="1073"/>
      <c r="U489" s="1073"/>
      <c r="V489" s="1073"/>
      <c r="W489" s="1073"/>
      <c r="X489" s="1073"/>
      <c r="Y489" s="1073"/>
      <c r="Z489" s="1073"/>
    </row>
    <row r="490" spans="1:26" ht="12.75" customHeight="1">
      <c r="A490" s="1073"/>
      <c r="B490" s="1073"/>
      <c r="C490" s="1073"/>
      <c r="D490" s="1073"/>
      <c r="E490" s="1073"/>
      <c r="F490" s="1073"/>
      <c r="G490" s="1073"/>
      <c r="H490" s="1073"/>
      <c r="I490" s="1073"/>
      <c r="J490" s="1073"/>
      <c r="K490" s="1073"/>
      <c r="L490" s="1073"/>
      <c r="M490" s="1073"/>
      <c r="N490" s="1073"/>
      <c r="O490" s="1073"/>
      <c r="P490" s="1073"/>
      <c r="Q490" s="1073"/>
      <c r="R490" s="1073"/>
      <c r="S490" s="1073"/>
      <c r="T490" s="1073"/>
      <c r="U490" s="1073"/>
      <c r="V490" s="1073"/>
      <c r="W490" s="1073"/>
      <c r="X490" s="1073"/>
      <c r="Y490" s="1073"/>
      <c r="Z490" s="1073"/>
    </row>
    <row r="491" spans="1:26" ht="12.75" customHeight="1">
      <c r="A491" s="1073"/>
      <c r="B491" s="1073"/>
      <c r="C491" s="1073"/>
      <c r="D491" s="1073"/>
      <c r="E491" s="1073"/>
      <c r="F491" s="1073"/>
      <c r="G491" s="1073"/>
      <c r="H491" s="1073"/>
      <c r="I491" s="1073"/>
      <c r="J491" s="1073"/>
      <c r="K491" s="1073"/>
      <c r="L491" s="1073"/>
      <c r="M491" s="1073"/>
      <c r="N491" s="1073"/>
      <c r="O491" s="1073"/>
      <c r="P491" s="1073"/>
      <c r="Q491" s="1073"/>
      <c r="R491" s="1073"/>
      <c r="S491" s="1073"/>
      <c r="T491" s="1073"/>
      <c r="U491" s="1073"/>
      <c r="V491" s="1073"/>
      <c r="W491" s="1073"/>
      <c r="X491" s="1073"/>
      <c r="Y491" s="1073"/>
      <c r="Z491" s="1073"/>
    </row>
    <row r="492" spans="1:26" ht="12.75" customHeight="1">
      <c r="A492" s="1073"/>
      <c r="B492" s="1073"/>
      <c r="C492" s="1073"/>
      <c r="D492" s="1073"/>
      <c r="E492" s="1073"/>
      <c r="F492" s="1073"/>
      <c r="G492" s="1073"/>
      <c r="H492" s="1073"/>
      <c r="I492" s="1073"/>
      <c r="J492" s="1073"/>
      <c r="K492" s="1073"/>
      <c r="L492" s="1073"/>
      <c r="M492" s="1073"/>
      <c r="N492" s="1073"/>
      <c r="O492" s="1073"/>
      <c r="P492" s="1073"/>
      <c r="Q492" s="1073"/>
      <c r="R492" s="1073"/>
      <c r="S492" s="1073"/>
      <c r="T492" s="1073"/>
      <c r="U492" s="1073"/>
      <c r="V492" s="1073"/>
      <c r="W492" s="1073"/>
      <c r="X492" s="1073"/>
      <c r="Y492" s="1073"/>
      <c r="Z492" s="1073"/>
    </row>
    <row r="493" spans="1:26" ht="12.75" customHeight="1">
      <c r="A493" s="1073"/>
      <c r="B493" s="1073"/>
      <c r="C493" s="1073"/>
      <c r="D493" s="1073"/>
      <c r="E493" s="1073"/>
      <c r="F493" s="1073"/>
      <c r="G493" s="1073"/>
      <c r="H493" s="1073"/>
      <c r="I493" s="1073"/>
      <c r="J493" s="1073"/>
      <c r="K493" s="1073"/>
      <c r="L493" s="1073"/>
      <c r="M493" s="1073"/>
      <c r="N493" s="1073"/>
      <c r="O493" s="1073"/>
      <c r="P493" s="1073"/>
      <c r="Q493" s="1073"/>
      <c r="R493" s="1073"/>
      <c r="S493" s="1073"/>
      <c r="T493" s="1073"/>
      <c r="U493" s="1073"/>
      <c r="V493" s="1073"/>
      <c r="W493" s="1073"/>
      <c r="X493" s="1073"/>
      <c r="Y493" s="1073"/>
      <c r="Z493" s="1073"/>
    </row>
    <row r="494" spans="1:26" ht="12.75" customHeight="1">
      <c r="A494" s="1073"/>
      <c r="B494" s="1073"/>
      <c r="C494" s="1073"/>
      <c r="D494" s="1073"/>
      <c r="E494" s="1073"/>
      <c r="F494" s="1073"/>
      <c r="G494" s="1073"/>
      <c r="H494" s="1073"/>
      <c r="I494" s="1073"/>
      <c r="J494" s="1073"/>
      <c r="K494" s="1073"/>
      <c r="L494" s="1073"/>
      <c r="M494" s="1073"/>
      <c r="N494" s="1073"/>
      <c r="O494" s="1073"/>
      <c r="P494" s="1073"/>
      <c r="Q494" s="1073"/>
      <c r="R494" s="1073"/>
      <c r="S494" s="1073"/>
      <c r="T494" s="1073"/>
      <c r="U494" s="1073"/>
      <c r="V494" s="1073"/>
      <c r="W494" s="1073"/>
      <c r="X494" s="1073"/>
      <c r="Y494" s="1073"/>
      <c r="Z494" s="1073"/>
    </row>
    <row r="495" spans="1:26" ht="12.75" customHeight="1">
      <c r="A495" s="1073"/>
      <c r="B495" s="1073"/>
      <c r="C495" s="1073"/>
      <c r="D495" s="1073"/>
      <c r="E495" s="1073"/>
      <c r="F495" s="1073"/>
      <c r="G495" s="1073"/>
      <c r="H495" s="1073"/>
      <c r="I495" s="1073"/>
      <c r="J495" s="1073"/>
      <c r="K495" s="1073"/>
      <c r="L495" s="1073"/>
      <c r="M495" s="1073"/>
      <c r="N495" s="1073"/>
      <c r="O495" s="1073"/>
      <c r="P495" s="1073"/>
      <c r="Q495" s="1073"/>
      <c r="R495" s="1073"/>
      <c r="S495" s="1073"/>
      <c r="T495" s="1073"/>
      <c r="U495" s="1073"/>
      <c r="V495" s="1073"/>
      <c r="W495" s="1073"/>
      <c r="X495" s="1073"/>
      <c r="Y495" s="1073"/>
      <c r="Z495" s="1073"/>
    </row>
    <row r="496" spans="1:26" ht="12.75" customHeight="1">
      <c r="A496" s="1073"/>
      <c r="B496" s="1073"/>
      <c r="C496" s="1073"/>
      <c r="D496" s="1073"/>
      <c r="E496" s="1073"/>
      <c r="F496" s="1073"/>
      <c r="G496" s="1073"/>
      <c r="H496" s="1073"/>
      <c r="I496" s="1073"/>
      <c r="J496" s="1073"/>
      <c r="K496" s="1073"/>
      <c r="L496" s="1073"/>
      <c r="M496" s="1073"/>
      <c r="N496" s="1073"/>
      <c r="O496" s="1073"/>
      <c r="P496" s="1073"/>
      <c r="Q496" s="1073"/>
      <c r="R496" s="1073"/>
      <c r="S496" s="1073"/>
      <c r="T496" s="1073"/>
      <c r="U496" s="1073"/>
      <c r="V496" s="1073"/>
      <c r="W496" s="1073"/>
      <c r="X496" s="1073"/>
      <c r="Y496" s="1073"/>
      <c r="Z496" s="1073"/>
    </row>
    <row r="497" spans="1:26" ht="12.75" customHeight="1">
      <c r="A497" s="1073"/>
      <c r="B497" s="1073"/>
      <c r="C497" s="1073"/>
      <c r="D497" s="1073"/>
      <c r="E497" s="1073"/>
      <c r="F497" s="1073"/>
      <c r="G497" s="1073"/>
      <c r="H497" s="1073"/>
      <c r="I497" s="1073"/>
      <c r="J497" s="1073"/>
      <c r="K497" s="1073"/>
      <c r="L497" s="1073"/>
      <c r="M497" s="1073"/>
      <c r="N497" s="1073"/>
      <c r="O497" s="1073"/>
      <c r="P497" s="1073"/>
      <c r="Q497" s="1073"/>
      <c r="R497" s="1073"/>
      <c r="S497" s="1073"/>
      <c r="T497" s="1073"/>
      <c r="U497" s="1073"/>
      <c r="V497" s="1073"/>
      <c r="W497" s="1073"/>
      <c r="X497" s="1073"/>
      <c r="Y497" s="1073"/>
      <c r="Z497" s="1073"/>
    </row>
    <row r="498" spans="1:26" ht="12.75" customHeight="1">
      <c r="A498" s="1073"/>
      <c r="B498" s="1073"/>
      <c r="C498" s="1073"/>
      <c r="D498" s="1073"/>
      <c r="E498" s="1073"/>
      <c r="F498" s="1073"/>
      <c r="G498" s="1073"/>
      <c r="H498" s="1073"/>
      <c r="I498" s="1073"/>
      <c r="J498" s="1073"/>
      <c r="K498" s="1073"/>
      <c r="L498" s="1073"/>
      <c r="M498" s="1073"/>
      <c r="N498" s="1073"/>
      <c r="O498" s="1073"/>
      <c r="P498" s="1073"/>
      <c r="Q498" s="1073"/>
      <c r="R498" s="1073"/>
      <c r="S498" s="1073"/>
      <c r="T498" s="1073"/>
      <c r="U498" s="1073"/>
      <c r="V498" s="1073"/>
      <c r="W498" s="1073"/>
      <c r="X498" s="1073"/>
      <c r="Y498" s="1073"/>
      <c r="Z498" s="1073"/>
    </row>
    <row r="499" spans="1:26" ht="12.75" customHeight="1">
      <c r="A499" s="1073"/>
      <c r="B499" s="1073"/>
      <c r="C499" s="1073"/>
      <c r="D499" s="1073"/>
      <c r="E499" s="1073"/>
      <c r="F499" s="1073"/>
      <c r="G499" s="1073"/>
      <c r="H499" s="1073"/>
      <c r="I499" s="1073"/>
      <c r="J499" s="1073"/>
      <c r="K499" s="1073"/>
      <c r="L499" s="1073"/>
      <c r="M499" s="1073"/>
      <c r="N499" s="1073"/>
      <c r="O499" s="1073"/>
      <c r="P499" s="1073"/>
      <c r="Q499" s="1073"/>
      <c r="R499" s="1073"/>
      <c r="S499" s="1073"/>
      <c r="T499" s="1073"/>
      <c r="U499" s="1073"/>
      <c r="V499" s="1073"/>
      <c r="W499" s="1073"/>
      <c r="X499" s="1073"/>
      <c r="Y499" s="1073"/>
      <c r="Z499" s="1073"/>
    </row>
    <row r="500" spans="1:26" ht="12.75" customHeight="1">
      <c r="A500" s="1073"/>
      <c r="B500" s="1073"/>
      <c r="C500" s="1073"/>
      <c r="D500" s="1073"/>
      <c r="E500" s="1073"/>
      <c r="F500" s="1073"/>
      <c r="G500" s="1073"/>
      <c r="H500" s="1073"/>
      <c r="I500" s="1073"/>
      <c r="J500" s="1073"/>
      <c r="K500" s="1073"/>
      <c r="L500" s="1073"/>
      <c r="M500" s="1073"/>
      <c r="N500" s="1073"/>
      <c r="O500" s="1073"/>
      <c r="P500" s="1073"/>
      <c r="Q500" s="1073"/>
      <c r="R500" s="1073"/>
      <c r="S500" s="1073"/>
      <c r="T500" s="1073"/>
      <c r="U500" s="1073"/>
      <c r="V500" s="1073"/>
      <c r="W500" s="1073"/>
      <c r="X500" s="1073"/>
      <c r="Y500" s="1073"/>
      <c r="Z500" s="1073"/>
    </row>
    <row r="501" spans="1:26" ht="12.75" customHeight="1">
      <c r="A501" s="1073"/>
      <c r="B501" s="1073"/>
      <c r="C501" s="1073"/>
      <c r="D501" s="1073"/>
      <c r="E501" s="1073"/>
      <c r="F501" s="1073"/>
      <c r="G501" s="1073"/>
      <c r="H501" s="1073"/>
      <c r="I501" s="1073"/>
      <c r="J501" s="1073"/>
      <c r="K501" s="1073"/>
      <c r="L501" s="1073"/>
      <c r="M501" s="1073"/>
      <c r="N501" s="1073"/>
      <c r="O501" s="1073"/>
      <c r="P501" s="1073"/>
      <c r="Q501" s="1073"/>
      <c r="R501" s="1073"/>
      <c r="S501" s="1073"/>
      <c r="T501" s="1073"/>
      <c r="U501" s="1073"/>
      <c r="V501" s="1073"/>
      <c r="W501" s="1073"/>
      <c r="X501" s="1073"/>
      <c r="Y501" s="1073"/>
      <c r="Z501" s="1073"/>
    </row>
    <row r="502" spans="1:26" ht="12.75" customHeight="1">
      <c r="A502" s="1073"/>
      <c r="B502" s="1073"/>
      <c r="C502" s="1073"/>
      <c r="D502" s="1073"/>
      <c r="E502" s="1073"/>
      <c r="F502" s="1073"/>
      <c r="G502" s="1073"/>
      <c r="H502" s="1073"/>
      <c r="I502" s="1073"/>
      <c r="J502" s="1073"/>
      <c r="K502" s="1073"/>
      <c r="L502" s="1073"/>
      <c r="M502" s="1073"/>
      <c r="N502" s="1073"/>
      <c r="O502" s="1073"/>
      <c r="P502" s="1073"/>
      <c r="Q502" s="1073"/>
      <c r="R502" s="1073"/>
      <c r="S502" s="1073"/>
      <c r="T502" s="1073"/>
      <c r="U502" s="1073"/>
      <c r="V502" s="1073"/>
      <c r="W502" s="1073"/>
      <c r="X502" s="1073"/>
      <c r="Y502" s="1073"/>
      <c r="Z502" s="1073"/>
    </row>
    <row r="503" spans="1:26" ht="12.75" customHeight="1">
      <c r="A503" s="1073"/>
      <c r="B503" s="1073"/>
      <c r="C503" s="1073"/>
      <c r="D503" s="1073"/>
      <c r="E503" s="1073"/>
      <c r="F503" s="1073"/>
      <c r="G503" s="1073"/>
      <c r="H503" s="1073"/>
      <c r="I503" s="1073"/>
      <c r="J503" s="1073"/>
      <c r="K503" s="1073"/>
      <c r="L503" s="1073"/>
      <c r="M503" s="1073"/>
      <c r="N503" s="1073"/>
      <c r="O503" s="1073"/>
      <c r="P503" s="1073"/>
      <c r="Q503" s="1073"/>
      <c r="R503" s="1073"/>
      <c r="S503" s="1073"/>
      <c r="T503" s="1073"/>
      <c r="U503" s="1073"/>
      <c r="V503" s="1073"/>
      <c r="W503" s="1073"/>
      <c r="X503" s="1073"/>
      <c r="Y503" s="1073"/>
      <c r="Z503" s="1073"/>
    </row>
    <row r="504" spans="1:26" ht="12.75" customHeight="1">
      <c r="A504" s="1073"/>
      <c r="B504" s="1073"/>
      <c r="C504" s="1073"/>
      <c r="D504" s="1073"/>
      <c r="E504" s="1073"/>
      <c r="F504" s="1073"/>
      <c r="G504" s="1073"/>
      <c r="H504" s="1073"/>
      <c r="I504" s="1073"/>
      <c r="J504" s="1073"/>
      <c r="K504" s="1073"/>
      <c r="L504" s="1073"/>
      <c r="M504" s="1073"/>
      <c r="N504" s="1073"/>
      <c r="O504" s="1073"/>
      <c r="P504" s="1073"/>
      <c r="Q504" s="1073"/>
      <c r="R504" s="1073"/>
      <c r="S504" s="1073"/>
      <c r="T504" s="1073"/>
      <c r="U504" s="1073"/>
      <c r="V504" s="1073"/>
      <c r="W504" s="1073"/>
      <c r="X504" s="1073"/>
      <c r="Y504" s="1073"/>
      <c r="Z504" s="1073"/>
    </row>
    <row r="505" spans="1:26" ht="12.75" customHeight="1">
      <c r="A505" s="1073"/>
      <c r="B505" s="1073"/>
      <c r="C505" s="1073"/>
      <c r="D505" s="1073"/>
      <c r="E505" s="1073"/>
      <c r="F505" s="1073"/>
      <c r="G505" s="1073"/>
      <c r="H505" s="1073"/>
      <c r="I505" s="1073"/>
      <c r="J505" s="1073"/>
      <c r="K505" s="1073"/>
      <c r="L505" s="1073"/>
      <c r="M505" s="1073"/>
      <c r="N505" s="1073"/>
      <c r="O505" s="1073"/>
      <c r="P505" s="1073"/>
      <c r="Q505" s="1073"/>
      <c r="R505" s="1073"/>
      <c r="S505" s="1073"/>
      <c r="T505" s="1073"/>
      <c r="U505" s="1073"/>
      <c r="V505" s="1073"/>
      <c r="W505" s="1073"/>
      <c r="X505" s="1073"/>
      <c r="Y505" s="1073"/>
      <c r="Z505" s="1073"/>
    </row>
    <row r="506" spans="1:26" ht="12.75" customHeight="1">
      <c r="A506" s="1073"/>
      <c r="B506" s="1073"/>
      <c r="C506" s="1073"/>
      <c r="D506" s="1073"/>
      <c r="E506" s="1073"/>
      <c r="F506" s="1073"/>
      <c r="G506" s="1073"/>
      <c r="H506" s="1073"/>
      <c r="I506" s="1073"/>
      <c r="J506" s="1073"/>
      <c r="K506" s="1073"/>
      <c r="L506" s="1073"/>
      <c r="M506" s="1073"/>
      <c r="N506" s="1073"/>
      <c r="O506" s="1073"/>
      <c r="P506" s="1073"/>
      <c r="Q506" s="1073"/>
      <c r="R506" s="1073"/>
      <c r="S506" s="1073"/>
      <c r="T506" s="1073"/>
      <c r="U506" s="1073"/>
      <c r="V506" s="1073"/>
      <c r="W506" s="1073"/>
      <c r="X506" s="1073"/>
      <c r="Y506" s="1073"/>
      <c r="Z506" s="1073"/>
    </row>
    <row r="507" spans="1:26" ht="12.75" customHeight="1">
      <c r="A507" s="1073"/>
      <c r="B507" s="1073"/>
      <c r="C507" s="1073"/>
      <c r="D507" s="1073"/>
      <c r="E507" s="1073"/>
      <c r="F507" s="1073"/>
      <c r="G507" s="1073"/>
      <c r="H507" s="1073"/>
      <c r="I507" s="1073"/>
      <c r="J507" s="1073"/>
      <c r="K507" s="1073"/>
      <c r="L507" s="1073"/>
      <c r="M507" s="1073"/>
      <c r="N507" s="1073"/>
      <c r="O507" s="1073"/>
      <c r="P507" s="1073"/>
      <c r="Q507" s="1073"/>
      <c r="R507" s="1073"/>
      <c r="S507" s="1073"/>
      <c r="T507" s="1073"/>
      <c r="U507" s="1073"/>
      <c r="V507" s="1073"/>
      <c r="W507" s="1073"/>
      <c r="X507" s="1073"/>
      <c r="Y507" s="1073"/>
      <c r="Z507" s="1073"/>
    </row>
    <row r="508" spans="1:26" ht="12.75" customHeight="1">
      <c r="A508" s="1073"/>
      <c r="B508" s="1073"/>
      <c r="C508" s="1073"/>
      <c r="D508" s="1073"/>
      <c r="E508" s="1073"/>
      <c r="F508" s="1073"/>
      <c r="G508" s="1073"/>
      <c r="H508" s="1073"/>
      <c r="I508" s="1073"/>
      <c r="J508" s="1073"/>
      <c r="K508" s="1073"/>
      <c r="L508" s="1073"/>
      <c r="M508" s="1073"/>
      <c r="N508" s="1073"/>
      <c r="O508" s="1073"/>
      <c r="P508" s="1073"/>
      <c r="Q508" s="1073"/>
      <c r="R508" s="1073"/>
      <c r="S508" s="1073"/>
      <c r="T508" s="1073"/>
      <c r="U508" s="1073"/>
      <c r="V508" s="1073"/>
      <c r="W508" s="1073"/>
      <c r="X508" s="1073"/>
      <c r="Y508" s="1073"/>
      <c r="Z508" s="1073"/>
    </row>
    <row r="509" spans="1:26" ht="12.75" customHeight="1">
      <c r="A509" s="1073"/>
      <c r="B509" s="1073"/>
      <c r="C509" s="1073"/>
      <c r="D509" s="1073"/>
      <c r="E509" s="1073"/>
      <c r="F509" s="1073"/>
      <c r="G509" s="1073"/>
      <c r="H509" s="1073"/>
      <c r="I509" s="1073"/>
      <c r="J509" s="1073"/>
      <c r="K509" s="1073"/>
      <c r="L509" s="1073"/>
      <c r="M509" s="1073"/>
      <c r="N509" s="1073"/>
      <c r="O509" s="1073"/>
      <c r="P509" s="1073"/>
      <c r="Q509" s="1073"/>
      <c r="R509" s="1073"/>
      <c r="S509" s="1073"/>
      <c r="T509" s="1073"/>
      <c r="U509" s="1073"/>
      <c r="V509" s="1073"/>
      <c r="W509" s="1073"/>
      <c r="X509" s="1073"/>
      <c r="Y509" s="1073"/>
      <c r="Z509" s="1073"/>
    </row>
    <row r="510" spans="1:26" ht="12.75" customHeight="1">
      <c r="A510" s="1073"/>
      <c r="B510" s="1073"/>
      <c r="C510" s="1073"/>
      <c r="D510" s="1073"/>
      <c r="E510" s="1073"/>
      <c r="F510" s="1073"/>
      <c r="G510" s="1073"/>
      <c r="H510" s="1073"/>
      <c r="I510" s="1073"/>
      <c r="J510" s="1073"/>
      <c r="K510" s="1073"/>
      <c r="L510" s="1073"/>
      <c r="M510" s="1073"/>
      <c r="N510" s="1073"/>
      <c r="O510" s="1073"/>
      <c r="P510" s="1073"/>
      <c r="Q510" s="1073"/>
      <c r="R510" s="1073"/>
      <c r="S510" s="1073"/>
      <c r="T510" s="1073"/>
      <c r="U510" s="1073"/>
      <c r="V510" s="1073"/>
      <c r="W510" s="1073"/>
      <c r="X510" s="1073"/>
      <c r="Y510" s="1073"/>
      <c r="Z510" s="1073"/>
    </row>
    <row r="511" spans="1:26" ht="12.75" customHeight="1">
      <c r="A511" s="1073"/>
      <c r="B511" s="1073"/>
      <c r="C511" s="1073"/>
      <c r="D511" s="1073"/>
      <c r="E511" s="1073"/>
      <c r="F511" s="1073"/>
      <c r="G511" s="1073"/>
      <c r="H511" s="1073"/>
      <c r="I511" s="1073"/>
      <c r="J511" s="1073"/>
      <c r="K511" s="1073"/>
      <c r="L511" s="1073"/>
      <c r="M511" s="1073"/>
      <c r="N511" s="1073"/>
      <c r="O511" s="1073"/>
      <c r="P511" s="1073"/>
      <c r="Q511" s="1073"/>
      <c r="R511" s="1073"/>
      <c r="S511" s="1073"/>
      <c r="T511" s="1073"/>
      <c r="U511" s="1073"/>
      <c r="V511" s="1073"/>
      <c r="W511" s="1073"/>
      <c r="X511" s="1073"/>
      <c r="Y511" s="1073"/>
      <c r="Z511" s="1073"/>
    </row>
    <row r="512" spans="1:26" ht="12.75" customHeight="1">
      <c r="A512" s="1073"/>
      <c r="B512" s="1073"/>
      <c r="C512" s="1073"/>
      <c r="D512" s="1073"/>
      <c r="E512" s="1073"/>
      <c r="F512" s="1073"/>
      <c r="G512" s="1073"/>
      <c r="H512" s="1073"/>
      <c r="I512" s="1073"/>
      <c r="J512" s="1073"/>
      <c r="K512" s="1073"/>
      <c r="L512" s="1073"/>
      <c r="M512" s="1073"/>
      <c r="N512" s="1073"/>
      <c r="O512" s="1073"/>
      <c r="P512" s="1073"/>
      <c r="Q512" s="1073"/>
      <c r="R512" s="1073"/>
      <c r="S512" s="1073"/>
      <c r="T512" s="1073"/>
      <c r="U512" s="1073"/>
      <c r="V512" s="1073"/>
      <c r="W512" s="1073"/>
      <c r="X512" s="1073"/>
      <c r="Y512" s="1073"/>
      <c r="Z512" s="1073"/>
    </row>
    <row r="513" spans="1:26" ht="12.75" customHeight="1">
      <c r="A513" s="1073"/>
      <c r="B513" s="1073"/>
      <c r="C513" s="1073"/>
      <c r="D513" s="1073"/>
      <c r="E513" s="1073"/>
      <c r="F513" s="1073"/>
      <c r="G513" s="1073"/>
      <c r="H513" s="1073"/>
      <c r="I513" s="1073"/>
      <c r="J513" s="1073"/>
      <c r="K513" s="1073"/>
      <c r="L513" s="1073"/>
      <c r="M513" s="1073"/>
      <c r="N513" s="1073"/>
      <c r="O513" s="1073"/>
      <c r="P513" s="1073"/>
      <c r="Q513" s="1073"/>
      <c r="R513" s="1073"/>
      <c r="S513" s="1073"/>
      <c r="T513" s="1073"/>
      <c r="U513" s="1073"/>
      <c r="V513" s="1073"/>
      <c r="W513" s="1073"/>
      <c r="X513" s="1073"/>
      <c r="Y513" s="1073"/>
      <c r="Z513" s="1073"/>
    </row>
    <row r="514" spans="1:26" ht="12.75" customHeight="1">
      <c r="A514" s="1073"/>
      <c r="B514" s="1073"/>
      <c r="C514" s="1073"/>
      <c r="D514" s="1073"/>
      <c r="E514" s="1073"/>
      <c r="F514" s="1073"/>
      <c r="G514" s="1073"/>
      <c r="H514" s="1073"/>
      <c r="I514" s="1073"/>
      <c r="J514" s="1073"/>
      <c r="K514" s="1073"/>
      <c r="L514" s="1073"/>
      <c r="M514" s="1073"/>
      <c r="N514" s="1073"/>
      <c r="O514" s="1073"/>
      <c r="P514" s="1073"/>
      <c r="Q514" s="1073"/>
      <c r="R514" s="1073"/>
      <c r="S514" s="1073"/>
      <c r="T514" s="1073"/>
      <c r="U514" s="1073"/>
      <c r="V514" s="1073"/>
      <c r="W514" s="1073"/>
      <c r="X514" s="1073"/>
      <c r="Y514" s="1073"/>
      <c r="Z514" s="1073"/>
    </row>
    <row r="515" spans="1:26" ht="12.75" customHeight="1">
      <c r="A515" s="1073"/>
      <c r="B515" s="1073"/>
      <c r="C515" s="1073"/>
      <c r="D515" s="1073"/>
      <c r="E515" s="1073"/>
      <c r="F515" s="1073"/>
      <c r="G515" s="1073"/>
      <c r="H515" s="1073"/>
      <c r="I515" s="1073"/>
      <c r="J515" s="1073"/>
      <c r="K515" s="1073"/>
      <c r="L515" s="1073"/>
      <c r="M515" s="1073"/>
      <c r="N515" s="1073"/>
      <c r="O515" s="1073"/>
      <c r="P515" s="1073"/>
      <c r="Q515" s="1073"/>
      <c r="R515" s="1073"/>
      <c r="S515" s="1073"/>
      <c r="T515" s="1073"/>
      <c r="U515" s="1073"/>
      <c r="V515" s="1073"/>
      <c r="W515" s="1073"/>
      <c r="X515" s="1073"/>
      <c r="Y515" s="1073"/>
      <c r="Z515" s="1073"/>
    </row>
    <row r="516" spans="1:26" ht="12.75" customHeight="1">
      <c r="A516" s="1073"/>
      <c r="B516" s="1073"/>
      <c r="C516" s="1073"/>
      <c r="D516" s="1073"/>
      <c r="E516" s="1073"/>
      <c r="F516" s="1073"/>
      <c r="G516" s="1073"/>
      <c r="H516" s="1073"/>
      <c r="I516" s="1073"/>
      <c r="J516" s="1073"/>
      <c r="K516" s="1073"/>
      <c r="L516" s="1073"/>
      <c r="M516" s="1073"/>
      <c r="N516" s="1073"/>
      <c r="O516" s="1073"/>
      <c r="P516" s="1073"/>
      <c r="Q516" s="1073"/>
      <c r="R516" s="1073"/>
      <c r="S516" s="1073"/>
      <c r="T516" s="1073"/>
      <c r="U516" s="1073"/>
      <c r="V516" s="1073"/>
      <c r="W516" s="1073"/>
      <c r="X516" s="1073"/>
      <c r="Y516" s="1073"/>
      <c r="Z516" s="1073"/>
    </row>
    <row r="517" spans="1:26" ht="12.75" customHeight="1">
      <c r="A517" s="1073"/>
      <c r="B517" s="1073"/>
      <c r="C517" s="1073"/>
      <c r="D517" s="1073"/>
      <c r="E517" s="1073"/>
      <c r="F517" s="1073"/>
      <c r="G517" s="1073"/>
      <c r="H517" s="1073"/>
      <c r="I517" s="1073"/>
      <c r="J517" s="1073"/>
      <c r="K517" s="1073"/>
      <c r="L517" s="1073"/>
      <c r="M517" s="1073"/>
      <c r="N517" s="1073"/>
      <c r="O517" s="1073"/>
      <c r="P517" s="1073"/>
      <c r="Q517" s="1073"/>
      <c r="R517" s="1073"/>
      <c r="S517" s="1073"/>
      <c r="T517" s="1073"/>
      <c r="U517" s="1073"/>
      <c r="V517" s="1073"/>
      <c r="W517" s="1073"/>
      <c r="X517" s="1073"/>
      <c r="Y517" s="1073"/>
      <c r="Z517" s="1073"/>
    </row>
    <row r="518" spans="1:26" ht="12.75" customHeight="1">
      <c r="A518" s="1073"/>
      <c r="B518" s="1073"/>
      <c r="C518" s="1073"/>
      <c r="D518" s="1073"/>
      <c r="E518" s="1073"/>
      <c r="F518" s="1073"/>
      <c r="G518" s="1073"/>
      <c r="H518" s="1073"/>
      <c r="I518" s="1073"/>
      <c r="J518" s="1073"/>
      <c r="K518" s="1073"/>
      <c r="L518" s="1073"/>
      <c r="M518" s="1073"/>
      <c r="N518" s="1073"/>
      <c r="O518" s="1073"/>
      <c r="P518" s="1073"/>
      <c r="Q518" s="1073"/>
      <c r="R518" s="1073"/>
      <c r="S518" s="1073"/>
      <c r="T518" s="1073"/>
      <c r="U518" s="1073"/>
      <c r="V518" s="1073"/>
      <c r="W518" s="1073"/>
      <c r="X518" s="1073"/>
      <c r="Y518" s="1073"/>
      <c r="Z518" s="1073"/>
    </row>
    <row r="519" spans="1:26" ht="12.75" customHeight="1">
      <c r="A519" s="1073"/>
      <c r="B519" s="1073"/>
      <c r="C519" s="1073"/>
      <c r="D519" s="1073"/>
      <c r="E519" s="1073"/>
      <c r="F519" s="1073"/>
      <c r="G519" s="1073"/>
      <c r="H519" s="1073"/>
      <c r="I519" s="1073"/>
      <c r="J519" s="1073"/>
      <c r="K519" s="1073"/>
      <c r="L519" s="1073"/>
      <c r="M519" s="1073"/>
      <c r="N519" s="1073"/>
      <c r="O519" s="1073"/>
      <c r="P519" s="1073"/>
      <c r="Q519" s="1073"/>
      <c r="R519" s="1073"/>
      <c r="S519" s="1073"/>
      <c r="T519" s="1073"/>
      <c r="U519" s="1073"/>
      <c r="V519" s="1073"/>
      <c r="W519" s="1073"/>
      <c r="X519" s="1073"/>
      <c r="Y519" s="1073"/>
      <c r="Z519" s="1073"/>
    </row>
    <row r="520" spans="1:26" ht="12.75" customHeight="1">
      <c r="A520" s="1073"/>
      <c r="B520" s="1073"/>
      <c r="C520" s="1073"/>
      <c r="D520" s="1073"/>
      <c r="E520" s="1073"/>
      <c r="F520" s="1073"/>
      <c r="G520" s="1073"/>
      <c r="H520" s="1073"/>
      <c r="I520" s="1073"/>
      <c r="J520" s="1073"/>
      <c r="K520" s="1073"/>
      <c r="L520" s="1073"/>
      <c r="M520" s="1073"/>
      <c r="N520" s="1073"/>
      <c r="O520" s="1073"/>
      <c r="P520" s="1073"/>
      <c r="Q520" s="1073"/>
      <c r="R520" s="1073"/>
      <c r="S520" s="1073"/>
      <c r="T520" s="1073"/>
      <c r="U520" s="1073"/>
      <c r="V520" s="1073"/>
      <c r="W520" s="1073"/>
      <c r="X520" s="1073"/>
      <c r="Y520" s="1073"/>
      <c r="Z520" s="1073"/>
    </row>
    <row r="521" spans="1:26" ht="12.75" customHeight="1">
      <c r="A521" s="1073"/>
      <c r="B521" s="1073"/>
      <c r="C521" s="1073"/>
      <c r="D521" s="1073"/>
      <c r="E521" s="1073"/>
      <c r="F521" s="1073"/>
      <c r="G521" s="1073"/>
      <c r="H521" s="1073"/>
      <c r="I521" s="1073"/>
      <c r="J521" s="1073"/>
      <c r="K521" s="1073"/>
      <c r="L521" s="1073"/>
      <c r="M521" s="1073"/>
      <c r="N521" s="1073"/>
      <c r="O521" s="1073"/>
      <c r="P521" s="1073"/>
      <c r="Q521" s="1073"/>
      <c r="R521" s="1073"/>
      <c r="S521" s="1073"/>
      <c r="T521" s="1073"/>
      <c r="U521" s="1073"/>
      <c r="V521" s="1073"/>
      <c r="W521" s="1073"/>
      <c r="X521" s="1073"/>
      <c r="Y521" s="1073"/>
      <c r="Z521" s="1073"/>
    </row>
    <row r="522" spans="1:26" ht="12.75" customHeight="1">
      <c r="A522" s="1073"/>
      <c r="B522" s="1073"/>
      <c r="C522" s="1073"/>
      <c r="D522" s="1073"/>
      <c r="E522" s="1073"/>
      <c r="F522" s="1073"/>
      <c r="G522" s="1073"/>
      <c r="H522" s="1073"/>
      <c r="I522" s="1073"/>
      <c r="J522" s="1073"/>
      <c r="K522" s="1073"/>
      <c r="L522" s="1073"/>
      <c r="M522" s="1073"/>
      <c r="N522" s="1073"/>
      <c r="O522" s="1073"/>
      <c r="P522" s="1073"/>
      <c r="Q522" s="1073"/>
      <c r="R522" s="1073"/>
      <c r="S522" s="1073"/>
      <c r="T522" s="1073"/>
      <c r="U522" s="1073"/>
      <c r="V522" s="1073"/>
      <c r="W522" s="1073"/>
      <c r="X522" s="1073"/>
      <c r="Y522" s="1073"/>
      <c r="Z522" s="1073"/>
    </row>
    <row r="523" spans="1:26" ht="12.75" customHeight="1">
      <c r="A523" s="1073"/>
      <c r="B523" s="1073"/>
      <c r="C523" s="1073"/>
      <c r="D523" s="1073"/>
      <c r="E523" s="1073"/>
      <c r="F523" s="1073"/>
      <c r="G523" s="1073"/>
      <c r="H523" s="1073"/>
      <c r="I523" s="1073"/>
      <c r="J523" s="1073"/>
      <c r="K523" s="1073"/>
      <c r="L523" s="1073"/>
      <c r="M523" s="1073"/>
      <c r="N523" s="1073"/>
      <c r="O523" s="1073"/>
      <c r="P523" s="1073"/>
      <c r="Q523" s="1073"/>
      <c r="R523" s="1073"/>
      <c r="S523" s="1073"/>
      <c r="T523" s="1073"/>
      <c r="U523" s="1073"/>
      <c r="V523" s="1073"/>
      <c r="W523" s="1073"/>
      <c r="X523" s="1073"/>
      <c r="Y523" s="1073"/>
      <c r="Z523" s="1073"/>
    </row>
    <row r="524" spans="1:26" ht="12.75" customHeight="1">
      <c r="A524" s="1073"/>
      <c r="B524" s="1073"/>
      <c r="C524" s="1073"/>
      <c r="D524" s="1073"/>
      <c r="E524" s="1073"/>
      <c r="F524" s="1073"/>
      <c r="G524" s="1073"/>
      <c r="H524" s="1073"/>
      <c r="I524" s="1073"/>
      <c r="J524" s="1073"/>
      <c r="K524" s="1073"/>
      <c r="L524" s="1073"/>
      <c r="M524" s="1073"/>
      <c r="N524" s="1073"/>
      <c r="O524" s="1073"/>
      <c r="P524" s="1073"/>
      <c r="Q524" s="1073"/>
      <c r="R524" s="1073"/>
      <c r="S524" s="1073"/>
      <c r="T524" s="1073"/>
      <c r="U524" s="1073"/>
      <c r="V524" s="1073"/>
      <c r="W524" s="1073"/>
      <c r="X524" s="1073"/>
      <c r="Y524" s="1073"/>
      <c r="Z524" s="1073"/>
    </row>
    <row r="525" spans="1:26" ht="12.75" customHeight="1">
      <c r="A525" s="1073"/>
      <c r="B525" s="1073"/>
      <c r="C525" s="1073"/>
      <c r="D525" s="1073"/>
      <c r="E525" s="1073"/>
      <c r="F525" s="1073"/>
      <c r="G525" s="1073"/>
      <c r="H525" s="1073"/>
      <c r="I525" s="1073"/>
      <c r="J525" s="1073"/>
      <c r="K525" s="1073"/>
      <c r="L525" s="1073"/>
      <c r="M525" s="1073"/>
      <c r="N525" s="1073"/>
      <c r="O525" s="1073"/>
      <c r="P525" s="1073"/>
      <c r="Q525" s="1073"/>
      <c r="R525" s="1073"/>
      <c r="S525" s="1073"/>
      <c r="T525" s="1073"/>
      <c r="U525" s="1073"/>
      <c r="V525" s="1073"/>
      <c r="W525" s="1073"/>
      <c r="X525" s="1073"/>
      <c r="Y525" s="1073"/>
      <c r="Z525" s="1073"/>
    </row>
    <row r="526" spans="1:26" ht="12.75" customHeight="1">
      <c r="A526" s="1073"/>
      <c r="B526" s="1073"/>
      <c r="C526" s="1073"/>
      <c r="D526" s="1073"/>
      <c r="E526" s="1073"/>
      <c r="F526" s="1073"/>
      <c r="G526" s="1073"/>
      <c r="H526" s="1073"/>
      <c r="I526" s="1073"/>
      <c r="J526" s="1073"/>
      <c r="K526" s="1073"/>
      <c r="L526" s="1073"/>
      <c r="M526" s="1073"/>
      <c r="N526" s="1073"/>
      <c r="O526" s="1073"/>
      <c r="P526" s="1073"/>
      <c r="Q526" s="1073"/>
      <c r="R526" s="1073"/>
      <c r="S526" s="1073"/>
      <c r="T526" s="1073"/>
      <c r="U526" s="1073"/>
      <c r="V526" s="1073"/>
      <c r="W526" s="1073"/>
      <c r="X526" s="1073"/>
      <c r="Y526" s="1073"/>
      <c r="Z526" s="1073"/>
    </row>
    <row r="527" spans="1:26" ht="12.75" customHeight="1">
      <c r="A527" s="1073"/>
      <c r="B527" s="1073"/>
      <c r="C527" s="1073"/>
      <c r="D527" s="1073"/>
      <c r="E527" s="1073"/>
      <c r="F527" s="1073"/>
      <c r="G527" s="1073"/>
      <c r="H527" s="1073"/>
      <c r="I527" s="1073"/>
      <c r="J527" s="1073"/>
      <c r="K527" s="1073"/>
      <c r="L527" s="1073"/>
      <c r="M527" s="1073"/>
      <c r="N527" s="1073"/>
      <c r="O527" s="1073"/>
      <c r="P527" s="1073"/>
      <c r="Q527" s="1073"/>
      <c r="R527" s="1073"/>
      <c r="S527" s="1073"/>
      <c r="T527" s="1073"/>
      <c r="U527" s="1073"/>
      <c r="V527" s="1073"/>
      <c r="W527" s="1073"/>
      <c r="X527" s="1073"/>
      <c r="Y527" s="1073"/>
      <c r="Z527" s="1073"/>
    </row>
    <row r="528" spans="1:26" ht="12.75" customHeight="1">
      <c r="A528" s="1073"/>
      <c r="B528" s="1073"/>
      <c r="C528" s="1073"/>
      <c r="D528" s="1073"/>
      <c r="E528" s="1073"/>
      <c r="F528" s="1073"/>
      <c r="G528" s="1073"/>
      <c r="H528" s="1073"/>
      <c r="I528" s="1073"/>
      <c r="J528" s="1073"/>
      <c r="K528" s="1073"/>
      <c r="L528" s="1073"/>
      <c r="M528" s="1073"/>
      <c r="N528" s="1073"/>
      <c r="O528" s="1073"/>
      <c r="P528" s="1073"/>
      <c r="Q528" s="1073"/>
      <c r="R528" s="1073"/>
      <c r="S528" s="1073"/>
      <c r="T528" s="1073"/>
      <c r="U528" s="1073"/>
      <c r="V528" s="1073"/>
      <c r="W528" s="1073"/>
      <c r="X528" s="1073"/>
      <c r="Y528" s="1073"/>
      <c r="Z528" s="1073"/>
    </row>
    <row r="529" spans="1:26" ht="12.75" customHeight="1">
      <c r="A529" s="1073"/>
      <c r="B529" s="1073"/>
      <c r="C529" s="1073"/>
      <c r="D529" s="1073"/>
      <c r="E529" s="1073"/>
      <c r="F529" s="1073"/>
      <c r="G529" s="1073"/>
      <c r="H529" s="1073"/>
      <c r="I529" s="1073"/>
      <c r="J529" s="1073"/>
      <c r="K529" s="1073"/>
      <c r="L529" s="1073"/>
      <c r="M529" s="1073"/>
      <c r="N529" s="1073"/>
      <c r="O529" s="1073"/>
      <c r="P529" s="1073"/>
      <c r="Q529" s="1073"/>
      <c r="R529" s="1073"/>
      <c r="S529" s="1073"/>
      <c r="T529" s="1073"/>
      <c r="U529" s="1073"/>
      <c r="V529" s="1073"/>
      <c r="W529" s="1073"/>
      <c r="X529" s="1073"/>
      <c r="Y529" s="1073"/>
      <c r="Z529" s="1073"/>
    </row>
    <row r="530" spans="1:26" ht="12.75" customHeight="1">
      <c r="A530" s="1073"/>
      <c r="B530" s="1073"/>
      <c r="C530" s="1073"/>
      <c r="D530" s="1073"/>
      <c r="E530" s="1073"/>
      <c r="F530" s="1073"/>
      <c r="G530" s="1073"/>
      <c r="H530" s="1073"/>
      <c r="I530" s="1073"/>
      <c r="J530" s="1073"/>
      <c r="K530" s="1073"/>
      <c r="L530" s="1073"/>
      <c r="M530" s="1073"/>
      <c r="N530" s="1073"/>
      <c r="O530" s="1073"/>
      <c r="P530" s="1073"/>
      <c r="Q530" s="1073"/>
      <c r="R530" s="1073"/>
      <c r="S530" s="1073"/>
      <c r="T530" s="1073"/>
      <c r="U530" s="1073"/>
      <c r="V530" s="1073"/>
      <c r="W530" s="1073"/>
      <c r="X530" s="1073"/>
      <c r="Y530" s="1073"/>
      <c r="Z530" s="1073"/>
    </row>
    <row r="531" spans="1:26" ht="12.75" customHeight="1">
      <c r="A531" s="1073"/>
      <c r="B531" s="1073"/>
      <c r="C531" s="1073"/>
      <c r="D531" s="1073"/>
      <c r="E531" s="1073"/>
      <c r="F531" s="1073"/>
      <c r="G531" s="1073"/>
      <c r="H531" s="1073"/>
      <c r="I531" s="1073"/>
      <c r="J531" s="1073"/>
      <c r="K531" s="1073"/>
      <c r="L531" s="1073"/>
      <c r="M531" s="1073"/>
      <c r="N531" s="1073"/>
      <c r="O531" s="1073"/>
      <c r="P531" s="1073"/>
      <c r="Q531" s="1073"/>
      <c r="R531" s="1073"/>
      <c r="S531" s="1073"/>
      <c r="T531" s="1073"/>
      <c r="U531" s="1073"/>
      <c r="V531" s="1073"/>
      <c r="W531" s="1073"/>
      <c r="X531" s="1073"/>
      <c r="Y531" s="1073"/>
      <c r="Z531" s="1073"/>
    </row>
    <row r="532" spans="1:26" ht="12.75" customHeight="1">
      <c r="A532" s="1073"/>
      <c r="B532" s="1073"/>
      <c r="C532" s="1073"/>
      <c r="D532" s="1073"/>
      <c r="E532" s="1073"/>
      <c r="F532" s="1073"/>
      <c r="G532" s="1073"/>
      <c r="H532" s="1073"/>
      <c r="I532" s="1073"/>
      <c r="J532" s="1073"/>
      <c r="K532" s="1073"/>
      <c r="L532" s="1073"/>
      <c r="M532" s="1073"/>
      <c r="N532" s="1073"/>
      <c r="O532" s="1073"/>
      <c r="P532" s="1073"/>
      <c r="Q532" s="1073"/>
      <c r="R532" s="1073"/>
      <c r="S532" s="1073"/>
      <c r="T532" s="1073"/>
      <c r="U532" s="1073"/>
      <c r="V532" s="1073"/>
      <c r="W532" s="1073"/>
      <c r="X532" s="1073"/>
      <c r="Y532" s="1073"/>
      <c r="Z532" s="1073"/>
    </row>
    <row r="533" spans="1:26" ht="12.75" customHeight="1">
      <c r="A533" s="1073"/>
      <c r="B533" s="1073"/>
      <c r="C533" s="1073"/>
      <c r="D533" s="1073"/>
      <c r="E533" s="1073"/>
      <c r="F533" s="1073"/>
      <c r="G533" s="1073"/>
      <c r="H533" s="1073"/>
      <c r="I533" s="1073"/>
      <c r="J533" s="1073"/>
      <c r="K533" s="1073"/>
      <c r="L533" s="1073"/>
      <c r="M533" s="1073"/>
      <c r="N533" s="1073"/>
      <c r="O533" s="1073"/>
      <c r="P533" s="1073"/>
      <c r="Q533" s="1073"/>
      <c r="R533" s="1073"/>
      <c r="S533" s="1073"/>
      <c r="T533" s="1073"/>
      <c r="U533" s="1073"/>
      <c r="V533" s="1073"/>
      <c r="W533" s="1073"/>
      <c r="X533" s="1073"/>
      <c r="Y533" s="1073"/>
      <c r="Z533" s="1073"/>
    </row>
    <row r="534" spans="1:26" ht="12.75" customHeight="1">
      <c r="A534" s="1073"/>
      <c r="B534" s="1073"/>
      <c r="C534" s="1073"/>
      <c r="D534" s="1073"/>
      <c r="E534" s="1073"/>
      <c r="F534" s="1073"/>
      <c r="G534" s="1073"/>
      <c r="H534" s="1073"/>
      <c r="I534" s="1073"/>
      <c r="J534" s="1073"/>
      <c r="K534" s="1073"/>
      <c r="L534" s="1073"/>
      <c r="M534" s="1073"/>
      <c r="N534" s="1073"/>
      <c r="O534" s="1073"/>
      <c r="P534" s="1073"/>
      <c r="Q534" s="1073"/>
      <c r="R534" s="1073"/>
      <c r="S534" s="1073"/>
      <c r="T534" s="1073"/>
      <c r="U534" s="1073"/>
      <c r="V534" s="1073"/>
      <c r="W534" s="1073"/>
      <c r="X534" s="1073"/>
      <c r="Y534" s="1073"/>
      <c r="Z534" s="1073"/>
    </row>
    <row r="535" spans="1:26" ht="12.75" customHeight="1">
      <c r="A535" s="1073"/>
      <c r="B535" s="1073"/>
      <c r="C535" s="1073"/>
      <c r="D535" s="1073"/>
      <c r="E535" s="1073"/>
      <c r="F535" s="1073"/>
      <c r="G535" s="1073"/>
      <c r="H535" s="1073"/>
      <c r="I535" s="1073"/>
      <c r="J535" s="1073"/>
      <c r="K535" s="1073"/>
      <c r="L535" s="1073"/>
      <c r="M535" s="1073"/>
      <c r="N535" s="1073"/>
      <c r="O535" s="1073"/>
      <c r="P535" s="1073"/>
      <c r="Q535" s="1073"/>
      <c r="R535" s="1073"/>
      <c r="S535" s="1073"/>
      <c r="T535" s="1073"/>
      <c r="U535" s="1073"/>
      <c r="V535" s="1073"/>
      <c r="W535" s="1073"/>
      <c r="X535" s="1073"/>
      <c r="Y535" s="1073"/>
      <c r="Z535" s="1073"/>
    </row>
    <row r="536" spans="1:26" ht="12.75" customHeight="1">
      <c r="A536" s="1073"/>
      <c r="B536" s="1073"/>
      <c r="C536" s="1073"/>
      <c r="D536" s="1073"/>
      <c r="E536" s="1073"/>
      <c r="F536" s="1073"/>
      <c r="G536" s="1073"/>
      <c r="H536" s="1073"/>
      <c r="I536" s="1073"/>
      <c r="J536" s="1073"/>
      <c r="K536" s="1073"/>
      <c r="L536" s="1073"/>
      <c r="M536" s="1073"/>
      <c r="N536" s="1073"/>
      <c r="O536" s="1073"/>
      <c r="P536" s="1073"/>
      <c r="Q536" s="1073"/>
      <c r="R536" s="1073"/>
      <c r="S536" s="1073"/>
      <c r="T536" s="1073"/>
      <c r="U536" s="1073"/>
      <c r="V536" s="1073"/>
      <c r="W536" s="1073"/>
      <c r="X536" s="1073"/>
      <c r="Y536" s="1073"/>
      <c r="Z536" s="1073"/>
    </row>
    <row r="537" spans="1:26" ht="12.75" customHeight="1">
      <c r="A537" s="1073"/>
      <c r="B537" s="1073"/>
      <c r="C537" s="1073"/>
      <c r="D537" s="1073"/>
      <c r="E537" s="1073"/>
      <c r="F537" s="1073"/>
      <c r="G537" s="1073"/>
      <c r="H537" s="1073"/>
      <c r="I537" s="1073"/>
      <c r="J537" s="1073"/>
      <c r="K537" s="1073"/>
      <c r="L537" s="1073"/>
      <c r="M537" s="1073"/>
      <c r="N537" s="1073"/>
      <c r="O537" s="1073"/>
      <c r="P537" s="1073"/>
      <c r="Q537" s="1073"/>
      <c r="R537" s="1073"/>
      <c r="S537" s="1073"/>
      <c r="T537" s="1073"/>
      <c r="U537" s="1073"/>
      <c r="V537" s="1073"/>
      <c r="W537" s="1073"/>
      <c r="X537" s="1073"/>
      <c r="Y537" s="1073"/>
      <c r="Z537" s="1073"/>
    </row>
    <row r="538" spans="1:26" ht="12.75" customHeight="1">
      <c r="A538" s="1073"/>
      <c r="B538" s="1073"/>
      <c r="C538" s="1073"/>
      <c r="D538" s="1073"/>
      <c r="E538" s="1073"/>
      <c r="F538" s="1073"/>
      <c r="G538" s="1073"/>
      <c r="H538" s="1073"/>
      <c r="I538" s="1073"/>
      <c r="J538" s="1073"/>
      <c r="K538" s="1073"/>
      <c r="L538" s="1073"/>
      <c r="M538" s="1073"/>
      <c r="N538" s="1073"/>
      <c r="O538" s="1073"/>
      <c r="P538" s="1073"/>
      <c r="Q538" s="1073"/>
      <c r="R538" s="1073"/>
      <c r="S538" s="1073"/>
      <c r="T538" s="1073"/>
      <c r="U538" s="1073"/>
      <c r="V538" s="1073"/>
      <c r="W538" s="1073"/>
      <c r="X538" s="1073"/>
      <c r="Y538" s="1073"/>
      <c r="Z538" s="1073"/>
    </row>
    <row r="539" spans="1:26" ht="12.75" customHeight="1">
      <c r="A539" s="1073"/>
      <c r="B539" s="1073"/>
      <c r="C539" s="1073"/>
      <c r="D539" s="1073"/>
      <c r="E539" s="1073"/>
      <c r="F539" s="1073"/>
      <c r="G539" s="1073"/>
      <c r="H539" s="1073"/>
      <c r="I539" s="1073"/>
      <c r="J539" s="1073"/>
      <c r="K539" s="1073"/>
      <c r="L539" s="1073"/>
      <c r="M539" s="1073"/>
      <c r="N539" s="1073"/>
      <c r="O539" s="1073"/>
      <c r="P539" s="1073"/>
      <c r="Q539" s="1073"/>
      <c r="R539" s="1073"/>
      <c r="S539" s="1073"/>
      <c r="T539" s="1073"/>
      <c r="U539" s="1073"/>
      <c r="V539" s="1073"/>
      <c r="W539" s="1073"/>
      <c r="X539" s="1073"/>
      <c r="Y539" s="1073"/>
      <c r="Z539" s="1073"/>
    </row>
    <row r="540" spans="1:26" ht="12.75" customHeight="1">
      <c r="A540" s="1073"/>
      <c r="B540" s="1073"/>
      <c r="C540" s="1073"/>
      <c r="D540" s="1073"/>
      <c r="E540" s="1073"/>
      <c r="F540" s="1073"/>
      <c r="G540" s="1073"/>
      <c r="H540" s="1073"/>
      <c r="I540" s="1073"/>
      <c r="J540" s="1073"/>
      <c r="K540" s="1073"/>
      <c r="L540" s="1073"/>
      <c r="M540" s="1073"/>
      <c r="N540" s="1073"/>
      <c r="O540" s="1073"/>
      <c r="P540" s="1073"/>
      <c r="Q540" s="1073"/>
      <c r="R540" s="1073"/>
      <c r="S540" s="1073"/>
      <c r="T540" s="1073"/>
      <c r="U540" s="1073"/>
      <c r="V540" s="1073"/>
      <c r="W540" s="1073"/>
      <c r="X540" s="1073"/>
      <c r="Y540" s="1073"/>
      <c r="Z540" s="1073"/>
    </row>
    <row r="541" spans="1:26" ht="12.75" customHeight="1">
      <c r="A541" s="1073"/>
      <c r="B541" s="1073"/>
      <c r="C541" s="1073"/>
      <c r="D541" s="1073"/>
      <c r="E541" s="1073"/>
      <c r="F541" s="1073"/>
      <c r="G541" s="1073"/>
      <c r="H541" s="1073"/>
      <c r="I541" s="1073"/>
      <c r="J541" s="1073"/>
      <c r="K541" s="1073"/>
      <c r="L541" s="1073"/>
      <c r="M541" s="1073"/>
      <c r="N541" s="1073"/>
      <c r="O541" s="1073"/>
      <c r="P541" s="1073"/>
      <c r="Q541" s="1073"/>
      <c r="R541" s="1073"/>
      <c r="S541" s="1073"/>
      <c r="T541" s="1073"/>
      <c r="U541" s="1073"/>
      <c r="V541" s="1073"/>
      <c r="W541" s="1073"/>
      <c r="X541" s="1073"/>
      <c r="Y541" s="1073"/>
      <c r="Z541" s="1073"/>
    </row>
    <row r="542" spans="1:26" ht="12.75" customHeight="1">
      <c r="A542" s="1073"/>
      <c r="B542" s="1073"/>
      <c r="C542" s="1073"/>
      <c r="D542" s="1073"/>
      <c r="E542" s="1073"/>
      <c r="F542" s="1073"/>
      <c r="G542" s="1073"/>
      <c r="H542" s="1073"/>
      <c r="I542" s="1073"/>
      <c r="J542" s="1073"/>
      <c r="K542" s="1073"/>
      <c r="L542" s="1073"/>
      <c r="M542" s="1073"/>
      <c r="N542" s="1073"/>
      <c r="O542" s="1073"/>
      <c r="P542" s="1073"/>
      <c r="Q542" s="1073"/>
      <c r="R542" s="1073"/>
      <c r="S542" s="1073"/>
      <c r="T542" s="1073"/>
      <c r="U542" s="1073"/>
      <c r="V542" s="1073"/>
      <c r="W542" s="1073"/>
      <c r="X542" s="1073"/>
      <c r="Y542" s="1073"/>
      <c r="Z542" s="1073"/>
    </row>
    <row r="543" spans="1:26" ht="12.75" customHeight="1">
      <c r="A543" s="1073"/>
      <c r="B543" s="1073"/>
      <c r="C543" s="1073"/>
      <c r="D543" s="1073"/>
      <c r="E543" s="1073"/>
      <c r="F543" s="1073"/>
      <c r="G543" s="1073"/>
      <c r="H543" s="1073"/>
      <c r="I543" s="1073"/>
      <c r="J543" s="1073"/>
      <c r="K543" s="1073"/>
      <c r="L543" s="1073"/>
      <c r="M543" s="1073"/>
      <c r="N543" s="1073"/>
      <c r="O543" s="1073"/>
      <c r="P543" s="1073"/>
      <c r="Q543" s="1073"/>
      <c r="R543" s="1073"/>
      <c r="S543" s="1073"/>
      <c r="T543" s="1073"/>
      <c r="U543" s="1073"/>
      <c r="V543" s="1073"/>
      <c r="W543" s="1073"/>
      <c r="X543" s="1073"/>
      <c r="Y543" s="1073"/>
      <c r="Z543" s="1073"/>
    </row>
    <row r="544" spans="1:26" ht="12.75" customHeight="1">
      <c r="A544" s="1073"/>
      <c r="B544" s="1073"/>
      <c r="C544" s="1073"/>
      <c r="D544" s="1073"/>
      <c r="E544" s="1073"/>
      <c r="F544" s="1073"/>
      <c r="G544" s="1073"/>
      <c r="H544" s="1073"/>
      <c r="I544" s="1073"/>
      <c r="J544" s="1073"/>
      <c r="K544" s="1073"/>
      <c r="L544" s="1073"/>
      <c r="M544" s="1073"/>
      <c r="N544" s="1073"/>
      <c r="O544" s="1073"/>
      <c r="P544" s="1073"/>
      <c r="Q544" s="1073"/>
      <c r="R544" s="1073"/>
      <c r="S544" s="1073"/>
      <c r="T544" s="1073"/>
      <c r="U544" s="1073"/>
      <c r="V544" s="1073"/>
      <c r="W544" s="1073"/>
      <c r="X544" s="1073"/>
      <c r="Y544" s="1073"/>
      <c r="Z544" s="1073"/>
    </row>
    <row r="545" spans="1:26" ht="12.75" customHeight="1">
      <c r="A545" s="1073"/>
      <c r="B545" s="1073"/>
      <c r="C545" s="1073"/>
      <c r="D545" s="1073"/>
      <c r="E545" s="1073"/>
      <c r="F545" s="1073"/>
      <c r="G545" s="1073"/>
      <c r="H545" s="1073"/>
      <c r="I545" s="1073"/>
      <c r="J545" s="1073"/>
      <c r="K545" s="1073"/>
      <c r="L545" s="1073"/>
      <c r="M545" s="1073"/>
      <c r="N545" s="1073"/>
      <c r="O545" s="1073"/>
      <c r="P545" s="1073"/>
      <c r="Q545" s="1073"/>
      <c r="R545" s="1073"/>
      <c r="S545" s="1073"/>
      <c r="T545" s="1073"/>
      <c r="U545" s="1073"/>
      <c r="V545" s="1073"/>
      <c r="W545" s="1073"/>
      <c r="X545" s="1073"/>
      <c r="Y545" s="1073"/>
      <c r="Z545" s="1073"/>
    </row>
    <row r="546" spans="1:26" ht="12.75" customHeight="1">
      <c r="A546" s="1073"/>
      <c r="B546" s="1073"/>
      <c r="C546" s="1073"/>
      <c r="D546" s="1073"/>
      <c r="E546" s="1073"/>
      <c r="F546" s="1073"/>
      <c r="G546" s="1073"/>
      <c r="H546" s="1073"/>
      <c r="I546" s="1073"/>
      <c r="J546" s="1073"/>
      <c r="K546" s="1073"/>
      <c r="L546" s="1073"/>
      <c r="M546" s="1073"/>
      <c r="N546" s="1073"/>
      <c r="O546" s="1073"/>
      <c r="P546" s="1073"/>
      <c r="Q546" s="1073"/>
      <c r="R546" s="1073"/>
      <c r="S546" s="1073"/>
      <c r="T546" s="1073"/>
      <c r="U546" s="1073"/>
      <c r="V546" s="1073"/>
      <c r="W546" s="1073"/>
      <c r="X546" s="1073"/>
      <c r="Y546" s="1073"/>
      <c r="Z546" s="1073"/>
    </row>
    <row r="547" spans="1:26" ht="12.75" customHeight="1">
      <c r="A547" s="1073"/>
      <c r="B547" s="1073"/>
      <c r="C547" s="1073"/>
      <c r="D547" s="1073"/>
      <c r="E547" s="1073"/>
      <c r="F547" s="1073"/>
      <c r="G547" s="1073"/>
      <c r="H547" s="1073"/>
      <c r="I547" s="1073"/>
      <c r="J547" s="1073"/>
      <c r="K547" s="1073"/>
      <c r="L547" s="1073"/>
      <c r="M547" s="1073"/>
      <c r="N547" s="1073"/>
      <c r="O547" s="1073"/>
      <c r="P547" s="1073"/>
      <c r="Q547" s="1073"/>
      <c r="R547" s="1073"/>
      <c r="S547" s="1073"/>
      <c r="T547" s="1073"/>
      <c r="U547" s="1073"/>
      <c r="V547" s="1073"/>
      <c r="W547" s="1073"/>
      <c r="X547" s="1073"/>
      <c r="Y547" s="1073"/>
      <c r="Z547" s="1073"/>
    </row>
    <row r="548" spans="1:26" ht="12.75" customHeight="1">
      <c r="A548" s="1073"/>
      <c r="B548" s="1073"/>
      <c r="C548" s="1073"/>
      <c r="D548" s="1073"/>
      <c r="E548" s="1073"/>
      <c r="F548" s="1073"/>
      <c r="G548" s="1073"/>
      <c r="H548" s="1073"/>
      <c r="I548" s="1073"/>
      <c r="J548" s="1073"/>
      <c r="K548" s="1073"/>
      <c r="L548" s="1073"/>
      <c r="M548" s="1073"/>
      <c r="N548" s="1073"/>
      <c r="O548" s="1073"/>
      <c r="P548" s="1073"/>
      <c r="Q548" s="1073"/>
      <c r="R548" s="1073"/>
      <c r="S548" s="1073"/>
      <c r="T548" s="1073"/>
      <c r="U548" s="1073"/>
      <c r="V548" s="1073"/>
      <c r="W548" s="1073"/>
      <c r="X548" s="1073"/>
      <c r="Y548" s="1073"/>
      <c r="Z548" s="1073"/>
    </row>
    <row r="549" spans="1:26" ht="12.75" customHeight="1">
      <c r="A549" s="1073"/>
      <c r="B549" s="1073"/>
      <c r="C549" s="1073"/>
      <c r="D549" s="1073"/>
      <c r="E549" s="1073"/>
      <c r="F549" s="1073"/>
      <c r="G549" s="1073"/>
      <c r="H549" s="1073"/>
      <c r="I549" s="1073"/>
      <c r="J549" s="1073"/>
      <c r="K549" s="1073"/>
      <c r="L549" s="1073"/>
      <c r="M549" s="1073"/>
      <c r="N549" s="1073"/>
      <c r="O549" s="1073"/>
      <c r="P549" s="1073"/>
      <c r="Q549" s="1073"/>
      <c r="R549" s="1073"/>
      <c r="S549" s="1073"/>
      <c r="T549" s="1073"/>
      <c r="U549" s="1073"/>
      <c r="V549" s="1073"/>
      <c r="W549" s="1073"/>
      <c r="X549" s="1073"/>
      <c r="Y549" s="1073"/>
      <c r="Z549" s="1073"/>
    </row>
    <row r="550" spans="1:26" ht="12.75" customHeight="1">
      <c r="A550" s="1073"/>
      <c r="B550" s="1073"/>
      <c r="C550" s="1073"/>
      <c r="D550" s="1073"/>
      <c r="E550" s="1073"/>
      <c r="F550" s="1073"/>
      <c r="G550" s="1073"/>
      <c r="H550" s="1073"/>
      <c r="I550" s="1073"/>
      <c r="J550" s="1073"/>
      <c r="K550" s="1073"/>
      <c r="L550" s="1073"/>
      <c r="M550" s="1073"/>
      <c r="N550" s="1073"/>
      <c r="O550" s="1073"/>
      <c r="P550" s="1073"/>
      <c r="Q550" s="1073"/>
      <c r="R550" s="1073"/>
      <c r="S550" s="1073"/>
      <c r="T550" s="1073"/>
      <c r="U550" s="1073"/>
      <c r="V550" s="1073"/>
      <c r="W550" s="1073"/>
      <c r="X550" s="1073"/>
      <c r="Y550" s="1073"/>
      <c r="Z550" s="1073"/>
    </row>
    <row r="551" spans="1:26" ht="12.75" customHeight="1">
      <c r="A551" s="1073"/>
      <c r="B551" s="1073"/>
      <c r="C551" s="1073"/>
      <c r="D551" s="1073"/>
      <c r="E551" s="1073"/>
      <c r="F551" s="1073"/>
      <c r="G551" s="1073"/>
      <c r="H551" s="1073"/>
      <c r="I551" s="1073"/>
      <c r="J551" s="1073"/>
      <c r="K551" s="1073"/>
      <c r="L551" s="1073"/>
      <c r="M551" s="1073"/>
      <c r="N551" s="1073"/>
      <c r="O551" s="1073"/>
      <c r="P551" s="1073"/>
      <c r="Q551" s="1073"/>
      <c r="R551" s="1073"/>
      <c r="S551" s="1073"/>
      <c r="T551" s="1073"/>
      <c r="U551" s="1073"/>
      <c r="V551" s="1073"/>
      <c r="W551" s="1073"/>
      <c r="X551" s="1073"/>
      <c r="Y551" s="1073"/>
      <c r="Z551" s="1073"/>
    </row>
    <row r="552" spans="1:26" ht="12.75" customHeight="1">
      <c r="A552" s="1073"/>
      <c r="B552" s="1073"/>
      <c r="C552" s="1073"/>
      <c r="D552" s="1073"/>
      <c r="E552" s="1073"/>
      <c r="F552" s="1073"/>
      <c r="G552" s="1073"/>
      <c r="H552" s="1073"/>
      <c r="I552" s="1073"/>
      <c r="J552" s="1073"/>
      <c r="K552" s="1073"/>
      <c r="L552" s="1073"/>
      <c r="M552" s="1073"/>
      <c r="N552" s="1073"/>
      <c r="O552" s="1073"/>
      <c r="P552" s="1073"/>
      <c r="Q552" s="1073"/>
      <c r="R552" s="1073"/>
      <c r="S552" s="1073"/>
      <c r="T552" s="1073"/>
      <c r="U552" s="1073"/>
      <c r="V552" s="1073"/>
      <c r="W552" s="1073"/>
      <c r="X552" s="1073"/>
      <c r="Y552" s="1073"/>
      <c r="Z552" s="1073"/>
    </row>
    <row r="553" spans="1:26" ht="12.75" customHeight="1">
      <c r="A553" s="1073"/>
      <c r="B553" s="1073"/>
      <c r="C553" s="1073"/>
      <c r="D553" s="1073"/>
      <c r="E553" s="1073"/>
      <c r="F553" s="1073"/>
      <c r="G553" s="1073"/>
      <c r="H553" s="1073"/>
      <c r="I553" s="1073"/>
      <c r="J553" s="1073"/>
      <c r="K553" s="1073"/>
      <c r="L553" s="1073"/>
      <c r="M553" s="1073"/>
      <c r="N553" s="1073"/>
      <c r="O553" s="1073"/>
      <c r="P553" s="1073"/>
      <c r="Q553" s="1073"/>
      <c r="R553" s="1073"/>
      <c r="S553" s="1073"/>
      <c r="T553" s="1073"/>
      <c r="U553" s="1073"/>
      <c r="V553" s="1073"/>
      <c r="W553" s="1073"/>
      <c r="X553" s="1073"/>
      <c r="Y553" s="1073"/>
      <c r="Z553" s="1073"/>
    </row>
    <row r="554" spans="1:26" ht="12.75" customHeight="1">
      <c r="A554" s="1073"/>
      <c r="B554" s="1073"/>
      <c r="C554" s="1073"/>
      <c r="D554" s="1073"/>
      <c r="E554" s="1073"/>
      <c r="F554" s="1073"/>
      <c r="G554" s="1073"/>
      <c r="H554" s="1073"/>
      <c r="I554" s="1073"/>
      <c r="J554" s="1073"/>
      <c r="K554" s="1073"/>
      <c r="L554" s="1073"/>
      <c r="M554" s="1073"/>
      <c r="N554" s="1073"/>
      <c r="O554" s="1073"/>
      <c r="P554" s="1073"/>
      <c r="Q554" s="1073"/>
      <c r="R554" s="1073"/>
      <c r="S554" s="1073"/>
      <c r="T554" s="1073"/>
      <c r="U554" s="1073"/>
      <c r="V554" s="1073"/>
      <c r="W554" s="1073"/>
      <c r="X554" s="1073"/>
      <c r="Y554" s="1073"/>
      <c r="Z554" s="1073"/>
    </row>
    <row r="555" spans="1:26" ht="12.75" customHeight="1">
      <c r="A555" s="1073"/>
      <c r="B555" s="1073"/>
      <c r="C555" s="1073"/>
      <c r="D555" s="1073"/>
      <c r="E555" s="1073"/>
      <c r="F555" s="1073"/>
      <c r="G555" s="1073"/>
      <c r="H555" s="1073"/>
      <c r="I555" s="1073"/>
      <c r="J555" s="1073"/>
      <c r="K555" s="1073"/>
      <c r="L555" s="1073"/>
      <c r="M555" s="1073"/>
      <c r="N555" s="1073"/>
      <c r="O555" s="1073"/>
      <c r="P555" s="1073"/>
      <c r="Q555" s="1073"/>
      <c r="R555" s="1073"/>
      <c r="S555" s="1073"/>
      <c r="T555" s="1073"/>
      <c r="U555" s="1073"/>
      <c r="V555" s="1073"/>
      <c r="W555" s="1073"/>
      <c r="X555" s="1073"/>
      <c r="Y555" s="1073"/>
      <c r="Z555" s="1073"/>
    </row>
    <row r="556" spans="1:26" ht="12.75" customHeight="1">
      <c r="A556" s="1073"/>
      <c r="B556" s="1073"/>
      <c r="C556" s="1073"/>
      <c r="D556" s="1073"/>
      <c r="E556" s="1073"/>
      <c r="F556" s="1073"/>
      <c r="G556" s="1073"/>
      <c r="H556" s="1073"/>
      <c r="I556" s="1073"/>
      <c r="J556" s="1073"/>
      <c r="K556" s="1073"/>
      <c r="L556" s="1073"/>
      <c r="M556" s="1073"/>
      <c r="N556" s="1073"/>
      <c r="O556" s="1073"/>
      <c r="P556" s="1073"/>
      <c r="Q556" s="1073"/>
      <c r="R556" s="1073"/>
      <c r="S556" s="1073"/>
      <c r="T556" s="1073"/>
      <c r="U556" s="1073"/>
      <c r="V556" s="1073"/>
      <c r="W556" s="1073"/>
      <c r="X556" s="1073"/>
      <c r="Y556" s="1073"/>
      <c r="Z556" s="1073"/>
    </row>
    <row r="557" spans="1:26" ht="12.75" customHeight="1">
      <c r="A557" s="1073"/>
      <c r="B557" s="1073"/>
      <c r="C557" s="1073"/>
      <c r="D557" s="1073"/>
      <c r="E557" s="1073"/>
      <c r="F557" s="1073"/>
      <c r="G557" s="1073"/>
      <c r="H557" s="1073"/>
      <c r="I557" s="1073"/>
      <c r="J557" s="1073"/>
      <c r="K557" s="1073"/>
      <c r="L557" s="1073"/>
      <c r="M557" s="1073"/>
      <c r="N557" s="1073"/>
      <c r="O557" s="1073"/>
      <c r="P557" s="1073"/>
      <c r="Q557" s="1073"/>
      <c r="R557" s="1073"/>
      <c r="S557" s="1073"/>
      <c r="T557" s="1073"/>
      <c r="U557" s="1073"/>
      <c r="V557" s="1073"/>
      <c r="W557" s="1073"/>
      <c r="X557" s="1073"/>
      <c r="Y557" s="1073"/>
      <c r="Z557" s="1073"/>
    </row>
    <row r="558" spans="1:26" ht="12.75" customHeight="1">
      <c r="A558" s="1073"/>
      <c r="B558" s="1073"/>
      <c r="C558" s="1073"/>
      <c r="D558" s="1073"/>
      <c r="E558" s="1073"/>
      <c r="F558" s="1073"/>
      <c r="G558" s="1073"/>
      <c r="H558" s="1073"/>
      <c r="I558" s="1073"/>
      <c r="J558" s="1073"/>
      <c r="K558" s="1073"/>
      <c r="L558" s="1073"/>
      <c r="M558" s="1073"/>
      <c r="N558" s="1073"/>
      <c r="O558" s="1073"/>
      <c r="P558" s="1073"/>
      <c r="Q558" s="1073"/>
      <c r="R558" s="1073"/>
      <c r="S558" s="1073"/>
      <c r="T558" s="1073"/>
      <c r="U558" s="1073"/>
      <c r="V558" s="1073"/>
      <c r="W558" s="1073"/>
      <c r="X558" s="1073"/>
      <c r="Y558" s="1073"/>
      <c r="Z558" s="1073"/>
    </row>
    <row r="559" spans="1:26" ht="12.75" customHeight="1">
      <c r="A559" s="1073"/>
      <c r="B559" s="1073"/>
      <c r="C559" s="1073"/>
      <c r="D559" s="1073"/>
      <c r="E559" s="1073"/>
      <c r="F559" s="1073"/>
      <c r="G559" s="1073"/>
      <c r="H559" s="1073"/>
      <c r="I559" s="1073"/>
      <c r="J559" s="1073"/>
      <c r="K559" s="1073"/>
      <c r="L559" s="1073"/>
      <c r="M559" s="1073"/>
      <c r="N559" s="1073"/>
      <c r="O559" s="1073"/>
      <c r="P559" s="1073"/>
      <c r="Q559" s="1073"/>
      <c r="R559" s="1073"/>
      <c r="S559" s="1073"/>
      <c r="T559" s="1073"/>
      <c r="U559" s="1073"/>
      <c r="V559" s="1073"/>
      <c r="W559" s="1073"/>
      <c r="X559" s="1073"/>
      <c r="Y559" s="1073"/>
      <c r="Z559" s="1073"/>
    </row>
    <row r="560" spans="1:26" ht="12.75" customHeight="1">
      <c r="A560" s="1073"/>
      <c r="B560" s="1073"/>
      <c r="C560" s="1073"/>
      <c r="D560" s="1073"/>
      <c r="E560" s="1073"/>
      <c r="F560" s="1073"/>
      <c r="G560" s="1073"/>
      <c r="H560" s="1073"/>
      <c r="I560" s="1073"/>
      <c r="J560" s="1073"/>
      <c r="K560" s="1073"/>
      <c r="L560" s="1073"/>
      <c r="M560" s="1073"/>
      <c r="N560" s="1073"/>
      <c r="O560" s="1073"/>
      <c r="P560" s="1073"/>
      <c r="Q560" s="1073"/>
      <c r="R560" s="1073"/>
      <c r="S560" s="1073"/>
      <c r="T560" s="1073"/>
      <c r="U560" s="1073"/>
      <c r="V560" s="1073"/>
      <c r="W560" s="1073"/>
      <c r="X560" s="1073"/>
      <c r="Y560" s="1073"/>
      <c r="Z560" s="1073"/>
    </row>
    <row r="561" spans="1:26" ht="12.75" customHeight="1">
      <c r="A561" s="1073"/>
      <c r="B561" s="1073"/>
      <c r="C561" s="1073"/>
      <c r="D561" s="1073"/>
      <c r="E561" s="1073"/>
      <c r="F561" s="1073"/>
      <c r="G561" s="1073"/>
      <c r="H561" s="1073"/>
      <c r="I561" s="1073"/>
      <c r="J561" s="1073"/>
      <c r="K561" s="1073"/>
      <c r="L561" s="1073"/>
      <c r="M561" s="1073"/>
      <c r="N561" s="1073"/>
      <c r="O561" s="1073"/>
      <c r="P561" s="1073"/>
      <c r="Q561" s="1073"/>
      <c r="R561" s="1073"/>
      <c r="S561" s="1073"/>
      <c r="T561" s="1073"/>
      <c r="U561" s="1073"/>
      <c r="V561" s="1073"/>
      <c r="W561" s="1073"/>
      <c r="X561" s="1073"/>
      <c r="Y561" s="1073"/>
      <c r="Z561" s="1073"/>
    </row>
    <row r="562" spans="1:26" ht="12.75" customHeight="1">
      <c r="A562" s="1073"/>
      <c r="B562" s="1073"/>
      <c r="C562" s="1073"/>
      <c r="D562" s="1073"/>
      <c r="E562" s="1073"/>
      <c r="F562" s="1073"/>
      <c r="G562" s="1073"/>
      <c r="H562" s="1073"/>
      <c r="I562" s="1073"/>
      <c r="J562" s="1073"/>
      <c r="K562" s="1073"/>
      <c r="L562" s="1073"/>
      <c r="M562" s="1073"/>
      <c r="N562" s="1073"/>
      <c r="O562" s="1073"/>
      <c r="P562" s="1073"/>
      <c r="Q562" s="1073"/>
      <c r="R562" s="1073"/>
      <c r="S562" s="1073"/>
      <c r="T562" s="1073"/>
      <c r="U562" s="1073"/>
      <c r="V562" s="1073"/>
      <c r="W562" s="1073"/>
      <c r="X562" s="1073"/>
      <c r="Y562" s="1073"/>
      <c r="Z562" s="1073"/>
    </row>
    <row r="563" spans="1:26" ht="12.75" customHeight="1">
      <c r="A563" s="1073"/>
      <c r="B563" s="1073"/>
      <c r="C563" s="1073"/>
      <c r="D563" s="1073"/>
      <c r="E563" s="1073"/>
      <c r="F563" s="1073"/>
      <c r="G563" s="1073"/>
      <c r="H563" s="1073"/>
      <c r="I563" s="1073"/>
      <c r="J563" s="1073"/>
      <c r="K563" s="1073"/>
      <c r="L563" s="1073"/>
      <c r="M563" s="1073"/>
      <c r="N563" s="1073"/>
      <c r="O563" s="1073"/>
      <c r="P563" s="1073"/>
      <c r="Q563" s="1073"/>
      <c r="R563" s="1073"/>
      <c r="S563" s="1073"/>
      <c r="T563" s="1073"/>
      <c r="U563" s="1073"/>
      <c r="V563" s="1073"/>
      <c r="W563" s="1073"/>
      <c r="X563" s="1073"/>
      <c r="Y563" s="1073"/>
      <c r="Z563" s="1073"/>
    </row>
    <row r="564" spans="1:26" ht="12.75" customHeight="1">
      <c r="A564" s="1073"/>
      <c r="B564" s="1073"/>
      <c r="C564" s="1073"/>
      <c r="D564" s="1073"/>
      <c r="E564" s="1073"/>
      <c r="F564" s="1073"/>
      <c r="G564" s="1073"/>
      <c r="H564" s="1073"/>
      <c r="I564" s="1073"/>
      <c r="J564" s="1073"/>
      <c r="K564" s="1073"/>
      <c r="L564" s="1073"/>
      <c r="M564" s="1073"/>
      <c r="N564" s="1073"/>
      <c r="O564" s="1073"/>
      <c r="P564" s="1073"/>
      <c r="Q564" s="1073"/>
      <c r="R564" s="1073"/>
      <c r="S564" s="1073"/>
      <c r="T564" s="1073"/>
      <c r="U564" s="1073"/>
      <c r="V564" s="1073"/>
      <c r="W564" s="1073"/>
      <c r="X564" s="1073"/>
      <c r="Y564" s="1073"/>
      <c r="Z564" s="1073"/>
    </row>
    <row r="565" spans="1:26" ht="12.75" customHeight="1">
      <c r="A565" s="1073"/>
      <c r="B565" s="1073"/>
      <c r="C565" s="1073"/>
      <c r="D565" s="1073"/>
      <c r="E565" s="1073"/>
      <c r="F565" s="1073"/>
      <c r="G565" s="1073"/>
      <c r="H565" s="1073"/>
      <c r="I565" s="1073"/>
      <c r="J565" s="1073"/>
      <c r="K565" s="1073"/>
      <c r="L565" s="1073"/>
      <c r="M565" s="1073"/>
      <c r="N565" s="1073"/>
      <c r="O565" s="1073"/>
      <c r="P565" s="1073"/>
      <c r="Q565" s="1073"/>
      <c r="R565" s="1073"/>
      <c r="S565" s="1073"/>
      <c r="T565" s="1073"/>
      <c r="U565" s="1073"/>
      <c r="V565" s="1073"/>
      <c r="W565" s="1073"/>
      <c r="X565" s="1073"/>
      <c r="Y565" s="1073"/>
      <c r="Z565" s="1073"/>
    </row>
    <row r="566" spans="1:26" ht="12.75" customHeight="1">
      <c r="A566" s="1073"/>
      <c r="B566" s="1073"/>
      <c r="C566" s="1073"/>
      <c r="D566" s="1073"/>
      <c r="E566" s="1073"/>
      <c r="F566" s="1073"/>
      <c r="G566" s="1073"/>
      <c r="H566" s="1073"/>
      <c r="I566" s="1073"/>
      <c r="J566" s="1073"/>
      <c r="K566" s="1073"/>
      <c r="L566" s="1073"/>
      <c r="M566" s="1073"/>
      <c r="N566" s="1073"/>
      <c r="O566" s="1073"/>
      <c r="P566" s="1073"/>
      <c r="Q566" s="1073"/>
      <c r="R566" s="1073"/>
      <c r="S566" s="1073"/>
      <c r="T566" s="1073"/>
      <c r="U566" s="1073"/>
      <c r="V566" s="1073"/>
      <c r="W566" s="1073"/>
      <c r="X566" s="1073"/>
      <c r="Y566" s="1073"/>
      <c r="Z566" s="1073"/>
    </row>
    <row r="567" spans="1:26" ht="12.75" customHeight="1">
      <c r="A567" s="1073"/>
      <c r="B567" s="1073"/>
      <c r="C567" s="1073"/>
      <c r="D567" s="1073"/>
      <c r="E567" s="1073"/>
      <c r="F567" s="1073"/>
      <c r="G567" s="1073"/>
      <c r="H567" s="1073"/>
      <c r="I567" s="1073"/>
      <c r="J567" s="1073"/>
      <c r="K567" s="1073"/>
      <c r="L567" s="1073"/>
      <c r="M567" s="1073"/>
      <c r="N567" s="1073"/>
      <c r="O567" s="1073"/>
      <c r="P567" s="1073"/>
      <c r="Q567" s="1073"/>
      <c r="R567" s="1073"/>
      <c r="S567" s="1073"/>
      <c r="T567" s="1073"/>
      <c r="U567" s="1073"/>
      <c r="V567" s="1073"/>
      <c r="W567" s="1073"/>
      <c r="X567" s="1073"/>
      <c r="Y567" s="1073"/>
      <c r="Z567" s="1073"/>
    </row>
    <row r="568" spans="1:26" ht="12.75" customHeight="1">
      <c r="A568" s="1073"/>
      <c r="B568" s="1073"/>
      <c r="C568" s="1073"/>
      <c r="D568" s="1073"/>
      <c r="E568" s="1073"/>
      <c r="F568" s="1073"/>
      <c r="G568" s="1073"/>
      <c r="H568" s="1073"/>
      <c r="I568" s="1073"/>
      <c r="J568" s="1073"/>
      <c r="K568" s="1073"/>
      <c r="L568" s="1073"/>
      <c r="M568" s="1073"/>
      <c r="N568" s="1073"/>
      <c r="O568" s="1073"/>
      <c r="P568" s="1073"/>
      <c r="Q568" s="1073"/>
      <c r="R568" s="1073"/>
      <c r="S568" s="1073"/>
      <c r="T568" s="1073"/>
      <c r="U568" s="1073"/>
      <c r="V568" s="1073"/>
      <c r="W568" s="1073"/>
      <c r="X568" s="1073"/>
      <c r="Y568" s="1073"/>
      <c r="Z568" s="1073"/>
    </row>
    <row r="569" spans="1:26" ht="12.75" customHeight="1">
      <c r="A569" s="1073"/>
      <c r="B569" s="1073"/>
      <c r="C569" s="1073"/>
      <c r="D569" s="1073"/>
      <c r="E569" s="1073"/>
      <c r="F569" s="1073"/>
      <c r="G569" s="1073"/>
      <c r="H569" s="1073"/>
      <c r="I569" s="1073"/>
      <c r="J569" s="1073"/>
      <c r="K569" s="1073"/>
      <c r="L569" s="1073"/>
      <c r="M569" s="1073"/>
      <c r="N569" s="1073"/>
      <c r="O569" s="1073"/>
      <c r="P569" s="1073"/>
      <c r="Q569" s="1073"/>
      <c r="R569" s="1073"/>
      <c r="S569" s="1073"/>
      <c r="T569" s="1073"/>
      <c r="U569" s="1073"/>
      <c r="V569" s="1073"/>
      <c r="W569" s="1073"/>
      <c r="X569" s="1073"/>
      <c r="Y569" s="1073"/>
      <c r="Z569" s="1073"/>
    </row>
    <row r="570" spans="1:26" ht="12.75" customHeight="1">
      <c r="A570" s="1073"/>
      <c r="B570" s="1073"/>
      <c r="C570" s="1073"/>
      <c r="D570" s="1073"/>
      <c r="E570" s="1073"/>
      <c r="F570" s="1073"/>
      <c r="G570" s="1073"/>
      <c r="H570" s="1073"/>
      <c r="I570" s="1073"/>
      <c r="J570" s="1073"/>
      <c r="K570" s="1073"/>
      <c r="L570" s="1073"/>
      <c r="M570" s="1073"/>
      <c r="N570" s="1073"/>
      <c r="O570" s="1073"/>
      <c r="P570" s="1073"/>
      <c r="Q570" s="1073"/>
      <c r="R570" s="1073"/>
      <c r="S570" s="1073"/>
      <c r="T570" s="1073"/>
      <c r="U570" s="1073"/>
      <c r="V570" s="1073"/>
      <c r="W570" s="1073"/>
      <c r="X570" s="1073"/>
      <c r="Y570" s="1073"/>
      <c r="Z570" s="1073"/>
    </row>
    <row r="571" spans="1:26" ht="12.75" customHeight="1">
      <c r="A571" s="1073"/>
      <c r="B571" s="1073"/>
      <c r="C571" s="1073"/>
      <c r="D571" s="1073"/>
      <c r="E571" s="1073"/>
      <c r="F571" s="1073"/>
      <c r="G571" s="1073"/>
      <c r="H571" s="1073"/>
      <c r="I571" s="1073"/>
      <c r="J571" s="1073"/>
      <c r="K571" s="1073"/>
      <c r="L571" s="1073"/>
      <c r="M571" s="1073"/>
      <c r="N571" s="1073"/>
      <c r="O571" s="1073"/>
      <c r="P571" s="1073"/>
      <c r="Q571" s="1073"/>
      <c r="R571" s="1073"/>
      <c r="S571" s="1073"/>
      <c r="T571" s="1073"/>
      <c r="U571" s="1073"/>
      <c r="V571" s="1073"/>
      <c r="W571" s="1073"/>
      <c r="X571" s="1073"/>
      <c r="Y571" s="1073"/>
      <c r="Z571" s="1073"/>
    </row>
    <row r="572" spans="1:26" ht="12.75" customHeight="1">
      <c r="A572" s="1073"/>
      <c r="B572" s="1073"/>
      <c r="C572" s="1073"/>
      <c r="D572" s="1073"/>
      <c r="E572" s="1073"/>
      <c r="F572" s="1073"/>
      <c r="G572" s="1073"/>
      <c r="H572" s="1073"/>
      <c r="I572" s="1073"/>
      <c r="J572" s="1073"/>
      <c r="K572" s="1073"/>
      <c r="L572" s="1073"/>
      <c r="M572" s="1073"/>
      <c r="N572" s="1073"/>
      <c r="O572" s="1073"/>
      <c r="P572" s="1073"/>
      <c r="Q572" s="1073"/>
      <c r="R572" s="1073"/>
      <c r="S572" s="1073"/>
      <c r="T572" s="1073"/>
      <c r="U572" s="1073"/>
      <c r="V572" s="1073"/>
      <c r="W572" s="1073"/>
      <c r="X572" s="1073"/>
      <c r="Y572" s="1073"/>
      <c r="Z572" s="1073"/>
    </row>
    <row r="573" spans="1:26" ht="12.75" customHeight="1">
      <c r="A573" s="1073"/>
      <c r="B573" s="1073"/>
      <c r="C573" s="1073"/>
      <c r="D573" s="1073"/>
      <c r="E573" s="1073"/>
      <c r="F573" s="1073"/>
      <c r="G573" s="1073"/>
      <c r="H573" s="1073"/>
      <c r="I573" s="1073"/>
      <c r="J573" s="1073"/>
      <c r="K573" s="1073"/>
      <c r="L573" s="1073"/>
      <c r="M573" s="1073"/>
      <c r="N573" s="1073"/>
      <c r="O573" s="1073"/>
      <c r="P573" s="1073"/>
      <c r="Q573" s="1073"/>
      <c r="R573" s="1073"/>
      <c r="S573" s="1073"/>
      <c r="T573" s="1073"/>
      <c r="U573" s="1073"/>
      <c r="V573" s="1073"/>
      <c r="W573" s="1073"/>
      <c r="X573" s="1073"/>
      <c r="Y573" s="1073"/>
      <c r="Z573" s="1073"/>
    </row>
    <row r="574" spans="1:26" ht="12.75" customHeight="1">
      <c r="A574" s="1073"/>
      <c r="B574" s="1073"/>
      <c r="C574" s="1073"/>
      <c r="D574" s="1073"/>
      <c r="E574" s="1073"/>
      <c r="F574" s="1073"/>
      <c r="G574" s="1073"/>
      <c r="H574" s="1073"/>
      <c r="I574" s="1073"/>
      <c r="J574" s="1073"/>
      <c r="K574" s="1073"/>
      <c r="L574" s="1073"/>
      <c r="M574" s="1073"/>
      <c r="N574" s="1073"/>
      <c r="O574" s="1073"/>
      <c r="P574" s="1073"/>
      <c r="Q574" s="1073"/>
      <c r="R574" s="1073"/>
      <c r="S574" s="1073"/>
      <c r="T574" s="1073"/>
      <c r="U574" s="1073"/>
      <c r="V574" s="1073"/>
      <c r="W574" s="1073"/>
      <c r="X574" s="1073"/>
      <c r="Y574" s="1073"/>
      <c r="Z574" s="1073"/>
    </row>
    <row r="575" spans="1:26" ht="12.75" customHeight="1">
      <c r="A575" s="1073"/>
      <c r="B575" s="1073"/>
      <c r="C575" s="1073"/>
      <c r="D575" s="1073"/>
      <c r="E575" s="1073"/>
      <c r="F575" s="1073"/>
      <c r="G575" s="1073"/>
      <c r="H575" s="1073"/>
      <c r="I575" s="1073"/>
      <c r="J575" s="1073"/>
      <c r="K575" s="1073"/>
      <c r="L575" s="1073"/>
      <c r="M575" s="1073"/>
      <c r="N575" s="1073"/>
      <c r="O575" s="1073"/>
      <c r="P575" s="1073"/>
      <c r="Q575" s="1073"/>
      <c r="R575" s="1073"/>
      <c r="S575" s="1073"/>
      <c r="T575" s="1073"/>
      <c r="U575" s="1073"/>
      <c r="V575" s="1073"/>
      <c r="W575" s="1073"/>
      <c r="X575" s="1073"/>
      <c r="Y575" s="1073"/>
      <c r="Z575" s="1073"/>
    </row>
    <row r="576" spans="1:26" ht="12.75" customHeight="1">
      <c r="A576" s="1073"/>
      <c r="B576" s="1073"/>
      <c r="C576" s="1073"/>
      <c r="D576" s="1073"/>
      <c r="E576" s="1073"/>
      <c r="F576" s="1073"/>
      <c r="G576" s="1073"/>
      <c r="H576" s="1073"/>
      <c r="I576" s="1073"/>
      <c r="J576" s="1073"/>
      <c r="K576" s="1073"/>
      <c r="L576" s="1073"/>
      <c r="M576" s="1073"/>
      <c r="N576" s="1073"/>
      <c r="O576" s="1073"/>
      <c r="P576" s="1073"/>
      <c r="Q576" s="1073"/>
      <c r="R576" s="1073"/>
      <c r="S576" s="1073"/>
      <c r="T576" s="1073"/>
      <c r="U576" s="1073"/>
      <c r="V576" s="1073"/>
      <c r="W576" s="1073"/>
      <c r="X576" s="1073"/>
      <c r="Y576" s="1073"/>
      <c r="Z576" s="1073"/>
    </row>
    <row r="577" spans="1:26" ht="12.75" customHeight="1">
      <c r="A577" s="1073"/>
      <c r="B577" s="1073"/>
      <c r="C577" s="1073"/>
      <c r="D577" s="1073"/>
      <c r="E577" s="1073"/>
      <c r="F577" s="1073"/>
      <c r="G577" s="1073"/>
      <c r="H577" s="1073"/>
      <c r="I577" s="1073"/>
      <c r="J577" s="1073"/>
      <c r="K577" s="1073"/>
      <c r="L577" s="1073"/>
      <c r="M577" s="1073"/>
      <c r="N577" s="1073"/>
      <c r="O577" s="1073"/>
      <c r="P577" s="1073"/>
      <c r="Q577" s="1073"/>
      <c r="R577" s="1073"/>
      <c r="S577" s="1073"/>
      <c r="T577" s="1073"/>
      <c r="U577" s="1073"/>
      <c r="V577" s="1073"/>
      <c r="W577" s="1073"/>
      <c r="X577" s="1073"/>
      <c r="Y577" s="1073"/>
      <c r="Z577" s="1073"/>
    </row>
    <row r="578" spans="1:26" ht="12.75" customHeight="1">
      <c r="A578" s="1073"/>
      <c r="B578" s="1073"/>
      <c r="C578" s="1073"/>
      <c r="D578" s="1073"/>
      <c r="E578" s="1073"/>
      <c r="F578" s="1073"/>
      <c r="G578" s="1073"/>
      <c r="H578" s="1073"/>
      <c r="I578" s="1073"/>
      <c r="J578" s="1073"/>
      <c r="K578" s="1073"/>
      <c r="L578" s="1073"/>
      <c r="M578" s="1073"/>
      <c r="N578" s="1073"/>
      <c r="O578" s="1073"/>
      <c r="P578" s="1073"/>
      <c r="Q578" s="1073"/>
      <c r="R578" s="1073"/>
      <c r="S578" s="1073"/>
      <c r="T578" s="1073"/>
      <c r="U578" s="1073"/>
      <c r="V578" s="1073"/>
      <c r="W578" s="1073"/>
      <c r="X578" s="1073"/>
      <c r="Y578" s="1073"/>
      <c r="Z578" s="1073"/>
    </row>
    <row r="579" spans="1:26" ht="12.75" customHeight="1">
      <c r="A579" s="1073"/>
      <c r="B579" s="1073"/>
      <c r="C579" s="1073"/>
      <c r="D579" s="1073"/>
      <c r="E579" s="1073"/>
      <c r="F579" s="1073"/>
      <c r="G579" s="1073"/>
      <c r="H579" s="1073"/>
      <c r="I579" s="1073"/>
      <c r="J579" s="1073"/>
      <c r="K579" s="1073"/>
      <c r="L579" s="1073"/>
      <c r="M579" s="1073"/>
      <c r="N579" s="1073"/>
      <c r="O579" s="1073"/>
      <c r="P579" s="1073"/>
      <c r="Q579" s="1073"/>
      <c r="R579" s="1073"/>
      <c r="S579" s="1073"/>
      <c r="T579" s="1073"/>
      <c r="U579" s="1073"/>
      <c r="V579" s="1073"/>
      <c r="W579" s="1073"/>
      <c r="X579" s="1073"/>
      <c r="Y579" s="1073"/>
      <c r="Z579" s="1073"/>
    </row>
    <row r="580" spans="1:26" ht="12.75" customHeight="1">
      <c r="A580" s="1073"/>
      <c r="B580" s="1073"/>
      <c r="C580" s="1073"/>
      <c r="D580" s="1073"/>
      <c r="E580" s="1073"/>
      <c r="F580" s="1073"/>
      <c r="G580" s="1073"/>
      <c r="H580" s="1073"/>
      <c r="I580" s="1073"/>
      <c r="J580" s="1073"/>
      <c r="K580" s="1073"/>
      <c r="L580" s="1073"/>
      <c r="M580" s="1073"/>
      <c r="N580" s="1073"/>
      <c r="O580" s="1073"/>
      <c r="P580" s="1073"/>
      <c r="Q580" s="1073"/>
      <c r="R580" s="1073"/>
      <c r="S580" s="1073"/>
      <c r="T580" s="1073"/>
      <c r="U580" s="1073"/>
      <c r="V580" s="1073"/>
      <c r="W580" s="1073"/>
      <c r="X580" s="1073"/>
      <c r="Y580" s="1073"/>
      <c r="Z580" s="1073"/>
    </row>
    <row r="581" spans="1:26" ht="12.75" customHeight="1">
      <c r="A581" s="1073"/>
      <c r="B581" s="1073"/>
      <c r="C581" s="1073"/>
      <c r="D581" s="1073"/>
      <c r="E581" s="1073"/>
      <c r="F581" s="1073"/>
      <c r="G581" s="1073"/>
      <c r="H581" s="1073"/>
      <c r="I581" s="1073"/>
      <c r="J581" s="1073"/>
      <c r="K581" s="1073"/>
      <c r="L581" s="1073"/>
      <c r="M581" s="1073"/>
      <c r="N581" s="1073"/>
      <c r="O581" s="1073"/>
      <c r="P581" s="1073"/>
      <c r="Q581" s="1073"/>
      <c r="R581" s="1073"/>
      <c r="S581" s="1073"/>
      <c r="T581" s="1073"/>
      <c r="U581" s="1073"/>
      <c r="V581" s="1073"/>
      <c r="W581" s="1073"/>
      <c r="X581" s="1073"/>
      <c r="Y581" s="1073"/>
      <c r="Z581" s="1073"/>
    </row>
    <row r="582" spans="1:26" ht="12.75" customHeight="1">
      <c r="A582" s="1073"/>
      <c r="B582" s="1073"/>
      <c r="C582" s="1073"/>
      <c r="D582" s="1073"/>
      <c r="E582" s="1073"/>
      <c r="F582" s="1073"/>
      <c r="G582" s="1073"/>
      <c r="H582" s="1073"/>
      <c r="I582" s="1073"/>
      <c r="J582" s="1073"/>
      <c r="K582" s="1073"/>
      <c r="L582" s="1073"/>
      <c r="M582" s="1073"/>
      <c r="N582" s="1073"/>
      <c r="O582" s="1073"/>
      <c r="P582" s="1073"/>
      <c r="Q582" s="1073"/>
      <c r="R582" s="1073"/>
      <c r="S582" s="1073"/>
      <c r="T582" s="1073"/>
      <c r="U582" s="1073"/>
      <c r="V582" s="1073"/>
      <c r="W582" s="1073"/>
      <c r="X582" s="1073"/>
      <c r="Y582" s="1073"/>
      <c r="Z582" s="1073"/>
    </row>
    <row r="583" spans="1:26" ht="12.75" customHeight="1">
      <c r="A583" s="1073"/>
      <c r="B583" s="1073"/>
      <c r="C583" s="1073"/>
      <c r="D583" s="1073"/>
      <c r="E583" s="1073"/>
      <c r="F583" s="1073"/>
      <c r="G583" s="1073"/>
      <c r="H583" s="1073"/>
      <c r="I583" s="1073"/>
      <c r="J583" s="1073"/>
      <c r="K583" s="1073"/>
      <c r="L583" s="1073"/>
      <c r="M583" s="1073"/>
      <c r="N583" s="1073"/>
      <c r="O583" s="1073"/>
      <c r="P583" s="1073"/>
      <c r="Q583" s="1073"/>
      <c r="R583" s="1073"/>
      <c r="S583" s="1073"/>
      <c r="T583" s="1073"/>
      <c r="U583" s="1073"/>
      <c r="V583" s="1073"/>
      <c r="W583" s="1073"/>
      <c r="X583" s="1073"/>
      <c r="Y583" s="1073"/>
      <c r="Z583" s="1073"/>
    </row>
    <row r="584" spans="1:26" ht="12.75" customHeight="1">
      <c r="A584" s="1073"/>
      <c r="B584" s="1073"/>
      <c r="C584" s="1073"/>
      <c r="D584" s="1073"/>
      <c r="E584" s="1073"/>
      <c r="F584" s="1073"/>
      <c r="G584" s="1073"/>
      <c r="H584" s="1073"/>
      <c r="I584" s="1073"/>
      <c r="J584" s="1073"/>
      <c r="K584" s="1073"/>
      <c r="L584" s="1073"/>
      <c r="M584" s="1073"/>
      <c r="N584" s="1073"/>
      <c r="O584" s="1073"/>
      <c r="P584" s="1073"/>
      <c r="Q584" s="1073"/>
      <c r="R584" s="1073"/>
      <c r="S584" s="1073"/>
      <c r="T584" s="1073"/>
      <c r="U584" s="1073"/>
      <c r="V584" s="1073"/>
      <c r="W584" s="1073"/>
      <c r="X584" s="1073"/>
      <c r="Y584" s="1073"/>
      <c r="Z584" s="1073"/>
    </row>
    <row r="585" spans="1:26" ht="12.75" customHeight="1">
      <c r="A585" s="1073"/>
      <c r="B585" s="1073"/>
      <c r="C585" s="1073"/>
      <c r="D585" s="1073"/>
      <c r="E585" s="1073"/>
      <c r="F585" s="1073"/>
      <c r="G585" s="1073"/>
      <c r="H585" s="1073"/>
      <c r="I585" s="1073"/>
      <c r="J585" s="1073"/>
      <c r="K585" s="1073"/>
      <c r="L585" s="1073"/>
      <c r="M585" s="1073"/>
      <c r="N585" s="1073"/>
      <c r="O585" s="1073"/>
      <c r="P585" s="1073"/>
      <c r="Q585" s="1073"/>
      <c r="R585" s="1073"/>
      <c r="S585" s="1073"/>
      <c r="T585" s="1073"/>
      <c r="U585" s="1073"/>
      <c r="V585" s="1073"/>
      <c r="W585" s="1073"/>
      <c r="X585" s="1073"/>
      <c r="Y585" s="1073"/>
      <c r="Z585" s="1073"/>
    </row>
    <row r="586" spans="1:26" ht="12.75" customHeight="1">
      <c r="A586" s="1073"/>
      <c r="B586" s="1073"/>
      <c r="C586" s="1073"/>
      <c r="D586" s="1073"/>
      <c r="E586" s="1073"/>
      <c r="F586" s="1073"/>
      <c r="G586" s="1073"/>
      <c r="H586" s="1073"/>
      <c r="I586" s="1073"/>
      <c r="J586" s="1073"/>
      <c r="K586" s="1073"/>
      <c r="L586" s="1073"/>
      <c r="M586" s="1073"/>
      <c r="N586" s="1073"/>
      <c r="O586" s="1073"/>
      <c r="P586" s="1073"/>
      <c r="Q586" s="1073"/>
      <c r="R586" s="1073"/>
      <c r="S586" s="1073"/>
      <c r="T586" s="1073"/>
      <c r="U586" s="1073"/>
      <c r="V586" s="1073"/>
      <c r="W586" s="1073"/>
      <c r="X586" s="1073"/>
      <c r="Y586" s="1073"/>
      <c r="Z586" s="1073"/>
    </row>
    <row r="587" spans="1:26" ht="12.75" customHeight="1">
      <c r="A587" s="1073"/>
      <c r="B587" s="1073"/>
      <c r="C587" s="1073"/>
      <c r="D587" s="1073"/>
      <c r="E587" s="1073"/>
      <c r="F587" s="1073"/>
      <c r="G587" s="1073"/>
      <c r="H587" s="1073"/>
      <c r="I587" s="1073"/>
      <c r="J587" s="1073"/>
      <c r="K587" s="1073"/>
      <c r="L587" s="1073"/>
      <c r="M587" s="1073"/>
      <c r="N587" s="1073"/>
      <c r="O587" s="1073"/>
      <c r="P587" s="1073"/>
      <c r="Q587" s="1073"/>
      <c r="R587" s="1073"/>
      <c r="S587" s="1073"/>
      <c r="T587" s="1073"/>
      <c r="U587" s="1073"/>
      <c r="V587" s="1073"/>
      <c r="W587" s="1073"/>
      <c r="X587" s="1073"/>
      <c r="Y587" s="1073"/>
      <c r="Z587" s="1073"/>
    </row>
    <row r="588" spans="1:26" ht="12.75" customHeight="1">
      <c r="A588" s="1073"/>
      <c r="B588" s="1073"/>
      <c r="C588" s="1073"/>
      <c r="D588" s="1073"/>
      <c r="E588" s="1073"/>
      <c r="F588" s="1073"/>
      <c r="G588" s="1073"/>
      <c r="H588" s="1073"/>
      <c r="I588" s="1073"/>
      <c r="J588" s="1073"/>
      <c r="K588" s="1073"/>
      <c r="L588" s="1073"/>
      <c r="M588" s="1073"/>
      <c r="N588" s="1073"/>
      <c r="O588" s="1073"/>
      <c r="P588" s="1073"/>
      <c r="Q588" s="1073"/>
      <c r="R588" s="1073"/>
      <c r="S588" s="1073"/>
      <c r="T588" s="1073"/>
      <c r="U588" s="1073"/>
      <c r="V588" s="1073"/>
      <c r="W588" s="1073"/>
      <c r="X588" s="1073"/>
      <c r="Y588" s="1073"/>
      <c r="Z588" s="1073"/>
    </row>
    <row r="589" spans="1:26" ht="12.75" customHeight="1">
      <c r="A589" s="1073"/>
      <c r="B589" s="1073"/>
      <c r="C589" s="1073"/>
      <c r="D589" s="1073"/>
      <c r="E589" s="1073"/>
      <c r="F589" s="1073"/>
      <c r="G589" s="1073"/>
      <c r="H589" s="1073"/>
      <c r="I589" s="1073"/>
      <c r="J589" s="1073"/>
      <c r="K589" s="1073"/>
      <c r="L589" s="1073"/>
      <c r="M589" s="1073"/>
      <c r="N589" s="1073"/>
      <c r="O589" s="1073"/>
      <c r="P589" s="1073"/>
      <c r="Q589" s="1073"/>
      <c r="R589" s="1073"/>
      <c r="S589" s="1073"/>
      <c r="T589" s="1073"/>
      <c r="U589" s="1073"/>
      <c r="V589" s="1073"/>
      <c r="W589" s="1073"/>
      <c r="X589" s="1073"/>
      <c r="Y589" s="1073"/>
      <c r="Z589" s="1073"/>
    </row>
    <row r="590" spans="1:26" ht="12.75" customHeight="1">
      <c r="A590" s="1073"/>
      <c r="B590" s="1073"/>
      <c r="C590" s="1073"/>
      <c r="D590" s="1073"/>
      <c r="E590" s="1073"/>
      <c r="F590" s="1073"/>
      <c r="G590" s="1073"/>
      <c r="H590" s="1073"/>
      <c r="I590" s="1073"/>
      <c r="J590" s="1073"/>
      <c r="K590" s="1073"/>
      <c r="L590" s="1073"/>
      <c r="M590" s="1073"/>
      <c r="N590" s="1073"/>
      <c r="O590" s="1073"/>
      <c r="P590" s="1073"/>
      <c r="Q590" s="1073"/>
      <c r="R590" s="1073"/>
      <c r="S590" s="1073"/>
      <c r="T590" s="1073"/>
      <c r="U590" s="1073"/>
      <c r="V590" s="1073"/>
      <c r="W590" s="1073"/>
      <c r="X590" s="1073"/>
      <c r="Y590" s="1073"/>
      <c r="Z590" s="1073"/>
    </row>
    <row r="591" spans="1:26" ht="12.75" customHeight="1">
      <c r="A591" s="1073"/>
      <c r="B591" s="1073"/>
      <c r="C591" s="1073"/>
      <c r="D591" s="1073"/>
      <c r="E591" s="1073"/>
      <c r="F591" s="1073"/>
      <c r="G591" s="1073"/>
      <c r="H591" s="1073"/>
      <c r="I591" s="1073"/>
      <c r="J591" s="1073"/>
      <c r="K591" s="1073"/>
      <c r="L591" s="1073"/>
      <c r="M591" s="1073"/>
      <c r="N591" s="1073"/>
      <c r="O591" s="1073"/>
      <c r="P591" s="1073"/>
      <c r="Q591" s="1073"/>
      <c r="R591" s="1073"/>
      <c r="S591" s="1073"/>
      <c r="T591" s="1073"/>
      <c r="U591" s="1073"/>
      <c r="V591" s="1073"/>
      <c r="W591" s="1073"/>
      <c r="X591" s="1073"/>
      <c r="Y591" s="1073"/>
      <c r="Z591" s="1073"/>
    </row>
    <row r="592" spans="1:26" ht="12.75" customHeight="1">
      <c r="A592" s="1073"/>
      <c r="B592" s="1073"/>
      <c r="C592" s="1073"/>
      <c r="D592" s="1073"/>
      <c r="E592" s="1073"/>
      <c r="F592" s="1073"/>
      <c r="G592" s="1073"/>
      <c r="H592" s="1073"/>
      <c r="I592" s="1073"/>
      <c r="J592" s="1073"/>
      <c r="K592" s="1073"/>
      <c r="L592" s="1073"/>
      <c r="M592" s="1073"/>
      <c r="N592" s="1073"/>
      <c r="O592" s="1073"/>
      <c r="P592" s="1073"/>
      <c r="Q592" s="1073"/>
      <c r="R592" s="1073"/>
      <c r="S592" s="1073"/>
      <c r="T592" s="1073"/>
      <c r="U592" s="1073"/>
      <c r="V592" s="1073"/>
      <c r="W592" s="1073"/>
      <c r="X592" s="1073"/>
      <c r="Y592" s="1073"/>
      <c r="Z592" s="1073"/>
    </row>
    <row r="593" spans="1:26" ht="12.75" customHeight="1">
      <c r="A593" s="1073"/>
      <c r="B593" s="1073"/>
      <c r="C593" s="1073"/>
      <c r="D593" s="1073"/>
      <c r="E593" s="1073"/>
      <c r="F593" s="1073"/>
      <c r="G593" s="1073"/>
      <c r="H593" s="1073"/>
      <c r="I593" s="1073"/>
      <c r="J593" s="1073"/>
      <c r="K593" s="1073"/>
      <c r="L593" s="1073"/>
      <c r="M593" s="1073"/>
      <c r="N593" s="1073"/>
      <c r="O593" s="1073"/>
      <c r="P593" s="1073"/>
      <c r="Q593" s="1073"/>
      <c r="R593" s="1073"/>
      <c r="S593" s="1073"/>
      <c r="T593" s="1073"/>
      <c r="U593" s="1073"/>
      <c r="V593" s="1073"/>
      <c r="W593" s="1073"/>
      <c r="X593" s="1073"/>
      <c r="Y593" s="1073"/>
      <c r="Z593" s="1073"/>
    </row>
    <row r="594" spans="1:26" ht="12.75" customHeight="1">
      <c r="A594" s="1073"/>
      <c r="B594" s="1073"/>
      <c r="C594" s="1073"/>
      <c r="D594" s="1073"/>
      <c r="E594" s="1073"/>
      <c r="F594" s="1073"/>
      <c r="G594" s="1073"/>
      <c r="H594" s="1073"/>
      <c r="I594" s="1073"/>
      <c r="J594" s="1073"/>
      <c r="K594" s="1073"/>
      <c r="L594" s="1073"/>
      <c r="M594" s="1073"/>
      <c r="N594" s="1073"/>
      <c r="O594" s="1073"/>
      <c r="P594" s="1073"/>
      <c r="Q594" s="1073"/>
      <c r="R594" s="1073"/>
      <c r="S594" s="1073"/>
      <c r="T594" s="1073"/>
      <c r="U594" s="1073"/>
      <c r="V594" s="1073"/>
      <c r="W594" s="1073"/>
      <c r="X594" s="1073"/>
      <c r="Y594" s="1073"/>
      <c r="Z594" s="1073"/>
    </row>
    <row r="595" spans="1:26" ht="12.75" customHeight="1">
      <c r="A595" s="1073"/>
      <c r="B595" s="1073"/>
      <c r="C595" s="1073"/>
      <c r="D595" s="1073"/>
      <c r="E595" s="1073"/>
      <c r="F595" s="1073"/>
      <c r="G595" s="1073"/>
      <c r="H595" s="1073"/>
      <c r="I595" s="1073"/>
      <c r="J595" s="1073"/>
      <c r="K595" s="1073"/>
      <c r="L595" s="1073"/>
      <c r="M595" s="1073"/>
      <c r="N595" s="1073"/>
      <c r="O595" s="1073"/>
      <c r="P595" s="1073"/>
      <c r="Q595" s="1073"/>
      <c r="R595" s="1073"/>
      <c r="S595" s="1073"/>
      <c r="T595" s="1073"/>
      <c r="U595" s="1073"/>
      <c r="V595" s="1073"/>
      <c r="W595" s="1073"/>
      <c r="X595" s="1073"/>
      <c r="Y595" s="1073"/>
      <c r="Z595" s="1073"/>
    </row>
    <row r="596" spans="1:26" ht="12.75" customHeight="1">
      <c r="A596" s="1073"/>
      <c r="B596" s="1073"/>
      <c r="C596" s="1073"/>
      <c r="D596" s="1073"/>
      <c r="E596" s="1073"/>
      <c r="F596" s="1073"/>
      <c r="G596" s="1073"/>
      <c r="H596" s="1073"/>
      <c r="I596" s="1073"/>
      <c r="J596" s="1073"/>
      <c r="K596" s="1073"/>
      <c r="L596" s="1073"/>
      <c r="M596" s="1073"/>
      <c r="N596" s="1073"/>
      <c r="O596" s="1073"/>
      <c r="P596" s="1073"/>
      <c r="Q596" s="1073"/>
      <c r="R596" s="1073"/>
      <c r="S596" s="1073"/>
      <c r="T596" s="1073"/>
      <c r="U596" s="1073"/>
      <c r="V596" s="1073"/>
      <c r="W596" s="1073"/>
      <c r="X596" s="1073"/>
      <c r="Y596" s="1073"/>
      <c r="Z596" s="1073"/>
    </row>
    <row r="597" spans="1:26" ht="12.75" customHeight="1">
      <c r="A597" s="1073"/>
      <c r="B597" s="1073"/>
      <c r="C597" s="1073"/>
      <c r="D597" s="1073"/>
      <c r="E597" s="1073"/>
      <c r="F597" s="1073"/>
      <c r="G597" s="1073"/>
      <c r="H597" s="1073"/>
      <c r="I597" s="1073"/>
      <c r="J597" s="1073"/>
      <c r="K597" s="1073"/>
      <c r="L597" s="1073"/>
      <c r="M597" s="1073"/>
      <c r="N597" s="1073"/>
      <c r="O597" s="1073"/>
      <c r="P597" s="1073"/>
      <c r="Q597" s="1073"/>
      <c r="R597" s="1073"/>
      <c r="S597" s="1073"/>
      <c r="T597" s="1073"/>
      <c r="U597" s="1073"/>
      <c r="V597" s="1073"/>
      <c r="W597" s="1073"/>
      <c r="X597" s="1073"/>
      <c r="Y597" s="1073"/>
      <c r="Z597" s="1073"/>
    </row>
    <row r="598" spans="1:26" ht="12.75" customHeight="1">
      <c r="A598" s="1073"/>
      <c r="B598" s="1073"/>
      <c r="C598" s="1073"/>
      <c r="D598" s="1073"/>
      <c r="E598" s="1073"/>
      <c r="F598" s="1073"/>
      <c r="G598" s="1073"/>
      <c r="H598" s="1073"/>
      <c r="I598" s="1073"/>
      <c r="J598" s="1073"/>
      <c r="K598" s="1073"/>
      <c r="L598" s="1073"/>
      <c r="M598" s="1073"/>
      <c r="N598" s="1073"/>
      <c r="O598" s="1073"/>
      <c r="P598" s="1073"/>
      <c r="Q598" s="1073"/>
      <c r="R598" s="1073"/>
      <c r="S598" s="1073"/>
      <c r="T598" s="1073"/>
      <c r="U598" s="1073"/>
      <c r="V598" s="1073"/>
      <c r="W598" s="1073"/>
      <c r="X598" s="1073"/>
      <c r="Y598" s="1073"/>
      <c r="Z598" s="1073"/>
    </row>
    <row r="599" spans="1:26" ht="12.75" customHeight="1">
      <c r="A599" s="1073"/>
      <c r="B599" s="1073"/>
      <c r="C599" s="1073"/>
      <c r="D599" s="1073"/>
      <c r="E599" s="1073"/>
      <c r="F599" s="1073"/>
      <c r="G599" s="1073"/>
      <c r="H599" s="1073"/>
      <c r="I599" s="1073"/>
      <c r="J599" s="1073"/>
      <c r="K599" s="1073"/>
      <c r="L599" s="1073"/>
      <c r="M599" s="1073"/>
      <c r="N599" s="1073"/>
      <c r="O599" s="1073"/>
      <c r="P599" s="1073"/>
      <c r="Q599" s="1073"/>
      <c r="R599" s="1073"/>
      <c r="S599" s="1073"/>
      <c r="T599" s="1073"/>
      <c r="U599" s="1073"/>
      <c r="V599" s="1073"/>
      <c r="W599" s="1073"/>
      <c r="X599" s="1073"/>
      <c r="Y599" s="1073"/>
      <c r="Z599" s="1073"/>
    </row>
    <row r="600" spans="1:26" ht="12.75" customHeight="1">
      <c r="A600" s="1073"/>
      <c r="B600" s="1073"/>
      <c r="C600" s="1073"/>
      <c r="D600" s="1073"/>
      <c r="E600" s="1073"/>
      <c r="F600" s="1073"/>
      <c r="G600" s="1073"/>
      <c r="H600" s="1073"/>
      <c r="I600" s="1073"/>
      <c r="J600" s="1073"/>
      <c r="K600" s="1073"/>
      <c r="L600" s="1073"/>
      <c r="M600" s="1073"/>
      <c r="N600" s="1073"/>
      <c r="O600" s="1073"/>
      <c r="P600" s="1073"/>
      <c r="Q600" s="1073"/>
      <c r="R600" s="1073"/>
      <c r="S600" s="1073"/>
      <c r="T600" s="1073"/>
      <c r="U600" s="1073"/>
      <c r="V600" s="1073"/>
      <c r="W600" s="1073"/>
      <c r="X600" s="1073"/>
      <c r="Y600" s="1073"/>
      <c r="Z600" s="1073"/>
    </row>
    <row r="601" spans="1:26" ht="12.75" customHeight="1">
      <c r="A601" s="1073"/>
      <c r="B601" s="1073"/>
      <c r="C601" s="1073"/>
      <c r="D601" s="1073"/>
      <c r="E601" s="1073"/>
      <c r="F601" s="1073"/>
      <c r="G601" s="1073"/>
      <c r="H601" s="1073"/>
      <c r="I601" s="1073"/>
      <c r="J601" s="1073"/>
      <c r="K601" s="1073"/>
      <c r="L601" s="1073"/>
      <c r="M601" s="1073"/>
      <c r="N601" s="1073"/>
      <c r="O601" s="1073"/>
      <c r="P601" s="1073"/>
      <c r="Q601" s="1073"/>
      <c r="R601" s="1073"/>
      <c r="S601" s="1073"/>
      <c r="T601" s="1073"/>
      <c r="U601" s="1073"/>
      <c r="V601" s="1073"/>
      <c r="W601" s="1073"/>
      <c r="X601" s="1073"/>
      <c r="Y601" s="1073"/>
      <c r="Z601" s="1073"/>
    </row>
    <row r="602" spans="1:26" ht="12.75" customHeight="1">
      <c r="A602" s="1073"/>
      <c r="B602" s="1073"/>
      <c r="C602" s="1073"/>
      <c r="D602" s="1073"/>
      <c r="E602" s="1073"/>
      <c r="F602" s="1073"/>
      <c r="G602" s="1073"/>
      <c r="H602" s="1073"/>
      <c r="I602" s="1073"/>
      <c r="J602" s="1073"/>
      <c r="K602" s="1073"/>
      <c r="L602" s="1073"/>
      <c r="M602" s="1073"/>
      <c r="N602" s="1073"/>
      <c r="O602" s="1073"/>
      <c r="P602" s="1073"/>
      <c r="Q602" s="1073"/>
      <c r="R602" s="1073"/>
      <c r="S602" s="1073"/>
      <c r="T602" s="1073"/>
      <c r="U602" s="1073"/>
      <c r="V602" s="1073"/>
      <c r="W602" s="1073"/>
      <c r="X602" s="1073"/>
      <c r="Y602" s="1073"/>
      <c r="Z602" s="1073"/>
    </row>
    <row r="603" spans="1:26" ht="12.75" customHeight="1">
      <c r="A603" s="1073"/>
      <c r="B603" s="1073"/>
      <c r="C603" s="1073"/>
      <c r="D603" s="1073"/>
      <c r="E603" s="1073"/>
      <c r="F603" s="1073"/>
      <c r="G603" s="1073"/>
      <c r="H603" s="1073"/>
      <c r="I603" s="1073"/>
      <c r="J603" s="1073"/>
      <c r="K603" s="1073"/>
      <c r="L603" s="1073"/>
      <c r="M603" s="1073"/>
      <c r="N603" s="1073"/>
      <c r="O603" s="1073"/>
      <c r="P603" s="1073"/>
      <c r="Q603" s="1073"/>
      <c r="R603" s="1073"/>
      <c r="S603" s="1073"/>
      <c r="T603" s="1073"/>
      <c r="U603" s="1073"/>
      <c r="V603" s="1073"/>
      <c r="W603" s="1073"/>
      <c r="X603" s="1073"/>
      <c r="Y603" s="1073"/>
      <c r="Z603" s="1073"/>
    </row>
    <row r="604" spans="1:26" ht="12.75" customHeight="1">
      <c r="A604" s="1073"/>
      <c r="B604" s="1073"/>
      <c r="C604" s="1073"/>
      <c r="D604" s="1073"/>
      <c r="E604" s="1073"/>
      <c r="F604" s="1073"/>
      <c r="G604" s="1073"/>
      <c r="H604" s="1073"/>
      <c r="I604" s="1073"/>
      <c r="J604" s="1073"/>
      <c r="K604" s="1073"/>
      <c r="L604" s="1073"/>
      <c r="M604" s="1073"/>
      <c r="N604" s="1073"/>
      <c r="O604" s="1073"/>
      <c r="P604" s="1073"/>
      <c r="Q604" s="1073"/>
      <c r="R604" s="1073"/>
      <c r="S604" s="1073"/>
      <c r="T604" s="1073"/>
      <c r="U604" s="1073"/>
      <c r="V604" s="1073"/>
      <c r="W604" s="1073"/>
      <c r="X604" s="1073"/>
      <c r="Y604" s="1073"/>
      <c r="Z604" s="1073"/>
    </row>
    <row r="605" spans="1:26" ht="12.75" customHeight="1">
      <c r="A605" s="1073"/>
      <c r="B605" s="1073"/>
      <c r="C605" s="1073"/>
      <c r="D605" s="1073"/>
      <c r="E605" s="1073"/>
      <c r="F605" s="1073"/>
      <c r="G605" s="1073"/>
      <c r="H605" s="1073"/>
      <c r="I605" s="1073"/>
      <c r="J605" s="1073"/>
      <c r="K605" s="1073"/>
      <c r="L605" s="1073"/>
      <c r="M605" s="1073"/>
      <c r="N605" s="1073"/>
      <c r="O605" s="1073"/>
      <c r="P605" s="1073"/>
      <c r="Q605" s="1073"/>
      <c r="R605" s="1073"/>
      <c r="S605" s="1073"/>
      <c r="T605" s="1073"/>
      <c r="U605" s="1073"/>
      <c r="V605" s="1073"/>
      <c r="W605" s="1073"/>
      <c r="X605" s="1073"/>
      <c r="Y605" s="1073"/>
      <c r="Z605" s="1073"/>
    </row>
    <row r="606" spans="1:26" ht="12.75" customHeight="1">
      <c r="A606" s="1073"/>
      <c r="B606" s="1073"/>
      <c r="C606" s="1073"/>
      <c r="D606" s="1073"/>
      <c r="E606" s="1073"/>
      <c r="F606" s="1073"/>
      <c r="G606" s="1073"/>
      <c r="H606" s="1073"/>
      <c r="I606" s="1073"/>
      <c r="J606" s="1073"/>
      <c r="K606" s="1073"/>
      <c r="L606" s="1073"/>
      <c r="M606" s="1073"/>
      <c r="N606" s="1073"/>
      <c r="O606" s="1073"/>
      <c r="P606" s="1073"/>
      <c r="Q606" s="1073"/>
      <c r="R606" s="1073"/>
      <c r="S606" s="1073"/>
      <c r="T606" s="1073"/>
      <c r="U606" s="1073"/>
      <c r="V606" s="1073"/>
      <c r="W606" s="1073"/>
      <c r="X606" s="1073"/>
      <c r="Y606" s="1073"/>
      <c r="Z606" s="1073"/>
    </row>
    <row r="607" spans="1:26" ht="12.75" customHeight="1">
      <c r="A607" s="1073"/>
      <c r="B607" s="1073"/>
      <c r="C607" s="1073"/>
      <c r="D607" s="1073"/>
      <c r="E607" s="1073"/>
      <c r="F607" s="1073"/>
      <c r="G607" s="1073"/>
      <c r="H607" s="1073"/>
      <c r="I607" s="1073"/>
      <c r="J607" s="1073"/>
      <c r="K607" s="1073"/>
      <c r="L607" s="1073"/>
      <c r="M607" s="1073"/>
      <c r="N607" s="1073"/>
      <c r="O607" s="1073"/>
      <c r="P607" s="1073"/>
      <c r="Q607" s="1073"/>
      <c r="R607" s="1073"/>
      <c r="S607" s="1073"/>
      <c r="T607" s="1073"/>
      <c r="U607" s="1073"/>
      <c r="V607" s="1073"/>
      <c r="W607" s="1073"/>
      <c r="X607" s="1073"/>
      <c r="Y607" s="1073"/>
      <c r="Z607" s="1073"/>
    </row>
    <row r="608" spans="1:26" ht="12.75" customHeight="1">
      <c r="A608" s="1073"/>
      <c r="B608" s="1073"/>
      <c r="C608" s="1073"/>
      <c r="D608" s="1073"/>
      <c r="E608" s="1073"/>
      <c r="F608" s="1073"/>
      <c r="G608" s="1073"/>
      <c r="H608" s="1073"/>
      <c r="I608" s="1073"/>
      <c r="J608" s="1073"/>
      <c r="K608" s="1073"/>
      <c r="L608" s="1073"/>
      <c r="M608" s="1073"/>
      <c r="N608" s="1073"/>
      <c r="O608" s="1073"/>
      <c r="P608" s="1073"/>
      <c r="Q608" s="1073"/>
      <c r="R608" s="1073"/>
      <c r="S608" s="1073"/>
      <c r="T608" s="1073"/>
      <c r="U608" s="1073"/>
      <c r="V608" s="1073"/>
      <c r="W608" s="1073"/>
      <c r="X608" s="1073"/>
      <c r="Y608" s="1073"/>
      <c r="Z608" s="1073"/>
    </row>
    <row r="609" spans="1:26" ht="12.75" customHeight="1">
      <c r="A609" s="1073"/>
      <c r="B609" s="1073"/>
      <c r="C609" s="1073"/>
      <c r="D609" s="1073"/>
      <c r="E609" s="1073"/>
      <c r="F609" s="1073"/>
      <c r="G609" s="1073"/>
      <c r="H609" s="1073"/>
      <c r="I609" s="1073"/>
      <c r="J609" s="1073"/>
      <c r="K609" s="1073"/>
      <c r="L609" s="1073"/>
      <c r="M609" s="1073"/>
      <c r="N609" s="1073"/>
      <c r="O609" s="1073"/>
      <c r="P609" s="1073"/>
      <c r="Q609" s="1073"/>
      <c r="R609" s="1073"/>
      <c r="S609" s="1073"/>
      <c r="T609" s="1073"/>
      <c r="U609" s="1073"/>
      <c r="V609" s="1073"/>
      <c r="W609" s="1073"/>
      <c r="X609" s="1073"/>
      <c r="Y609" s="1073"/>
      <c r="Z609" s="1073"/>
    </row>
    <row r="610" spans="1:26" ht="12.75" customHeight="1">
      <c r="A610" s="1073"/>
      <c r="B610" s="1073"/>
      <c r="C610" s="1073"/>
      <c r="D610" s="1073"/>
      <c r="E610" s="1073"/>
      <c r="F610" s="1073"/>
      <c r="G610" s="1073"/>
      <c r="H610" s="1073"/>
      <c r="I610" s="1073"/>
      <c r="J610" s="1073"/>
      <c r="K610" s="1073"/>
      <c r="L610" s="1073"/>
      <c r="M610" s="1073"/>
      <c r="N610" s="1073"/>
      <c r="O610" s="1073"/>
      <c r="P610" s="1073"/>
      <c r="Q610" s="1073"/>
      <c r="R610" s="1073"/>
      <c r="S610" s="1073"/>
      <c r="T610" s="1073"/>
      <c r="U610" s="1073"/>
      <c r="V610" s="1073"/>
      <c r="W610" s="1073"/>
      <c r="X610" s="1073"/>
      <c r="Y610" s="1073"/>
      <c r="Z610" s="1073"/>
    </row>
    <row r="611" spans="1:26" ht="12.75" customHeight="1">
      <c r="A611" s="1073"/>
      <c r="B611" s="1073"/>
      <c r="C611" s="1073"/>
      <c r="D611" s="1073"/>
      <c r="E611" s="1073"/>
      <c r="F611" s="1073"/>
      <c r="G611" s="1073"/>
      <c r="H611" s="1073"/>
      <c r="I611" s="1073"/>
      <c r="J611" s="1073"/>
      <c r="K611" s="1073"/>
      <c r="L611" s="1073"/>
      <c r="M611" s="1073"/>
      <c r="N611" s="1073"/>
      <c r="O611" s="1073"/>
      <c r="P611" s="1073"/>
      <c r="Q611" s="1073"/>
      <c r="R611" s="1073"/>
      <c r="S611" s="1073"/>
      <c r="T611" s="1073"/>
      <c r="U611" s="1073"/>
      <c r="V611" s="1073"/>
      <c r="W611" s="1073"/>
      <c r="X611" s="1073"/>
      <c r="Y611" s="1073"/>
      <c r="Z611" s="1073"/>
    </row>
    <row r="612" spans="1:26" ht="12.75" customHeight="1">
      <c r="A612" s="1073"/>
      <c r="B612" s="1073"/>
      <c r="C612" s="1073"/>
      <c r="D612" s="1073"/>
      <c r="E612" s="1073"/>
      <c r="F612" s="1073"/>
      <c r="G612" s="1073"/>
      <c r="H612" s="1073"/>
      <c r="I612" s="1073"/>
      <c r="J612" s="1073"/>
      <c r="K612" s="1073"/>
      <c r="L612" s="1073"/>
      <c r="M612" s="1073"/>
      <c r="N612" s="1073"/>
      <c r="O612" s="1073"/>
      <c r="P612" s="1073"/>
      <c r="Q612" s="1073"/>
      <c r="R612" s="1073"/>
      <c r="S612" s="1073"/>
      <c r="T612" s="1073"/>
      <c r="U612" s="1073"/>
      <c r="V612" s="1073"/>
      <c r="W612" s="1073"/>
      <c r="X612" s="1073"/>
      <c r="Y612" s="1073"/>
      <c r="Z612" s="1073"/>
    </row>
    <row r="613" spans="1:26" ht="12.75" customHeight="1">
      <c r="A613" s="1073"/>
      <c r="B613" s="1073"/>
      <c r="C613" s="1073"/>
      <c r="D613" s="1073"/>
      <c r="E613" s="1073"/>
      <c r="F613" s="1073"/>
      <c r="G613" s="1073"/>
      <c r="H613" s="1073"/>
      <c r="I613" s="1073"/>
      <c r="J613" s="1073"/>
      <c r="K613" s="1073"/>
      <c r="L613" s="1073"/>
      <c r="M613" s="1073"/>
      <c r="N613" s="1073"/>
      <c r="O613" s="1073"/>
      <c r="P613" s="1073"/>
      <c r="Q613" s="1073"/>
      <c r="R613" s="1073"/>
      <c r="S613" s="1073"/>
      <c r="T613" s="1073"/>
      <c r="U613" s="1073"/>
      <c r="V613" s="1073"/>
      <c r="W613" s="1073"/>
      <c r="X613" s="1073"/>
      <c r="Y613" s="1073"/>
      <c r="Z613" s="1073"/>
    </row>
    <row r="614" spans="1:26" ht="12.75" customHeight="1">
      <c r="A614" s="1073"/>
      <c r="B614" s="1073"/>
      <c r="C614" s="1073"/>
      <c r="D614" s="1073"/>
      <c r="E614" s="1073"/>
      <c r="F614" s="1073"/>
      <c r="G614" s="1073"/>
      <c r="H614" s="1073"/>
      <c r="I614" s="1073"/>
      <c r="J614" s="1073"/>
      <c r="K614" s="1073"/>
      <c r="L614" s="1073"/>
      <c r="M614" s="1073"/>
      <c r="N614" s="1073"/>
      <c r="O614" s="1073"/>
      <c r="P614" s="1073"/>
      <c r="Q614" s="1073"/>
      <c r="R614" s="1073"/>
      <c r="S614" s="1073"/>
      <c r="T614" s="1073"/>
      <c r="U614" s="1073"/>
      <c r="V614" s="1073"/>
      <c r="W614" s="1073"/>
      <c r="X614" s="1073"/>
      <c r="Y614" s="1073"/>
      <c r="Z614" s="1073"/>
    </row>
    <row r="615" spans="1:26" ht="12.75" customHeight="1">
      <c r="A615" s="1073"/>
      <c r="B615" s="1073"/>
      <c r="C615" s="1073"/>
      <c r="D615" s="1073"/>
      <c r="E615" s="1073"/>
      <c r="F615" s="1073"/>
      <c r="G615" s="1073"/>
      <c r="H615" s="1073"/>
      <c r="I615" s="1073"/>
      <c r="J615" s="1073"/>
      <c r="K615" s="1073"/>
      <c r="L615" s="1073"/>
      <c r="M615" s="1073"/>
      <c r="N615" s="1073"/>
      <c r="O615" s="1073"/>
      <c r="P615" s="1073"/>
      <c r="Q615" s="1073"/>
      <c r="R615" s="1073"/>
      <c r="S615" s="1073"/>
      <c r="T615" s="1073"/>
      <c r="U615" s="1073"/>
      <c r="V615" s="1073"/>
      <c r="W615" s="1073"/>
      <c r="X615" s="1073"/>
      <c r="Y615" s="1073"/>
      <c r="Z615" s="1073"/>
    </row>
    <row r="616" spans="1:26" ht="12.75" customHeight="1">
      <c r="A616" s="1073"/>
      <c r="B616" s="1073"/>
      <c r="C616" s="1073"/>
      <c r="D616" s="1073"/>
      <c r="E616" s="1073"/>
      <c r="F616" s="1073"/>
      <c r="G616" s="1073"/>
      <c r="H616" s="1073"/>
      <c r="I616" s="1073"/>
      <c r="J616" s="1073"/>
      <c r="K616" s="1073"/>
      <c r="L616" s="1073"/>
      <c r="M616" s="1073"/>
      <c r="N616" s="1073"/>
      <c r="O616" s="1073"/>
      <c r="P616" s="1073"/>
      <c r="Q616" s="1073"/>
      <c r="R616" s="1073"/>
      <c r="S616" s="1073"/>
      <c r="T616" s="1073"/>
      <c r="U616" s="1073"/>
      <c r="V616" s="1073"/>
      <c r="W616" s="1073"/>
      <c r="X616" s="1073"/>
      <c r="Y616" s="1073"/>
      <c r="Z616" s="1073"/>
    </row>
    <row r="617" spans="1:26" ht="12.75" customHeight="1">
      <c r="A617" s="1073"/>
      <c r="B617" s="1073"/>
      <c r="C617" s="1073"/>
      <c r="D617" s="1073"/>
      <c r="E617" s="1073"/>
      <c r="F617" s="1073"/>
      <c r="G617" s="1073"/>
      <c r="H617" s="1073"/>
      <c r="I617" s="1073"/>
      <c r="J617" s="1073"/>
      <c r="K617" s="1073"/>
      <c r="L617" s="1073"/>
      <c r="M617" s="1073"/>
      <c r="N617" s="1073"/>
      <c r="O617" s="1073"/>
      <c r="P617" s="1073"/>
      <c r="Q617" s="1073"/>
      <c r="R617" s="1073"/>
      <c r="S617" s="1073"/>
      <c r="T617" s="1073"/>
      <c r="U617" s="1073"/>
      <c r="V617" s="1073"/>
      <c r="W617" s="1073"/>
      <c r="X617" s="1073"/>
      <c r="Y617" s="1073"/>
      <c r="Z617" s="1073"/>
    </row>
    <row r="618" spans="1:26" ht="12.75" customHeight="1">
      <c r="A618" s="1073"/>
      <c r="B618" s="1073"/>
      <c r="C618" s="1073"/>
      <c r="D618" s="1073"/>
      <c r="E618" s="1073"/>
      <c r="F618" s="1073"/>
      <c r="G618" s="1073"/>
      <c r="H618" s="1073"/>
      <c r="I618" s="1073"/>
      <c r="J618" s="1073"/>
      <c r="K618" s="1073"/>
      <c r="L618" s="1073"/>
      <c r="M618" s="1073"/>
      <c r="N618" s="1073"/>
      <c r="O618" s="1073"/>
      <c r="P618" s="1073"/>
      <c r="Q618" s="1073"/>
      <c r="R618" s="1073"/>
      <c r="S618" s="1073"/>
      <c r="T618" s="1073"/>
      <c r="U618" s="1073"/>
      <c r="V618" s="1073"/>
      <c r="W618" s="1073"/>
      <c r="X618" s="1073"/>
      <c r="Y618" s="1073"/>
      <c r="Z618" s="1073"/>
    </row>
    <row r="619" spans="1:26" ht="12.75" customHeight="1">
      <c r="A619" s="1073"/>
      <c r="B619" s="1073"/>
      <c r="C619" s="1073"/>
      <c r="D619" s="1073"/>
      <c r="E619" s="1073"/>
      <c r="F619" s="1073"/>
      <c r="G619" s="1073"/>
      <c r="H619" s="1073"/>
      <c r="I619" s="1073"/>
      <c r="J619" s="1073"/>
      <c r="K619" s="1073"/>
      <c r="L619" s="1073"/>
      <c r="M619" s="1073"/>
      <c r="N619" s="1073"/>
      <c r="O619" s="1073"/>
      <c r="P619" s="1073"/>
      <c r="Q619" s="1073"/>
      <c r="R619" s="1073"/>
      <c r="S619" s="1073"/>
      <c r="T619" s="1073"/>
      <c r="U619" s="1073"/>
      <c r="V619" s="1073"/>
      <c r="W619" s="1073"/>
      <c r="X619" s="1073"/>
      <c r="Y619" s="1073"/>
      <c r="Z619" s="1073"/>
    </row>
    <row r="620" spans="1:26" ht="12.75" customHeight="1">
      <c r="A620" s="1073"/>
      <c r="B620" s="1073"/>
      <c r="C620" s="1073"/>
      <c r="D620" s="1073"/>
      <c r="E620" s="1073"/>
      <c r="F620" s="1073"/>
      <c r="G620" s="1073"/>
      <c r="H620" s="1073"/>
      <c r="I620" s="1073"/>
      <c r="J620" s="1073"/>
      <c r="K620" s="1073"/>
      <c r="L620" s="1073"/>
      <c r="M620" s="1073"/>
      <c r="N620" s="1073"/>
      <c r="O620" s="1073"/>
      <c r="P620" s="1073"/>
      <c r="Q620" s="1073"/>
      <c r="R620" s="1073"/>
      <c r="S620" s="1073"/>
      <c r="T620" s="1073"/>
      <c r="U620" s="1073"/>
      <c r="V620" s="1073"/>
      <c r="W620" s="1073"/>
      <c r="X620" s="1073"/>
      <c r="Y620" s="1073"/>
      <c r="Z620" s="1073"/>
    </row>
    <row r="621" spans="1:26" ht="12.75" customHeight="1">
      <c r="A621" s="1073"/>
      <c r="B621" s="1073"/>
      <c r="C621" s="1073"/>
      <c r="D621" s="1073"/>
      <c r="E621" s="1073"/>
      <c r="F621" s="1073"/>
      <c r="G621" s="1073"/>
      <c r="H621" s="1073"/>
      <c r="I621" s="1073"/>
      <c r="J621" s="1073"/>
      <c r="K621" s="1073"/>
      <c r="L621" s="1073"/>
      <c r="M621" s="1073"/>
      <c r="N621" s="1073"/>
      <c r="O621" s="1073"/>
      <c r="P621" s="1073"/>
      <c r="Q621" s="1073"/>
      <c r="R621" s="1073"/>
      <c r="S621" s="1073"/>
      <c r="T621" s="1073"/>
      <c r="U621" s="1073"/>
      <c r="V621" s="1073"/>
      <c r="W621" s="1073"/>
      <c r="X621" s="1073"/>
      <c r="Y621" s="1073"/>
      <c r="Z621" s="1073"/>
    </row>
    <row r="622" spans="1:26" ht="12.75" customHeight="1">
      <c r="A622" s="1073"/>
      <c r="B622" s="1073"/>
      <c r="C622" s="1073"/>
      <c r="D622" s="1073"/>
      <c r="E622" s="1073"/>
      <c r="F622" s="1073"/>
      <c r="G622" s="1073"/>
      <c r="H622" s="1073"/>
      <c r="I622" s="1073"/>
      <c r="J622" s="1073"/>
      <c r="K622" s="1073"/>
      <c r="L622" s="1073"/>
      <c r="M622" s="1073"/>
      <c r="N622" s="1073"/>
      <c r="O622" s="1073"/>
      <c r="P622" s="1073"/>
      <c r="Q622" s="1073"/>
      <c r="R622" s="1073"/>
      <c r="S622" s="1073"/>
      <c r="T622" s="1073"/>
      <c r="U622" s="1073"/>
      <c r="V622" s="1073"/>
      <c r="W622" s="1073"/>
      <c r="X622" s="1073"/>
      <c r="Y622" s="1073"/>
      <c r="Z622" s="1073"/>
    </row>
    <row r="623" spans="1:26" ht="12.75" customHeight="1">
      <c r="A623" s="1073"/>
      <c r="B623" s="1073"/>
      <c r="C623" s="1073"/>
      <c r="D623" s="1073"/>
      <c r="E623" s="1073"/>
      <c r="F623" s="1073"/>
      <c r="G623" s="1073"/>
      <c r="H623" s="1073"/>
      <c r="I623" s="1073"/>
      <c r="J623" s="1073"/>
      <c r="K623" s="1073"/>
      <c r="L623" s="1073"/>
      <c r="M623" s="1073"/>
      <c r="N623" s="1073"/>
      <c r="O623" s="1073"/>
      <c r="P623" s="1073"/>
      <c r="Q623" s="1073"/>
      <c r="R623" s="1073"/>
      <c r="S623" s="1073"/>
      <c r="T623" s="1073"/>
      <c r="U623" s="1073"/>
      <c r="V623" s="1073"/>
      <c r="W623" s="1073"/>
      <c r="X623" s="1073"/>
      <c r="Y623" s="1073"/>
      <c r="Z623" s="1073"/>
    </row>
    <row r="624" spans="1:26" ht="12.75" customHeight="1">
      <c r="A624" s="1073"/>
      <c r="B624" s="1073"/>
      <c r="C624" s="1073"/>
      <c r="D624" s="1073"/>
      <c r="E624" s="1073"/>
      <c r="F624" s="1073"/>
      <c r="G624" s="1073"/>
      <c r="H624" s="1073"/>
      <c r="I624" s="1073"/>
      <c r="J624" s="1073"/>
      <c r="K624" s="1073"/>
      <c r="L624" s="1073"/>
      <c r="M624" s="1073"/>
      <c r="N624" s="1073"/>
      <c r="O624" s="1073"/>
      <c r="P624" s="1073"/>
      <c r="Q624" s="1073"/>
      <c r="R624" s="1073"/>
      <c r="S624" s="1073"/>
      <c r="T624" s="1073"/>
      <c r="U624" s="1073"/>
      <c r="V624" s="1073"/>
      <c r="W624" s="1073"/>
      <c r="X624" s="1073"/>
      <c r="Y624" s="1073"/>
      <c r="Z624" s="1073"/>
    </row>
    <row r="625" spans="1:26" ht="12.75" customHeight="1">
      <c r="A625" s="1073"/>
      <c r="B625" s="1073"/>
      <c r="C625" s="1073"/>
      <c r="D625" s="1073"/>
      <c r="E625" s="1073"/>
      <c r="F625" s="1073"/>
      <c r="G625" s="1073"/>
      <c r="H625" s="1073"/>
      <c r="I625" s="1073"/>
      <c r="J625" s="1073"/>
      <c r="K625" s="1073"/>
      <c r="L625" s="1073"/>
      <c r="M625" s="1073"/>
      <c r="N625" s="1073"/>
      <c r="O625" s="1073"/>
      <c r="P625" s="1073"/>
      <c r="Q625" s="1073"/>
      <c r="R625" s="1073"/>
      <c r="S625" s="1073"/>
      <c r="T625" s="1073"/>
      <c r="U625" s="1073"/>
      <c r="V625" s="1073"/>
      <c r="W625" s="1073"/>
      <c r="X625" s="1073"/>
      <c r="Y625" s="1073"/>
      <c r="Z625" s="1073"/>
    </row>
    <row r="626" spans="1:26" ht="12.75" customHeight="1">
      <c r="A626" s="1073"/>
      <c r="B626" s="1073"/>
      <c r="C626" s="1073"/>
      <c r="D626" s="1073"/>
      <c r="E626" s="1073"/>
      <c r="F626" s="1073"/>
      <c r="G626" s="1073"/>
      <c r="H626" s="1073"/>
      <c r="I626" s="1073"/>
      <c r="J626" s="1073"/>
      <c r="K626" s="1073"/>
      <c r="L626" s="1073"/>
      <c r="M626" s="1073"/>
      <c r="N626" s="1073"/>
      <c r="O626" s="1073"/>
      <c r="P626" s="1073"/>
      <c r="Q626" s="1073"/>
      <c r="R626" s="1073"/>
      <c r="S626" s="1073"/>
      <c r="T626" s="1073"/>
      <c r="U626" s="1073"/>
      <c r="V626" s="1073"/>
      <c r="W626" s="1073"/>
      <c r="X626" s="1073"/>
      <c r="Y626" s="1073"/>
      <c r="Z626" s="1073"/>
    </row>
    <row r="627" spans="1:26" ht="12.75" customHeight="1">
      <c r="A627" s="1073"/>
      <c r="B627" s="1073"/>
      <c r="C627" s="1073"/>
      <c r="D627" s="1073"/>
      <c r="E627" s="1073"/>
      <c r="F627" s="1073"/>
      <c r="G627" s="1073"/>
      <c r="H627" s="1073"/>
      <c r="I627" s="1073"/>
      <c r="J627" s="1073"/>
      <c r="K627" s="1073"/>
      <c r="L627" s="1073"/>
      <c r="M627" s="1073"/>
      <c r="N627" s="1073"/>
      <c r="O627" s="1073"/>
      <c r="P627" s="1073"/>
      <c r="Q627" s="1073"/>
      <c r="R627" s="1073"/>
      <c r="S627" s="1073"/>
      <c r="T627" s="1073"/>
      <c r="U627" s="1073"/>
      <c r="V627" s="1073"/>
      <c r="W627" s="1073"/>
      <c r="X627" s="1073"/>
      <c r="Y627" s="1073"/>
      <c r="Z627" s="1073"/>
    </row>
    <row r="628" spans="1:26" ht="12.75" customHeight="1">
      <c r="A628" s="1073"/>
      <c r="B628" s="1073"/>
      <c r="C628" s="1073"/>
      <c r="D628" s="1073"/>
      <c r="E628" s="1073"/>
      <c r="F628" s="1073"/>
      <c r="G628" s="1073"/>
      <c r="H628" s="1073"/>
      <c r="I628" s="1073"/>
      <c r="J628" s="1073"/>
      <c r="K628" s="1073"/>
      <c r="L628" s="1073"/>
      <c r="M628" s="1073"/>
      <c r="N628" s="1073"/>
      <c r="O628" s="1073"/>
      <c r="P628" s="1073"/>
      <c r="Q628" s="1073"/>
      <c r="R628" s="1073"/>
      <c r="S628" s="1073"/>
      <c r="T628" s="1073"/>
      <c r="U628" s="1073"/>
      <c r="V628" s="1073"/>
      <c r="W628" s="1073"/>
      <c r="X628" s="1073"/>
      <c r="Y628" s="1073"/>
      <c r="Z628" s="1073"/>
    </row>
    <row r="629" spans="1:26" ht="12.75" customHeight="1">
      <c r="A629" s="1073"/>
      <c r="B629" s="1073"/>
      <c r="C629" s="1073"/>
      <c r="D629" s="1073"/>
      <c r="E629" s="1073"/>
      <c r="F629" s="1073"/>
      <c r="G629" s="1073"/>
      <c r="H629" s="1073"/>
      <c r="I629" s="1073"/>
      <c r="J629" s="1073"/>
      <c r="K629" s="1073"/>
      <c r="L629" s="1073"/>
      <c r="M629" s="1073"/>
      <c r="N629" s="1073"/>
      <c r="O629" s="1073"/>
      <c r="P629" s="1073"/>
      <c r="Q629" s="1073"/>
      <c r="R629" s="1073"/>
      <c r="S629" s="1073"/>
      <c r="T629" s="1073"/>
      <c r="U629" s="1073"/>
      <c r="V629" s="1073"/>
      <c r="W629" s="1073"/>
      <c r="X629" s="1073"/>
      <c r="Y629" s="1073"/>
      <c r="Z629" s="1073"/>
    </row>
    <row r="630" spans="1:26" ht="12.75" customHeight="1">
      <c r="A630" s="1073"/>
      <c r="B630" s="1073"/>
      <c r="C630" s="1073"/>
      <c r="D630" s="1073"/>
      <c r="E630" s="1073"/>
      <c r="F630" s="1073"/>
      <c r="G630" s="1073"/>
      <c r="H630" s="1073"/>
      <c r="I630" s="1073"/>
      <c r="J630" s="1073"/>
      <c r="K630" s="1073"/>
      <c r="L630" s="1073"/>
      <c r="M630" s="1073"/>
      <c r="N630" s="1073"/>
      <c r="O630" s="1073"/>
      <c r="P630" s="1073"/>
      <c r="Q630" s="1073"/>
      <c r="R630" s="1073"/>
      <c r="S630" s="1073"/>
      <c r="T630" s="1073"/>
      <c r="U630" s="1073"/>
      <c r="V630" s="1073"/>
      <c r="W630" s="1073"/>
      <c r="X630" s="1073"/>
      <c r="Y630" s="1073"/>
      <c r="Z630" s="1073"/>
    </row>
    <row r="631" spans="1:26" ht="12.75" customHeight="1">
      <c r="A631" s="1073"/>
      <c r="B631" s="1073"/>
      <c r="C631" s="1073"/>
      <c r="D631" s="1073"/>
      <c r="E631" s="1073"/>
      <c r="F631" s="1073"/>
      <c r="G631" s="1073"/>
      <c r="H631" s="1073"/>
      <c r="I631" s="1073"/>
      <c r="J631" s="1073"/>
      <c r="K631" s="1073"/>
      <c r="L631" s="1073"/>
      <c r="M631" s="1073"/>
      <c r="N631" s="1073"/>
      <c r="O631" s="1073"/>
      <c r="P631" s="1073"/>
      <c r="Q631" s="1073"/>
      <c r="R631" s="1073"/>
      <c r="S631" s="1073"/>
      <c r="T631" s="1073"/>
      <c r="U631" s="1073"/>
      <c r="V631" s="1073"/>
      <c r="W631" s="1073"/>
      <c r="X631" s="1073"/>
      <c r="Y631" s="1073"/>
      <c r="Z631" s="1073"/>
    </row>
    <row r="632" spans="1:26" ht="12.75" customHeight="1">
      <c r="A632" s="1073"/>
      <c r="B632" s="1073"/>
      <c r="C632" s="1073"/>
      <c r="D632" s="1073"/>
      <c r="E632" s="1073"/>
      <c r="F632" s="1073"/>
      <c r="G632" s="1073"/>
      <c r="H632" s="1073"/>
      <c r="I632" s="1073"/>
      <c r="J632" s="1073"/>
      <c r="K632" s="1073"/>
      <c r="L632" s="1073"/>
      <c r="M632" s="1073"/>
      <c r="N632" s="1073"/>
      <c r="O632" s="1073"/>
      <c r="P632" s="1073"/>
      <c r="Q632" s="1073"/>
      <c r="R632" s="1073"/>
      <c r="S632" s="1073"/>
      <c r="T632" s="1073"/>
      <c r="U632" s="1073"/>
      <c r="V632" s="1073"/>
      <c r="W632" s="1073"/>
      <c r="X632" s="1073"/>
      <c r="Y632" s="1073"/>
      <c r="Z632" s="1073"/>
    </row>
    <row r="633" spans="1:26" ht="12.75" customHeight="1">
      <c r="A633" s="1073"/>
      <c r="B633" s="1073"/>
      <c r="C633" s="1073"/>
      <c r="D633" s="1073"/>
      <c r="E633" s="1073"/>
      <c r="F633" s="1073"/>
      <c r="G633" s="1073"/>
      <c r="H633" s="1073"/>
      <c r="I633" s="1073"/>
      <c r="J633" s="1073"/>
      <c r="K633" s="1073"/>
      <c r="L633" s="1073"/>
      <c r="M633" s="1073"/>
      <c r="N633" s="1073"/>
      <c r="O633" s="1073"/>
      <c r="P633" s="1073"/>
      <c r="Q633" s="1073"/>
      <c r="R633" s="1073"/>
      <c r="S633" s="1073"/>
      <c r="T633" s="1073"/>
      <c r="U633" s="1073"/>
      <c r="V633" s="1073"/>
      <c r="W633" s="1073"/>
      <c r="X633" s="1073"/>
      <c r="Y633" s="1073"/>
      <c r="Z633" s="1073"/>
    </row>
    <row r="634" spans="1:26" ht="12.75" customHeight="1">
      <c r="A634" s="1073"/>
      <c r="B634" s="1073"/>
      <c r="C634" s="1073"/>
      <c r="D634" s="1073"/>
      <c r="E634" s="1073"/>
      <c r="F634" s="1073"/>
      <c r="G634" s="1073"/>
      <c r="H634" s="1073"/>
      <c r="I634" s="1073"/>
      <c r="J634" s="1073"/>
      <c r="K634" s="1073"/>
      <c r="L634" s="1073"/>
      <c r="M634" s="1073"/>
      <c r="N634" s="1073"/>
      <c r="O634" s="1073"/>
      <c r="P634" s="1073"/>
      <c r="Q634" s="1073"/>
      <c r="R634" s="1073"/>
      <c r="S634" s="1073"/>
      <c r="T634" s="1073"/>
      <c r="U634" s="1073"/>
      <c r="V634" s="1073"/>
      <c r="W634" s="1073"/>
      <c r="X634" s="1073"/>
      <c r="Y634" s="1073"/>
      <c r="Z634" s="1073"/>
    </row>
    <row r="635" spans="1:26" ht="12.75" customHeight="1">
      <c r="A635" s="1073"/>
      <c r="B635" s="1073"/>
      <c r="C635" s="1073"/>
      <c r="D635" s="1073"/>
      <c r="E635" s="1073"/>
      <c r="F635" s="1073"/>
      <c r="G635" s="1073"/>
      <c r="H635" s="1073"/>
      <c r="I635" s="1073"/>
      <c r="J635" s="1073"/>
      <c r="K635" s="1073"/>
      <c r="L635" s="1073"/>
      <c r="M635" s="1073"/>
      <c r="N635" s="1073"/>
      <c r="O635" s="1073"/>
      <c r="P635" s="1073"/>
      <c r="Q635" s="1073"/>
      <c r="R635" s="1073"/>
      <c r="S635" s="1073"/>
      <c r="T635" s="1073"/>
      <c r="U635" s="1073"/>
      <c r="V635" s="1073"/>
      <c r="W635" s="1073"/>
      <c r="X635" s="1073"/>
      <c r="Y635" s="1073"/>
      <c r="Z635" s="1073"/>
    </row>
    <row r="636" spans="1:26" ht="12.75" customHeight="1">
      <c r="A636" s="1073"/>
      <c r="B636" s="1073"/>
      <c r="C636" s="1073"/>
      <c r="D636" s="1073"/>
      <c r="E636" s="1073"/>
      <c r="F636" s="1073"/>
      <c r="G636" s="1073"/>
      <c r="H636" s="1073"/>
      <c r="I636" s="1073"/>
      <c r="J636" s="1073"/>
      <c r="K636" s="1073"/>
      <c r="L636" s="1073"/>
      <c r="M636" s="1073"/>
      <c r="N636" s="1073"/>
      <c r="O636" s="1073"/>
      <c r="P636" s="1073"/>
      <c r="Q636" s="1073"/>
      <c r="R636" s="1073"/>
      <c r="S636" s="1073"/>
      <c r="T636" s="1073"/>
      <c r="U636" s="1073"/>
      <c r="V636" s="1073"/>
      <c r="W636" s="1073"/>
      <c r="X636" s="1073"/>
      <c r="Y636" s="1073"/>
      <c r="Z636" s="1073"/>
    </row>
    <row r="637" spans="1:26" ht="12.75" customHeight="1">
      <c r="A637" s="1073"/>
      <c r="B637" s="1073"/>
      <c r="C637" s="1073"/>
      <c r="D637" s="1073"/>
      <c r="E637" s="1073"/>
      <c r="F637" s="1073"/>
      <c r="G637" s="1073"/>
      <c r="H637" s="1073"/>
      <c r="I637" s="1073"/>
      <c r="J637" s="1073"/>
      <c r="K637" s="1073"/>
      <c r="L637" s="1073"/>
      <c r="M637" s="1073"/>
      <c r="N637" s="1073"/>
      <c r="O637" s="1073"/>
      <c r="P637" s="1073"/>
      <c r="Q637" s="1073"/>
      <c r="R637" s="1073"/>
      <c r="S637" s="1073"/>
      <c r="T637" s="1073"/>
      <c r="U637" s="1073"/>
      <c r="V637" s="1073"/>
      <c r="W637" s="1073"/>
      <c r="X637" s="1073"/>
      <c r="Y637" s="1073"/>
      <c r="Z637" s="1073"/>
    </row>
    <row r="638" spans="1:26" ht="12.75" customHeight="1">
      <c r="A638" s="1073"/>
      <c r="B638" s="1073"/>
      <c r="C638" s="1073"/>
      <c r="D638" s="1073"/>
      <c r="E638" s="1073"/>
      <c r="F638" s="1073"/>
      <c r="G638" s="1073"/>
      <c r="H638" s="1073"/>
      <c r="I638" s="1073"/>
      <c r="J638" s="1073"/>
      <c r="K638" s="1073"/>
      <c r="L638" s="1073"/>
      <c r="M638" s="1073"/>
      <c r="N638" s="1073"/>
      <c r="O638" s="1073"/>
      <c r="P638" s="1073"/>
      <c r="Q638" s="1073"/>
      <c r="R638" s="1073"/>
      <c r="S638" s="1073"/>
      <c r="T638" s="1073"/>
      <c r="U638" s="1073"/>
      <c r="V638" s="1073"/>
      <c r="W638" s="1073"/>
      <c r="X638" s="1073"/>
      <c r="Y638" s="1073"/>
      <c r="Z638" s="1073"/>
    </row>
    <row r="639" spans="1:26" ht="12.75" customHeight="1">
      <c r="A639" s="1073"/>
      <c r="B639" s="1073"/>
      <c r="C639" s="1073"/>
      <c r="D639" s="1073"/>
      <c r="E639" s="1073"/>
      <c r="F639" s="1073"/>
      <c r="G639" s="1073"/>
      <c r="H639" s="1073"/>
      <c r="I639" s="1073"/>
      <c r="J639" s="1073"/>
      <c r="K639" s="1073"/>
      <c r="L639" s="1073"/>
      <c r="M639" s="1073"/>
      <c r="N639" s="1073"/>
      <c r="O639" s="1073"/>
      <c r="P639" s="1073"/>
      <c r="Q639" s="1073"/>
      <c r="R639" s="1073"/>
      <c r="S639" s="1073"/>
      <c r="T639" s="1073"/>
      <c r="U639" s="1073"/>
      <c r="V639" s="1073"/>
      <c r="W639" s="1073"/>
      <c r="X639" s="1073"/>
      <c r="Y639" s="1073"/>
      <c r="Z639" s="1073"/>
    </row>
    <row r="640" spans="1:26" ht="12.75" customHeight="1">
      <c r="A640" s="1073"/>
      <c r="B640" s="1073"/>
      <c r="C640" s="1073"/>
      <c r="D640" s="1073"/>
      <c r="E640" s="1073"/>
      <c r="F640" s="1073"/>
      <c r="G640" s="1073"/>
      <c r="H640" s="1073"/>
      <c r="I640" s="1073"/>
      <c r="J640" s="1073"/>
      <c r="K640" s="1073"/>
      <c r="L640" s="1073"/>
      <c r="M640" s="1073"/>
      <c r="N640" s="1073"/>
      <c r="O640" s="1073"/>
      <c r="P640" s="1073"/>
      <c r="Q640" s="1073"/>
      <c r="R640" s="1073"/>
      <c r="S640" s="1073"/>
      <c r="T640" s="1073"/>
      <c r="U640" s="1073"/>
      <c r="V640" s="1073"/>
      <c r="W640" s="1073"/>
      <c r="X640" s="1073"/>
      <c r="Y640" s="1073"/>
      <c r="Z640" s="1073"/>
    </row>
    <row r="641" spans="1:26" ht="12.75" customHeight="1">
      <c r="A641" s="1073"/>
      <c r="B641" s="1073"/>
      <c r="C641" s="1073"/>
      <c r="D641" s="1073"/>
      <c r="E641" s="1073"/>
      <c r="F641" s="1073"/>
      <c r="G641" s="1073"/>
      <c r="H641" s="1073"/>
      <c r="I641" s="1073"/>
      <c r="J641" s="1073"/>
      <c r="K641" s="1073"/>
      <c r="L641" s="1073"/>
      <c r="M641" s="1073"/>
      <c r="N641" s="1073"/>
      <c r="O641" s="1073"/>
      <c r="P641" s="1073"/>
      <c r="Q641" s="1073"/>
      <c r="R641" s="1073"/>
      <c r="S641" s="1073"/>
      <c r="T641" s="1073"/>
      <c r="U641" s="1073"/>
      <c r="V641" s="1073"/>
      <c r="W641" s="1073"/>
      <c r="X641" s="1073"/>
      <c r="Y641" s="1073"/>
      <c r="Z641" s="1073"/>
    </row>
    <row r="642" spans="1:26" ht="12.75" customHeight="1">
      <c r="A642" s="1073"/>
      <c r="B642" s="1073"/>
      <c r="C642" s="1073"/>
      <c r="D642" s="1073"/>
      <c r="E642" s="1073"/>
      <c r="F642" s="1073"/>
      <c r="G642" s="1073"/>
      <c r="H642" s="1073"/>
      <c r="I642" s="1073"/>
      <c r="J642" s="1073"/>
      <c r="K642" s="1073"/>
      <c r="L642" s="1073"/>
      <c r="M642" s="1073"/>
      <c r="N642" s="1073"/>
      <c r="O642" s="1073"/>
      <c r="P642" s="1073"/>
      <c r="Q642" s="1073"/>
      <c r="R642" s="1073"/>
      <c r="S642" s="1073"/>
      <c r="T642" s="1073"/>
      <c r="U642" s="1073"/>
      <c r="V642" s="1073"/>
      <c r="W642" s="1073"/>
      <c r="X642" s="1073"/>
      <c r="Y642" s="1073"/>
      <c r="Z642" s="1073"/>
    </row>
    <row r="643" spans="1:26" ht="12.75" customHeight="1">
      <c r="A643" s="1073"/>
      <c r="B643" s="1073"/>
      <c r="C643" s="1073"/>
      <c r="D643" s="1073"/>
      <c r="E643" s="1073"/>
      <c r="F643" s="1073"/>
      <c r="G643" s="1073"/>
      <c r="H643" s="1073"/>
      <c r="I643" s="1073"/>
      <c r="J643" s="1073"/>
      <c r="K643" s="1073"/>
      <c r="L643" s="1073"/>
      <c r="M643" s="1073"/>
      <c r="N643" s="1073"/>
      <c r="O643" s="1073"/>
      <c r="P643" s="1073"/>
      <c r="Q643" s="1073"/>
      <c r="R643" s="1073"/>
      <c r="S643" s="1073"/>
      <c r="T643" s="1073"/>
      <c r="U643" s="1073"/>
      <c r="V643" s="1073"/>
      <c r="W643" s="1073"/>
      <c r="X643" s="1073"/>
      <c r="Y643" s="1073"/>
      <c r="Z643" s="1073"/>
    </row>
    <row r="644" spans="1:26" ht="12.75" customHeight="1">
      <c r="A644" s="1073"/>
      <c r="B644" s="1073"/>
      <c r="C644" s="1073"/>
      <c r="D644" s="1073"/>
      <c r="E644" s="1073"/>
      <c r="F644" s="1073"/>
      <c r="G644" s="1073"/>
      <c r="H644" s="1073"/>
      <c r="I644" s="1073"/>
      <c r="J644" s="1073"/>
      <c r="K644" s="1073"/>
      <c r="L644" s="1073"/>
      <c r="M644" s="1073"/>
      <c r="N644" s="1073"/>
      <c r="O644" s="1073"/>
      <c r="P644" s="1073"/>
      <c r="Q644" s="1073"/>
      <c r="R644" s="1073"/>
      <c r="S644" s="1073"/>
      <c r="T644" s="1073"/>
      <c r="U644" s="1073"/>
      <c r="V644" s="1073"/>
      <c r="W644" s="1073"/>
      <c r="X644" s="1073"/>
      <c r="Y644" s="1073"/>
      <c r="Z644" s="1073"/>
    </row>
    <row r="645" spans="1:26" ht="12.75" customHeight="1">
      <c r="A645" s="1073"/>
      <c r="B645" s="1073"/>
      <c r="C645" s="1073"/>
      <c r="D645" s="1073"/>
      <c r="E645" s="1073"/>
      <c r="F645" s="1073"/>
      <c r="G645" s="1073"/>
      <c r="H645" s="1073"/>
      <c r="I645" s="1073"/>
      <c r="J645" s="1073"/>
      <c r="K645" s="1073"/>
      <c r="L645" s="1073"/>
      <c r="M645" s="1073"/>
      <c r="N645" s="1073"/>
      <c r="O645" s="1073"/>
      <c r="P645" s="1073"/>
      <c r="Q645" s="1073"/>
      <c r="R645" s="1073"/>
      <c r="S645" s="1073"/>
      <c r="T645" s="1073"/>
      <c r="U645" s="1073"/>
      <c r="V645" s="1073"/>
      <c r="W645" s="1073"/>
      <c r="X645" s="1073"/>
      <c r="Y645" s="1073"/>
      <c r="Z645" s="1073"/>
    </row>
    <row r="646" spans="1:26" ht="12.75" customHeight="1">
      <c r="A646" s="1073"/>
      <c r="B646" s="1073"/>
      <c r="C646" s="1073"/>
      <c r="D646" s="1073"/>
      <c r="E646" s="1073"/>
      <c r="F646" s="1073"/>
      <c r="G646" s="1073"/>
      <c r="H646" s="1073"/>
      <c r="I646" s="1073"/>
      <c r="J646" s="1073"/>
      <c r="K646" s="1073"/>
      <c r="L646" s="1073"/>
      <c r="M646" s="1073"/>
      <c r="N646" s="1073"/>
      <c r="O646" s="1073"/>
      <c r="P646" s="1073"/>
      <c r="Q646" s="1073"/>
      <c r="R646" s="1073"/>
      <c r="S646" s="1073"/>
      <c r="T646" s="1073"/>
      <c r="U646" s="1073"/>
      <c r="V646" s="1073"/>
      <c r="W646" s="1073"/>
      <c r="X646" s="1073"/>
      <c r="Y646" s="1073"/>
      <c r="Z646" s="1073"/>
    </row>
    <row r="647" spans="1:26" ht="12.75" customHeight="1">
      <c r="A647" s="1073"/>
      <c r="B647" s="1073"/>
      <c r="C647" s="1073"/>
      <c r="D647" s="1073"/>
      <c r="E647" s="1073"/>
      <c r="F647" s="1073"/>
      <c r="G647" s="1073"/>
      <c r="H647" s="1073"/>
      <c r="I647" s="1073"/>
      <c r="J647" s="1073"/>
      <c r="K647" s="1073"/>
      <c r="L647" s="1073"/>
      <c r="M647" s="1073"/>
      <c r="N647" s="1073"/>
      <c r="O647" s="1073"/>
      <c r="P647" s="1073"/>
      <c r="Q647" s="1073"/>
      <c r="R647" s="1073"/>
      <c r="S647" s="1073"/>
      <c r="T647" s="1073"/>
      <c r="U647" s="1073"/>
      <c r="V647" s="1073"/>
      <c r="W647" s="1073"/>
      <c r="X647" s="1073"/>
      <c r="Y647" s="1073"/>
      <c r="Z647" s="1073"/>
    </row>
    <row r="648" spans="1:26" ht="12.75" customHeight="1">
      <c r="A648" s="1073"/>
      <c r="B648" s="1073"/>
      <c r="C648" s="1073"/>
      <c r="D648" s="1073"/>
      <c r="E648" s="1073"/>
      <c r="F648" s="1073"/>
      <c r="G648" s="1073"/>
      <c r="H648" s="1073"/>
      <c r="I648" s="1073"/>
      <c r="J648" s="1073"/>
      <c r="K648" s="1073"/>
      <c r="L648" s="1073"/>
      <c r="M648" s="1073"/>
      <c r="N648" s="1073"/>
      <c r="O648" s="1073"/>
      <c r="P648" s="1073"/>
      <c r="Q648" s="1073"/>
      <c r="R648" s="1073"/>
      <c r="S648" s="1073"/>
      <c r="T648" s="1073"/>
      <c r="U648" s="1073"/>
      <c r="V648" s="1073"/>
      <c r="W648" s="1073"/>
      <c r="X648" s="1073"/>
      <c r="Y648" s="1073"/>
      <c r="Z648" s="1073"/>
    </row>
    <row r="649" spans="1:26" ht="12.75" customHeight="1">
      <c r="A649" s="1073"/>
      <c r="B649" s="1073"/>
      <c r="C649" s="1073"/>
      <c r="D649" s="1073"/>
      <c r="E649" s="1073"/>
      <c r="F649" s="1073"/>
      <c r="G649" s="1073"/>
      <c r="H649" s="1073"/>
      <c r="I649" s="1073"/>
      <c r="J649" s="1073"/>
      <c r="K649" s="1073"/>
      <c r="L649" s="1073"/>
      <c r="M649" s="1073"/>
      <c r="N649" s="1073"/>
      <c r="O649" s="1073"/>
      <c r="P649" s="1073"/>
      <c r="Q649" s="1073"/>
      <c r="R649" s="1073"/>
      <c r="S649" s="1073"/>
      <c r="T649" s="1073"/>
      <c r="U649" s="1073"/>
      <c r="V649" s="1073"/>
      <c r="W649" s="1073"/>
      <c r="X649" s="1073"/>
      <c r="Y649" s="1073"/>
      <c r="Z649" s="1073"/>
    </row>
    <row r="650" spans="1:26" ht="12.75" customHeight="1">
      <c r="A650" s="1073"/>
      <c r="B650" s="1073"/>
      <c r="C650" s="1073"/>
      <c r="D650" s="1073"/>
      <c r="E650" s="1073"/>
      <c r="F650" s="1073"/>
      <c r="G650" s="1073"/>
      <c r="H650" s="1073"/>
      <c r="I650" s="1073"/>
      <c r="J650" s="1073"/>
      <c r="K650" s="1073"/>
      <c r="L650" s="1073"/>
      <c r="M650" s="1073"/>
      <c r="N650" s="1073"/>
      <c r="O650" s="1073"/>
      <c r="P650" s="1073"/>
      <c r="Q650" s="1073"/>
      <c r="R650" s="1073"/>
      <c r="S650" s="1073"/>
      <c r="T650" s="1073"/>
      <c r="U650" s="1073"/>
      <c r="V650" s="1073"/>
      <c r="W650" s="1073"/>
      <c r="X650" s="1073"/>
      <c r="Y650" s="1073"/>
      <c r="Z650" s="1073"/>
    </row>
    <row r="651" spans="1:26" ht="12.75" customHeight="1">
      <c r="A651" s="1073"/>
      <c r="B651" s="1073"/>
      <c r="C651" s="1073"/>
      <c r="D651" s="1073"/>
      <c r="E651" s="1073"/>
      <c r="F651" s="1073"/>
      <c r="G651" s="1073"/>
      <c r="H651" s="1073"/>
      <c r="I651" s="1073"/>
      <c r="J651" s="1073"/>
      <c r="K651" s="1073"/>
      <c r="L651" s="1073"/>
      <c r="M651" s="1073"/>
      <c r="N651" s="1073"/>
      <c r="O651" s="1073"/>
      <c r="P651" s="1073"/>
      <c r="Q651" s="1073"/>
      <c r="R651" s="1073"/>
      <c r="S651" s="1073"/>
      <c r="T651" s="1073"/>
      <c r="U651" s="1073"/>
      <c r="V651" s="1073"/>
      <c r="W651" s="1073"/>
      <c r="X651" s="1073"/>
      <c r="Y651" s="1073"/>
      <c r="Z651" s="1073"/>
    </row>
    <row r="652" spans="1:26" ht="12.75" customHeight="1">
      <c r="A652" s="1073"/>
      <c r="B652" s="1073"/>
      <c r="C652" s="1073"/>
      <c r="D652" s="1073"/>
      <c r="E652" s="1073"/>
      <c r="F652" s="1073"/>
      <c r="G652" s="1073"/>
      <c r="H652" s="1073"/>
      <c r="I652" s="1073"/>
      <c r="J652" s="1073"/>
      <c r="K652" s="1073"/>
      <c r="L652" s="1073"/>
      <c r="M652" s="1073"/>
      <c r="N652" s="1073"/>
      <c r="O652" s="1073"/>
      <c r="P652" s="1073"/>
      <c r="Q652" s="1073"/>
      <c r="R652" s="1073"/>
      <c r="S652" s="1073"/>
      <c r="T652" s="1073"/>
      <c r="U652" s="1073"/>
      <c r="V652" s="1073"/>
      <c r="W652" s="1073"/>
      <c r="X652" s="1073"/>
      <c r="Y652" s="1073"/>
      <c r="Z652" s="1073"/>
    </row>
    <row r="653" spans="1:26" ht="12.75" customHeight="1">
      <c r="A653" s="1073"/>
      <c r="B653" s="1073"/>
      <c r="C653" s="1073"/>
      <c r="D653" s="1073"/>
      <c r="E653" s="1073"/>
      <c r="F653" s="1073"/>
      <c r="G653" s="1073"/>
      <c r="H653" s="1073"/>
      <c r="I653" s="1073"/>
      <c r="J653" s="1073"/>
      <c r="K653" s="1073"/>
      <c r="L653" s="1073"/>
      <c r="M653" s="1073"/>
      <c r="N653" s="1073"/>
      <c r="O653" s="1073"/>
      <c r="P653" s="1073"/>
      <c r="Q653" s="1073"/>
      <c r="R653" s="1073"/>
      <c r="S653" s="1073"/>
      <c r="T653" s="1073"/>
      <c r="U653" s="1073"/>
      <c r="V653" s="1073"/>
      <c r="W653" s="1073"/>
      <c r="X653" s="1073"/>
      <c r="Y653" s="1073"/>
      <c r="Z653" s="1073"/>
    </row>
    <row r="654" spans="1:26" ht="12.75" customHeight="1">
      <c r="A654" s="1073"/>
      <c r="B654" s="1073"/>
      <c r="C654" s="1073"/>
      <c r="D654" s="1073"/>
      <c r="E654" s="1073"/>
      <c r="F654" s="1073"/>
      <c r="G654" s="1073"/>
      <c r="H654" s="1073"/>
      <c r="I654" s="1073"/>
      <c r="J654" s="1073"/>
      <c r="K654" s="1073"/>
      <c r="L654" s="1073"/>
      <c r="M654" s="1073"/>
      <c r="N654" s="1073"/>
      <c r="O654" s="1073"/>
      <c r="P654" s="1073"/>
      <c r="Q654" s="1073"/>
      <c r="R654" s="1073"/>
      <c r="S654" s="1073"/>
      <c r="T654" s="1073"/>
      <c r="U654" s="1073"/>
      <c r="V654" s="1073"/>
      <c r="W654" s="1073"/>
      <c r="X654" s="1073"/>
      <c r="Y654" s="1073"/>
      <c r="Z654" s="1073"/>
    </row>
    <row r="655" spans="1:26" ht="12.75" customHeight="1">
      <c r="A655" s="1073"/>
      <c r="B655" s="1073"/>
      <c r="C655" s="1073"/>
      <c r="D655" s="1073"/>
      <c r="E655" s="1073"/>
      <c r="F655" s="1073"/>
      <c r="G655" s="1073"/>
      <c r="H655" s="1073"/>
      <c r="I655" s="1073"/>
      <c r="J655" s="1073"/>
      <c r="K655" s="1073"/>
      <c r="L655" s="1073"/>
      <c r="M655" s="1073"/>
      <c r="N655" s="1073"/>
      <c r="O655" s="1073"/>
      <c r="P655" s="1073"/>
      <c r="Q655" s="1073"/>
      <c r="R655" s="1073"/>
      <c r="S655" s="1073"/>
      <c r="T655" s="1073"/>
      <c r="U655" s="1073"/>
      <c r="V655" s="1073"/>
      <c r="W655" s="1073"/>
      <c r="X655" s="1073"/>
      <c r="Y655" s="1073"/>
      <c r="Z655" s="1073"/>
    </row>
    <row r="656" spans="1:26" ht="12.75" customHeight="1">
      <c r="A656" s="1073"/>
      <c r="B656" s="1073"/>
      <c r="C656" s="1073"/>
      <c r="D656" s="1073"/>
      <c r="E656" s="1073"/>
      <c r="F656" s="1073"/>
      <c r="G656" s="1073"/>
      <c r="H656" s="1073"/>
      <c r="I656" s="1073"/>
      <c r="J656" s="1073"/>
      <c r="K656" s="1073"/>
      <c r="L656" s="1073"/>
      <c r="M656" s="1073"/>
      <c r="N656" s="1073"/>
      <c r="O656" s="1073"/>
      <c r="P656" s="1073"/>
      <c r="Q656" s="1073"/>
      <c r="R656" s="1073"/>
      <c r="S656" s="1073"/>
      <c r="T656" s="1073"/>
      <c r="U656" s="1073"/>
      <c r="V656" s="1073"/>
      <c r="W656" s="1073"/>
      <c r="X656" s="1073"/>
      <c r="Y656" s="1073"/>
      <c r="Z656" s="1073"/>
    </row>
    <row r="657" spans="1:26" ht="12.75" customHeight="1">
      <c r="A657" s="1073"/>
      <c r="B657" s="1073"/>
      <c r="C657" s="1073"/>
      <c r="D657" s="1073"/>
      <c r="E657" s="1073"/>
      <c r="F657" s="1073"/>
      <c r="G657" s="1073"/>
      <c r="H657" s="1073"/>
      <c r="I657" s="1073"/>
      <c r="J657" s="1073"/>
      <c r="K657" s="1073"/>
      <c r="L657" s="1073"/>
      <c r="M657" s="1073"/>
      <c r="N657" s="1073"/>
      <c r="O657" s="1073"/>
      <c r="P657" s="1073"/>
      <c r="Q657" s="1073"/>
      <c r="R657" s="1073"/>
      <c r="S657" s="1073"/>
      <c r="T657" s="1073"/>
      <c r="U657" s="1073"/>
      <c r="V657" s="1073"/>
      <c r="W657" s="1073"/>
      <c r="X657" s="1073"/>
      <c r="Y657" s="1073"/>
      <c r="Z657" s="1073"/>
    </row>
    <row r="658" spans="1:26" ht="12.75" customHeight="1">
      <c r="A658" s="1073"/>
      <c r="B658" s="1073"/>
      <c r="C658" s="1073"/>
      <c r="D658" s="1073"/>
      <c r="E658" s="1073"/>
      <c r="F658" s="1073"/>
      <c r="G658" s="1073"/>
      <c r="H658" s="1073"/>
      <c r="I658" s="1073"/>
      <c r="J658" s="1073"/>
      <c r="K658" s="1073"/>
      <c r="L658" s="1073"/>
      <c r="M658" s="1073"/>
      <c r="N658" s="1073"/>
      <c r="O658" s="1073"/>
      <c r="P658" s="1073"/>
      <c r="Q658" s="1073"/>
      <c r="R658" s="1073"/>
      <c r="S658" s="1073"/>
      <c r="T658" s="1073"/>
      <c r="U658" s="1073"/>
      <c r="V658" s="1073"/>
      <c r="W658" s="1073"/>
      <c r="X658" s="1073"/>
      <c r="Y658" s="1073"/>
      <c r="Z658" s="1073"/>
    </row>
    <row r="659" spans="1:26" ht="12.75" customHeight="1">
      <c r="A659" s="1073"/>
      <c r="B659" s="1073"/>
      <c r="C659" s="1073"/>
      <c r="D659" s="1073"/>
      <c r="E659" s="1073"/>
      <c r="F659" s="1073"/>
      <c r="G659" s="1073"/>
      <c r="H659" s="1073"/>
      <c r="I659" s="1073"/>
      <c r="J659" s="1073"/>
      <c r="K659" s="1073"/>
      <c r="L659" s="1073"/>
      <c r="M659" s="1073"/>
      <c r="N659" s="1073"/>
      <c r="O659" s="1073"/>
      <c r="P659" s="1073"/>
      <c r="Q659" s="1073"/>
      <c r="R659" s="1073"/>
      <c r="S659" s="1073"/>
      <c r="T659" s="1073"/>
      <c r="U659" s="1073"/>
      <c r="V659" s="1073"/>
      <c r="W659" s="1073"/>
      <c r="X659" s="1073"/>
      <c r="Y659" s="1073"/>
      <c r="Z659" s="1073"/>
    </row>
    <row r="660" spans="1:26" ht="12.75" customHeight="1">
      <c r="A660" s="1073"/>
      <c r="B660" s="1073"/>
      <c r="C660" s="1073"/>
      <c r="D660" s="1073"/>
      <c r="E660" s="1073"/>
      <c r="F660" s="1073"/>
      <c r="G660" s="1073"/>
      <c r="H660" s="1073"/>
      <c r="I660" s="1073"/>
      <c r="J660" s="1073"/>
      <c r="K660" s="1073"/>
      <c r="L660" s="1073"/>
      <c r="M660" s="1073"/>
      <c r="N660" s="1073"/>
      <c r="O660" s="1073"/>
      <c r="P660" s="1073"/>
      <c r="Q660" s="1073"/>
      <c r="R660" s="1073"/>
      <c r="S660" s="1073"/>
      <c r="T660" s="1073"/>
      <c r="U660" s="1073"/>
      <c r="V660" s="1073"/>
      <c r="W660" s="1073"/>
      <c r="X660" s="1073"/>
      <c r="Y660" s="1073"/>
      <c r="Z660" s="1073"/>
    </row>
    <row r="661" spans="1:26" ht="12.75" customHeight="1">
      <c r="A661" s="1073"/>
      <c r="B661" s="1073"/>
      <c r="C661" s="1073"/>
      <c r="D661" s="1073"/>
      <c r="E661" s="1073"/>
      <c r="F661" s="1073"/>
      <c r="G661" s="1073"/>
      <c r="H661" s="1073"/>
      <c r="I661" s="1073"/>
      <c r="J661" s="1073"/>
      <c r="K661" s="1073"/>
      <c r="L661" s="1073"/>
      <c r="M661" s="1073"/>
      <c r="N661" s="1073"/>
      <c r="O661" s="1073"/>
      <c r="P661" s="1073"/>
      <c r="Q661" s="1073"/>
      <c r="R661" s="1073"/>
      <c r="S661" s="1073"/>
      <c r="T661" s="1073"/>
      <c r="U661" s="1073"/>
      <c r="V661" s="1073"/>
      <c r="W661" s="1073"/>
      <c r="X661" s="1073"/>
      <c r="Y661" s="1073"/>
      <c r="Z661" s="1073"/>
    </row>
    <row r="662" spans="1:26" ht="12.75" customHeight="1">
      <c r="A662" s="1073"/>
      <c r="B662" s="1073"/>
      <c r="C662" s="1073"/>
      <c r="D662" s="1073"/>
      <c r="E662" s="1073"/>
      <c r="F662" s="1073"/>
      <c r="G662" s="1073"/>
      <c r="H662" s="1073"/>
      <c r="I662" s="1073"/>
      <c r="J662" s="1073"/>
      <c r="K662" s="1073"/>
      <c r="L662" s="1073"/>
      <c r="M662" s="1073"/>
      <c r="N662" s="1073"/>
      <c r="O662" s="1073"/>
      <c r="P662" s="1073"/>
      <c r="Q662" s="1073"/>
      <c r="R662" s="1073"/>
      <c r="S662" s="1073"/>
      <c r="T662" s="1073"/>
      <c r="U662" s="1073"/>
      <c r="V662" s="1073"/>
      <c r="W662" s="1073"/>
      <c r="X662" s="1073"/>
      <c r="Y662" s="1073"/>
      <c r="Z662" s="1073"/>
    </row>
    <row r="663" spans="1:26" ht="12.75" customHeight="1">
      <c r="A663" s="1073"/>
      <c r="B663" s="1073"/>
      <c r="C663" s="1073"/>
      <c r="D663" s="1073"/>
      <c r="E663" s="1073"/>
      <c r="F663" s="1073"/>
      <c r="G663" s="1073"/>
      <c r="H663" s="1073"/>
      <c r="I663" s="1073"/>
      <c r="J663" s="1073"/>
      <c r="K663" s="1073"/>
      <c r="L663" s="1073"/>
      <c r="M663" s="1073"/>
      <c r="N663" s="1073"/>
      <c r="O663" s="1073"/>
      <c r="P663" s="1073"/>
      <c r="Q663" s="1073"/>
      <c r="R663" s="1073"/>
      <c r="S663" s="1073"/>
      <c r="T663" s="1073"/>
      <c r="U663" s="1073"/>
      <c r="V663" s="1073"/>
      <c r="W663" s="1073"/>
      <c r="X663" s="1073"/>
      <c r="Y663" s="1073"/>
      <c r="Z663" s="1073"/>
    </row>
    <row r="664" spans="1:26" ht="12.75" customHeight="1">
      <c r="A664" s="1073"/>
      <c r="B664" s="1073"/>
      <c r="C664" s="1073"/>
      <c r="D664" s="1073"/>
      <c r="E664" s="1073"/>
      <c r="F664" s="1073"/>
      <c r="G664" s="1073"/>
      <c r="H664" s="1073"/>
      <c r="I664" s="1073"/>
      <c r="J664" s="1073"/>
      <c r="K664" s="1073"/>
      <c r="L664" s="1073"/>
      <c r="M664" s="1073"/>
      <c r="N664" s="1073"/>
      <c r="O664" s="1073"/>
      <c r="P664" s="1073"/>
      <c r="Q664" s="1073"/>
      <c r="R664" s="1073"/>
      <c r="S664" s="1073"/>
      <c r="T664" s="1073"/>
      <c r="U664" s="1073"/>
      <c r="V664" s="1073"/>
      <c r="W664" s="1073"/>
      <c r="X664" s="1073"/>
      <c r="Y664" s="1073"/>
      <c r="Z664" s="1073"/>
    </row>
    <row r="665" spans="1:26" ht="12.75" customHeight="1">
      <c r="A665" s="1073"/>
      <c r="B665" s="1073"/>
      <c r="C665" s="1073"/>
      <c r="D665" s="1073"/>
      <c r="E665" s="1073"/>
      <c r="F665" s="1073"/>
      <c r="G665" s="1073"/>
      <c r="H665" s="1073"/>
      <c r="I665" s="1073"/>
      <c r="J665" s="1073"/>
      <c r="K665" s="1073"/>
      <c r="L665" s="1073"/>
      <c r="M665" s="1073"/>
      <c r="N665" s="1073"/>
      <c r="O665" s="1073"/>
      <c r="P665" s="1073"/>
      <c r="Q665" s="1073"/>
      <c r="R665" s="1073"/>
      <c r="S665" s="1073"/>
      <c r="T665" s="1073"/>
      <c r="U665" s="1073"/>
      <c r="V665" s="1073"/>
      <c r="W665" s="1073"/>
      <c r="X665" s="1073"/>
      <c r="Y665" s="1073"/>
      <c r="Z665" s="1073"/>
    </row>
    <row r="666" spans="1:26" ht="12.75" customHeight="1">
      <c r="A666" s="1073"/>
      <c r="B666" s="1073"/>
      <c r="C666" s="1073"/>
      <c r="D666" s="1073"/>
      <c r="E666" s="1073"/>
      <c r="F666" s="1073"/>
      <c r="G666" s="1073"/>
      <c r="H666" s="1073"/>
      <c r="I666" s="1073"/>
      <c r="J666" s="1073"/>
      <c r="K666" s="1073"/>
      <c r="L666" s="1073"/>
      <c r="M666" s="1073"/>
      <c r="N666" s="1073"/>
      <c r="O666" s="1073"/>
      <c r="P666" s="1073"/>
      <c r="Q666" s="1073"/>
      <c r="R666" s="1073"/>
      <c r="S666" s="1073"/>
      <c r="T666" s="1073"/>
      <c r="U666" s="1073"/>
      <c r="V666" s="1073"/>
      <c r="W666" s="1073"/>
      <c r="X666" s="1073"/>
      <c r="Y666" s="1073"/>
      <c r="Z666" s="1073"/>
    </row>
    <row r="667" spans="1:26" ht="12.75" customHeight="1">
      <c r="A667" s="1073"/>
      <c r="B667" s="1073"/>
      <c r="C667" s="1073"/>
      <c r="D667" s="1073"/>
      <c r="E667" s="1073"/>
      <c r="F667" s="1073"/>
      <c r="G667" s="1073"/>
      <c r="H667" s="1073"/>
      <c r="I667" s="1073"/>
      <c r="J667" s="1073"/>
      <c r="K667" s="1073"/>
      <c r="L667" s="1073"/>
      <c r="M667" s="1073"/>
      <c r="N667" s="1073"/>
      <c r="O667" s="1073"/>
      <c r="P667" s="1073"/>
      <c r="Q667" s="1073"/>
      <c r="R667" s="1073"/>
      <c r="S667" s="1073"/>
      <c r="T667" s="1073"/>
      <c r="U667" s="1073"/>
      <c r="V667" s="1073"/>
      <c r="W667" s="1073"/>
      <c r="X667" s="1073"/>
      <c r="Y667" s="1073"/>
      <c r="Z667" s="1073"/>
    </row>
    <row r="668" spans="1:26" ht="12.75" customHeight="1">
      <c r="A668" s="1073"/>
      <c r="B668" s="1073"/>
      <c r="C668" s="1073"/>
      <c r="D668" s="1073"/>
      <c r="E668" s="1073"/>
      <c r="F668" s="1073"/>
      <c r="G668" s="1073"/>
      <c r="H668" s="1073"/>
      <c r="I668" s="1073"/>
      <c r="J668" s="1073"/>
      <c r="K668" s="1073"/>
      <c r="L668" s="1073"/>
      <c r="M668" s="1073"/>
      <c r="N668" s="1073"/>
      <c r="O668" s="1073"/>
      <c r="P668" s="1073"/>
      <c r="Q668" s="1073"/>
      <c r="R668" s="1073"/>
      <c r="S668" s="1073"/>
      <c r="T668" s="1073"/>
      <c r="U668" s="1073"/>
      <c r="V668" s="1073"/>
      <c r="W668" s="1073"/>
      <c r="X668" s="1073"/>
      <c r="Y668" s="1073"/>
      <c r="Z668" s="1073"/>
    </row>
    <row r="669" spans="1:26" ht="12.75" customHeight="1">
      <c r="A669" s="1073"/>
      <c r="B669" s="1073"/>
      <c r="C669" s="1073"/>
      <c r="D669" s="1073"/>
      <c r="E669" s="1073"/>
      <c r="F669" s="1073"/>
      <c r="G669" s="1073"/>
      <c r="H669" s="1073"/>
      <c r="I669" s="1073"/>
      <c r="J669" s="1073"/>
      <c r="K669" s="1073"/>
      <c r="L669" s="1073"/>
      <c r="M669" s="1073"/>
      <c r="N669" s="1073"/>
      <c r="O669" s="1073"/>
      <c r="P669" s="1073"/>
      <c r="Q669" s="1073"/>
      <c r="R669" s="1073"/>
      <c r="S669" s="1073"/>
      <c r="T669" s="1073"/>
      <c r="U669" s="1073"/>
      <c r="V669" s="1073"/>
      <c r="W669" s="1073"/>
      <c r="X669" s="1073"/>
      <c r="Y669" s="1073"/>
      <c r="Z669" s="1073"/>
    </row>
    <row r="670" spans="1:26" ht="12.75" customHeight="1">
      <c r="A670" s="1073"/>
      <c r="B670" s="1073"/>
      <c r="C670" s="1073"/>
      <c r="D670" s="1073"/>
      <c r="E670" s="1073"/>
      <c r="F670" s="1073"/>
      <c r="G670" s="1073"/>
      <c r="H670" s="1073"/>
      <c r="I670" s="1073"/>
      <c r="J670" s="1073"/>
      <c r="K670" s="1073"/>
      <c r="L670" s="1073"/>
      <c r="M670" s="1073"/>
      <c r="N670" s="1073"/>
      <c r="O670" s="1073"/>
      <c r="P670" s="1073"/>
      <c r="Q670" s="1073"/>
      <c r="R670" s="1073"/>
      <c r="S670" s="1073"/>
      <c r="T670" s="1073"/>
      <c r="U670" s="1073"/>
      <c r="V670" s="1073"/>
      <c r="W670" s="1073"/>
      <c r="X670" s="1073"/>
      <c r="Y670" s="1073"/>
      <c r="Z670" s="1073"/>
    </row>
    <row r="671" spans="1:26" ht="12.75" customHeight="1">
      <c r="A671" s="1073"/>
      <c r="B671" s="1073"/>
      <c r="C671" s="1073"/>
      <c r="D671" s="1073"/>
      <c r="E671" s="1073"/>
      <c r="F671" s="1073"/>
      <c r="G671" s="1073"/>
      <c r="H671" s="1073"/>
      <c r="I671" s="1073"/>
      <c r="J671" s="1073"/>
      <c r="K671" s="1073"/>
      <c r="L671" s="1073"/>
      <c r="M671" s="1073"/>
      <c r="N671" s="1073"/>
      <c r="O671" s="1073"/>
      <c r="P671" s="1073"/>
      <c r="Q671" s="1073"/>
      <c r="R671" s="1073"/>
      <c r="S671" s="1073"/>
      <c r="T671" s="1073"/>
      <c r="U671" s="1073"/>
      <c r="V671" s="1073"/>
      <c r="W671" s="1073"/>
      <c r="X671" s="1073"/>
      <c r="Y671" s="1073"/>
      <c r="Z671" s="1073"/>
    </row>
    <row r="672" spans="1:26" ht="12.75" customHeight="1">
      <c r="A672" s="1073"/>
      <c r="B672" s="1073"/>
      <c r="C672" s="1073"/>
      <c r="D672" s="1073"/>
      <c r="E672" s="1073"/>
      <c r="F672" s="1073"/>
      <c r="G672" s="1073"/>
      <c r="H672" s="1073"/>
      <c r="I672" s="1073"/>
      <c r="J672" s="1073"/>
      <c r="K672" s="1073"/>
      <c r="L672" s="1073"/>
      <c r="M672" s="1073"/>
      <c r="N672" s="1073"/>
      <c r="O672" s="1073"/>
      <c r="P672" s="1073"/>
      <c r="Q672" s="1073"/>
      <c r="R672" s="1073"/>
      <c r="S672" s="1073"/>
      <c r="T672" s="1073"/>
      <c r="U672" s="1073"/>
      <c r="V672" s="1073"/>
      <c r="W672" s="1073"/>
      <c r="X672" s="1073"/>
      <c r="Y672" s="1073"/>
      <c r="Z672" s="1073"/>
    </row>
    <row r="673" spans="1:26" ht="12.75" customHeight="1">
      <c r="A673" s="1073"/>
      <c r="B673" s="1073"/>
      <c r="C673" s="1073"/>
      <c r="D673" s="1073"/>
      <c r="E673" s="1073"/>
      <c r="F673" s="1073"/>
      <c r="G673" s="1073"/>
      <c r="H673" s="1073"/>
      <c r="I673" s="1073"/>
      <c r="J673" s="1073"/>
      <c r="K673" s="1073"/>
      <c r="L673" s="1073"/>
      <c r="M673" s="1073"/>
      <c r="N673" s="1073"/>
      <c r="O673" s="1073"/>
      <c r="P673" s="1073"/>
      <c r="Q673" s="1073"/>
      <c r="R673" s="1073"/>
      <c r="S673" s="1073"/>
      <c r="T673" s="1073"/>
      <c r="U673" s="1073"/>
      <c r="V673" s="1073"/>
      <c r="W673" s="1073"/>
      <c r="X673" s="1073"/>
      <c r="Y673" s="1073"/>
      <c r="Z673" s="1073"/>
    </row>
    <row r="674" spans="1:26" ht="12.75" customHeight="1">
      <c r="A674" s="1073"/>
      <c r="B674" s="1073"/>
      <c r="C674" s="1073"/>
      <c r="D674" s="1073"/>
      <c r="E674" s="1073"/>
      <c r="F674" s="1073"/>
      <c r="G674" s="1073"/>
      <c r="H674" s="1073"/>
      <c r="I674" s="1073"/>
      <c r="J674" s="1073"/>
      <c r="K674" s="1073"/>
      <c r="L674" s="1073"/>
      <c r="M674" s="1073"/>
      <c r="N674" s="1073"/>
      <c r="O674" s="1073"/>
      <c r="P674" s="1073"/>
      <c r="Q674" s="1073"/>
      <c r="R674" s="1073"/>
      <c r="S674" s="1073"/>
      <c r="T674" s="1073"/>
      <c r="U674" s="1073"/>
      <c r="V674" s="1073"/>
      <c r="W674" s="1073"/>
      <c r="X674" s="1073"/>
      <c r="Y674" s="1073"/>
      <c r="Z674" s="1073"/>
    </row>
    <row r="675" spans="1:26" ht="12.75" customHeight="1">
      <c r="A675" s="1073"/>
      <c r="B675" s="1073"/>
      <c r="C675" s="1073"/>
      <c r="D675" s="1073"/>
      <c r="E675" s="1073"/>
      <c r="F675" s="1073"/>
      <c r="G675" s="1073"/>
      <c r="H675" s="1073"/>
      <c r="I675" s="1073"/>
      <c r="J675" s="1073"/>
      <c r="K675" s="1073"/>
      <c r="L675" s="1073"/>
      <c r="M675" s="1073"/>
      <c r="N675" s="1073"/>
      <c r="O675" s="1073"/>
      <c r="P675" s="1073"/>
      <c r="Q675" s="1073"/>
      <c r="R675" s="1073"/>
      <c r="S675" s="1073"/>
      <c r="T675" s="1073"/>
      <c r="U675" s="1073"/>
      <c r="V675" s="1073"/>
      <c r="W675" s="1073"/>
      <c r="X675" s="1073"/>
      <c r="Y675" s="1073"/>
      <c r="Z675" s="1073"/>
    </row>
    <row r="676" spans="1:26" ht="12.75" customHeight="1">
      <c r="A676" s="1073"/>
      <c r="B676" s="1073"/>
      <c r="C676" s="1073"/>
      <c r="D676" s="1073"/>
      <c r="E676" s="1073"/>
      <c r="F676" s="1073"/>
      <c r="G676" s="1073"/>
      <c r="H676" s="1073"/>
      <c r="I676" s="1073"/>
      <c r="J676" s="1073"/>
      <c r="K676" s="1073"/>
      <c r="L676" s="1073"/>
      <c r="M676" s="1073"/>
      <c r="N676" s="1073"/>
      <c r="O676" s="1073"/>
      <c r="P676" s="1073"/>
      <c r="Q676" s="1073"/>
      <c r="R676" s="1073"/>
      <c r="S676" s="1073"/>
      <c r="T676" s="1073"/>
      <c r="U676" s="1073"/>
      <c r="V676" s="1073"/>
      <c r="W676" s="1073"/>
      <c r="X676" s="1073"/>
      <c r="Y676" s="1073"/>
      <c r="Z676" s="1073"/>
    </row>
    <row r="677" spans="1:26" ht="12.75" customHeight="1">
      <c r="A677" s="1073"/>
      <c r="B677" s="1073"/>
      <c r="C677" s="1073"/>
      <c r="D677" s="1073"/>
      <c r="E677" s="1073"/>
      <c r="F677" s="1073"/>
      <c r="G677" s="1073"/>
      <c r="H677" s="1073"/>
      <c r="I677" s="1073"/>
      <c r="J677" s="1073"/>
      <c r="K677" s="1073"/>
      <c r="L677" s="1073"/>
      <c r="M677" s="1073"/>
      <c r="N677" s="1073"/>
      <c r="O677" s="1073"/>
      <c r="P677" s="1073"/>
      <c r="Q677" s="1073"/>
      <c r="R677" s="1073"/>
      <c r="S677" s="1073"/>
      <c r="T677" s="1073"/>
      <c r="U677" s="1073"/>
      <c r="V677" s="1073"/>
      <c r="W677" s="1073"/>
      <c r="X677" s="1073"/>
      <c r="Y677" s="1073"/>
      <c r="Z677" s="1073"/>
    </row>
    <row r="678" spans="1:26" ht="12.75" customHeight="1">
      <c r="A678" s="1073"/>
      <c r="B678" s="1073"/>
      <c r="C678" s="1073"/>
      <c r="D678" s="1073"/>
      <c r="E678" s="1073"/>
      <c r="F678" s="1073"/>
      <c r="G678" s="1073"/>
      <c r="H678" s="1073"/>
      <c r="I678" s="1073"/>
      <c r="J678" s="1073"/>
      <c r="K678" s="1073"/>
      <c r="L678" s="1073"/>
      <c r="M678" s="1073"/>
      <c r="N678" s="1073"/>
      <c r="O678" s="1073"/>
      <c r="P678" s="1073"/>
      <c r="Q678" s="1073"/>
      <c r="R678" s="1073"/>
      <c r="S678" s="1073"/>
      <c r="T678" s="1073"/>
      <c r="U678" s="1073"/>
      <c r="V678" s="1073"/>
      <c r="W678" s="1073"/>
      <c r="X678" s="1073"/>
      <c r="Y678" s="1073"/>
      <c r="Z678" s="1073"/>
    </row>
    <row r="679" spans="1:26" ht="12.75" customHeight="1">
      <c r="A679" s="1073"/>
      <c r="B679" s="1073"/>
      <c r="C679" s="1073"/>
      <c r="D679" s="1073"/>
      <c r="E679" s="1073"/>
      <c r="F679" s="1073"/>
      <c r="G679" s="1073"/>
      <c r="H679" s="1073"/>
      <c r="I679" s="1073"/>
      <c r="J679" s="1073"/>
      <c r="K679" s="1073"/>
      <c r="L679" s="1073"/>
      <c r="M679" s="1073"/>
      <c r="N679" s="1073"/>
      <c r="O679" s="1073"/>
      <c r="P679" s="1073"/>
      <c r="Q679" s="1073"/>
      <c r="R679" s="1073"/>
      <c r="S679" s="1073"/>
      <c r="T679" s="1073"/>
      <c r="U679" s="1073"/>
      <c r="V679" s="1073"/>
      <c r="W679" s="1073"/>
      <c r="X679" s="1073"/>
      <c r="Y679" s="1073"/>
      <c r="Z679" s="1073"/>
    </row>
    <row r="680" spans="1:26" ht="12.75" customHeight="1">
      <c r="A680" s="1073"/>
      <c r="B680" s="1073"/>
      <c r="C680" s="1073"/>
      <c r="D680" s="1073"/>
      <c r="E680" s="1073"/>
      <c r="F680" s="1073"/>
      <c r="G680" s="1073"/>
      <c r="H680" s="1073"/>
      <c r="I680" s="1073"/>
      <c r="J680" s="1073"/>
      <c r="K680" s="1073"/>
      <c r="L680" s="1073"/>
      <c r="M680" s="1073"/>
      <c r="N680" s="1073"/>
      <c r="O680" s="1073"/>
      <c r="P680" s="1073"/>
      <c r="Q680" s="1073"/>
      <c r="R680" s="1073"/>
      <c r="S680" s="1073"/>
      <c r="T680" s="1073"/>
      <c r="U680" s="1073"/>
      <c r="V680" s="1073"/>
      <c r="W680" s="1073"/>
      <c r="X680" s="1073"/>
      <c r="Y680" s="1073"/>
      <c r="Z680" s="1073"/>
    </row>
    <row r="681" spans="1:26" ht="12.75" customHeight="1">
      <c r="A681" s="1073"/>
      <c r="B681" s="1073"/>
      <c r="C681" s="1073"/>
      <c r="D681" s="1073"/>
      <c r="E681" s="1073"/>
      <c r="F681" s="1073"/>
      <c r="G681" s="1073"/>
      <c r="H681" s="1073"/>
      <c r="I681" s="1073"/>
      <c r="J681" s="1073"/>
      <c r="K681" s="1073"/>
      <c r="L681" s="1073"/>
      <c r="M681" s="1073"/>
      <c r="N681" s="1073"/>
      <c r="O681" s="1073"/>
      <c r="P681" s="1073"/>
      <c r="Q681" s="1073"/>
      <c r="R681" s="1073"/>
      <c r="S681" s="1073"/>
      <c r="T681" s="1073"/>
      <c r="U681" s="1073"/>
      <c r="V681" s="1073"/>
      <c r="W681" s="1073"/>
      <c r="X681" s="1073"/>
      <c r="Y681" s="1073"/>
      <c r="Z681" s="1073"/>
    </row>
    <row r="682" spans="1:26" ht="12.75" customHeight="1">
      <c r="A682" s="1073"/>
      <c r="B682" s="1073"/>
      <c r="C682" s="1073"/>
      <c r="D682" s="1073"/>
      <c r="E682" s="1073"/>
      <c r="F682" s="1073"/>
      <c r="G682" s="1073"/>
      <c r="H682" s="1073"/>
      <c r="I682" s="1073"/>
      <c r="J682" s="1073"/>
      <c r="K682" s="1073"/>
      <c r="L682" s="1073"/>
      <c r="M682" s="1073"/>
      <c r="N682" s="1073"/>
      <c r="O682" s="1073"/>
      <c r="P682" s="1073"/>
      <c r="Q682" s="1073"/>
      <c r="R682" s="1073"/>
      <c r="S682" s="1073"/>
      <c r="T682" s="1073"/>
      <c r="U682" s="1073"/>
      <c r="V682" s="1073"/>
      <c r="W682" s="1073"/>
      <c r="X682" s="1073"/>
      <c r="Y682" s="1073"/>
      <c r="Z682" s="1073"/>
    </row>
    <row r="683" spans="1:26" ht="12.75" customHeight="1">
      <c r="A683" s="1073"/>
      <c r="B683" s="1073"/>
      <c r="C683" s="1073"/>
      <c r="D683" s="1073"/>
      <c r="E683" s="1073"/>
      <c r="F683" s="1073"/>
      <c r="G683" s="1073"/>
      <c r="H683" s="1073"/>
      <c r="I683" s="1073"/>
      <c r="J683" s="1073"/>
      <c r="K683" s="1073"/>
      <c r="L683" s="1073"/>
      <c r="M683" s="1073"/>
      <c r="N683" s="1073"/>
      <c r="O683" s="1073"/>
      <c r="P683" s="1073"/>
      <c r="Q683" s="1073"/>
      <c r="R683" s="1073"/>
      <c r="S683" s="1073"/>
      <c r="T683" s="1073"/>
      <c r="U683" s="1073"/>
      <c r="V683" s="1073"/>
      <c r="W683" s="1073"/>
      <c r="X683" s="1073"/>
      <c r="Y683" s="1073"/>
      <c r="Z683" s="1073"/>
    </row>
    <row r="684" spans="1:26" ht="12.75" customHeight="1">
      <c r="A684" s="1073"/>
      <c r="B684" s="1073"/>
      <c r="C684" s="1073"/>
      <c r="D684" s="1073"/>
      <c r="E684" s="1073"/>
      <c r="F684" s="1073"/>
      <c r="G684" s="1073"/>
      <c r="H684" s="1073"/>
      <c r="I684" s="1073"/>
      <c r="J684" s="1073"/>
      <c r="K684" s="1073"/>
      <c r="L684" s="1073"/>
      <c r="M684" s="1073"/>
      <c r="N684" s="1073"/>
      <c r="O684" s="1073"/>
      <c r="P684" s="1073"/>
      <c r="Q684" s="1073"/>
      <c r="R684" s="1073"/>
      <c r="S684" s="1073"/>
      <c r="T684" s="1073"/>
      <c r="U684" s="1073"/>
      <c r="V684" s="1073"/>
      <c r="W684" s="1073"/>
      <c r="X684" s="1073"/>
      <c r="Y684" s="1073"/>
      <c r="Z684" s="1073"/>
    </row>
    <row r="685" spans="1:26" ht="12.75" customHeight="1">
      <c r="A685" s="1073"/>
      <c r="B685" s="1073"/>
      <c r="C685" s="1073"/>
      <c r="D685" s="1073"/>
      <c r="E685" s="1073"/>
      <c r="F685" s="1073"/>
      <c r="G685" s="1073"/>
      <c r="H685" s="1073"/>
      <c r="I685" s="1073"/>
      <c r="J685" s="1073"/>
      <c r="K685" s="1073"/>
      <c r="L685" s="1073"/>
      <c r="M685" s="1073"/>
      <c r="N685" s="1073"/>
      <c r="O685" s="1073"/>
      <c r="P685" s="1073"/>
      <c r="Q685" s="1073"/>
      <c r="R685" s="1073"/>
      <c r="S685" s="1073"/>
      <c r="T685" s="1073"/>
      <c r="U685" s="1073"/>
      <c r="V685" s="1073"/>
      <c r="W685" s="1073"/>
      <c r="X685" s="1073"/>
      <c r="Y685" s="1073"/>
      <c r="Z685" s="1073"/>
    </row>
    <row r="686" spans="1:26" ht="12.75" customHeight="1">
      <c r="A686" s="1073"/>
      <c r="B686" s="1073"/>
      <c r="C686" s="1073"/>
      <c r="D686" s="1073"/>
      <c r="E686" s="1073"/>
      <c r="F686" s="1073"/>
      <c r="G686" s="1073"/>
      <c r="H686" s="1073"/>
      <c r="I686" s="1073"/>
      <c r="J686" s="1073"/>
      <c r="K686" s="1073"/>
      <c r="L686" s="1073"/>
      <c r="M686" s="1073"/>
      <c r="N686" s="1073"/>
      <c r="O686" s="1073"/>
      <c r="P686" s="1073"/>
      <c r="Q686" s="1073"/>
      <c r="R686" s="1073"/>
      <c r="S686" s="1073"/>
      <c r="T686" s="1073"/>
      <c r="U686" s="1073"/>
      <c r="V686" s="1073"/>
      <c r="W686" s="1073"/>
      <c r="X686" s="1073"/>
      <c r="Y686" s="1073"/>
      <c r="Z686" s="1073"/>
    </row>
    <row r="687" spans="1:26" ht="12.75" customHeight="1">
      <c r="A687" s="1073"/>
      <c r="B687" s="1073"/>
      <c r="C687" s="1073"/>
      <c r="D687" s="1073"/>
      <c r="E687" s="1073"/>
      <c r="F687" s="1073"/>
      <c r="G687" s="1073"/>
      <c r="H687" s="1073"/>
      <c r="I687" s="1073"/>
      <c r="J687" s="1073"/>
      <c r="K687" s="1073"/>
      <c r="L687" s="1073"/>
      <c r="M687" s="1073"/>
      <c r="N687" s="1073"/>
      <c r="O687" s="1073"/>
      <c r="P687" s="1073"/>
      <c r="Q687" s="1073"/>
      <c r="R687" s="1073"/>
      <c r="S687" s="1073"/>
      <c r="T687" s="1073"/>
      <c r="U687" s="1073"/>
      <c r="V687" s="1073"/>
      <c r="W687" s="1073"/>
      <c r="X687" s="1073"/>
      <c r="Y687" s="1073"/>
      <c r="Z687" s="1073"/>
    </row>
    <row r="688" spans="1:26" ht="12.75" customHeight="1">
      <c r="A688" s="1073"/>
      <c r="B688" s="1073"/>
      <c r="C688" s="1073"/>
      <c r="D688" s="1073"/>
      <c r="E688" s="1073"/>
      <c r="F688" s="1073"/>
      <c r="G688" s="1073"/>
      <c r="H688" s="1073"/>
      <c r="I688" s="1073"/>
      <c r="J688" s="1073"/>
      <c r="K688" s="1073"/>
      <c r="L688" s="1073"/>
      <c r="M688" s="1073"/>
      <c r="N688" s="1073"/>
      <c r="O688" s="1073"/>
      <c r="P688" s="1073"/>
      <c r="Q688" s="1073"/>
      <c r="R688" s="1073"/>
      <c r="S688" s="1073"/>
      <c r="T688" s="1073"/>
      <c r="U688" s="1073"/>
      <c r="V688" s="1073"/>
      <c r="W688" s="1073"/>
      <c r="X688" s="1073"/>
      <c r="Y688" s="1073"/>
      <c r="Z688" s="1073"/>
    </row>
    <row r="689" spans="1:26" ht="12.75" customHeight="1">
      <c r="A689" s="1073"/>
      <c r="B689" s="1073"/>
      <c r="C689" s="1073"/>
      <c r="D689" s="1073"/>
      <c r="E689" s="1073"/>
      <c r="F689" s="1073"/>
      <c r="G689" s="1073"/>
      <c r="H689" s="1073"/>
      <c r="I689" s="1073"/>
      <c r="J689" s="1073"/>
      <c r="K689" s="1073"/>
      <c r="L689" s="1073"/>
      <c r="M689" s="1073"/>
      <c r="N689" s="1073"/>
      <c r="O689" s="1073"/>
      <c r="P689" s="1073"/>
      <c r="Q689" s="1073"/>
      <c r="R689" s="1073"/>
      <c r="S689" s="1073"/>
      <c r="T689" s="1073"/>
      <c r="U689" s="1073"/>
      <c r="V689" s="1073"/>
      <c r="W689" s="1073"/>
      <c r="X689" s="1073"/>
      <c r="Y689" s="1073"/>
      <c r="Z689" s="1073"/>
    </row>
    <row r="690" spans="1:26" ht="12.75" customHeight="1">
      <c r="A690" s="1073"/>
      <c r="B690" s="1073"/>
      <c r="C690" s="1073"/>
      <c r="D690" s="1073"/>
      <c r="E690" s="1073"/>
      <c r="F690" s="1073"/>
      <c r="G690" s="1073"/>
      <c r="H690" s="1073"/>
      <c r="I690" s="1073"/>
      <c r="J690" s="1073"/>
      <c r="K690" s="1073"/>
      <c r="L690" s="1073"/>
      <c r="M690" s="1073"/>
      <c r="N690" s="1073"/>
      <c r="O690" s="1073"/>
      <c r="P690" s="1073"/>
      <c r="Q690" s="1073"/>
      <c r="R690" s="1073"/>
      <c r="S690" s="1073"/>
      <c r="T690" s="1073"/>
      <c r="U690" s="1073"/>
      <c r="V690" s="1073"/>
      <c r="W690" s="1073"/>
      <c r="X690" s="1073"/>
      <c r="Y690" s="1073"/>
      <c r="Z690" s="1073"/>
    </row>
    <row r="691" spans="1:26" ht="12.75" customHeight="1">
      <c r="A691" s="1073"/>
      <c r="B691" s="1073"/>
      <c r="C691" s="1073"/>
      <c r="D691" s="1073"/>
      <c r="E691" s="1073"/>
      <c r="F691" s="1073"/>
      <c r="G691" s="1073"/>
      <c r="H691" s="1073"/>
      <c r="I691" s="1073"/>
      <c r="J691" s="1073"/>
      <c r="K691" s="1073"/>
      <c r="L691" s="1073"/>
      <c r="M691" s="1073"/>
      <c r="N691" s="1073"/>
      <c r="O691" s="1073"/>
      <c r="P691" s="1073"/>
      <c r="Q691" s="1073"/>
      <c r="R691" s="1073"/>
      <c r="S691" s="1073"/>
      <c r="T691" s="1073"/>
      <c r="U691" s="1073"/>
      <c r="V691" s="1073"/>
      <c r="W691" s="1073"/>
      <c r="X691" s="1073"/>
      <c r="Y691" s="1073"/>
      <c r="Z691" s="1073"/>
    </row>
    <row r="692" spans="1:26" ht="12.75" customHeight="1">
      <c r="A692" s="1073"/>
      <c r="B692" s="1073"/>
      <c r="C692" s="1073"/>
      <c r="D692" s="1073"/>
      <c r="E692" s="1073"/>
      <c r="F692" s="1073"/>
      <c r="G692" s="1073"/>
      <c r="H692" s="1073"/>
      <c r="I692" s="1073"/>
      <c r="J692" s="1073"/>
      <c r="K692" s="1073"/>
      <c r="L692" s="1073"/>
      <c r="M692" s="1073"/>
      <c r="N692" s="1073"/>
      <c r="O692" s="1073"/>
      <c r="P692" s="1073"/>
      <c r="Q692" s="1073"/>
      <c r="R692" s="1073"/>
      <c r="S692" s="1073"/>
      <c r="T692" s="1073"/>
      <c r="U692" s="1073"/>
      <c r="V692" s="1073"/>
      <c r="W692" s="1073"/>
      <c r="X692" s="1073"/>
      <c r="Y692" s="1073"/>
      <c r="Z692" s="1073"/>
    </row>
    <row r="693" spans="1:26" ht="12.75" customHeight="1">
      <c r="A693" s="1073"/>
      <c r="B693" s="1073"/>
      <c r="C693" s="1073"/>
      <c r="D693" s="1073"/>
      <c r="E693" s="1073"/>
      <c r="F693" s="1073"/>
      <c r="G693" s="1073"/>
      <c r="H693" s="1073"/>
      <c r="I693" s="1073"/>
      <c r="J693" s="1073"/>
      <c r="K693" s="1073"/>
      <c r="L693" s="1073"/>
      <c r="M693" s="1073"/>
      <c r="N693" s="1073"/>
      <c r="O693" s="1073"/>
      <c r="P693" s="1073"/>
      <c r="Q693" s="1073"/>
      <c r="R693" s="1073"/>
      <c r="S693" s="1073"/>
      <c r="T693" s="1073"/>
      <c r="U693" s="1073"/>
      <c r="V693" s="1073"/>
      <c r="W693" s="1073"/>
      <c r="X693" s="1073"/>
      <c r="Y693" s="1073"/>
      <c r="Z693" s="1073"/>
    </row>
    <row r="694" spans="1:26" ht="12.75" customHeight="1">
      <c r="A694" s="1073"/>
      <c r="B694" s="1073"/>
      <c r="C694" s="1073"/>
      <c r="D694" s="1073"/>
      <c r="E694" s="1073"/>
      <c r="F694" s="1073"/>
      <c r="G694" s="1073"/>
      <c r="H694" s="1073"/>
      <c r="I694" s="1073"/>
      <c r="J694" s="1073"/>
      <c r="K694" s="1073"/>
      <c r="L694" s="1073"/>
      <c r="M694" s="1073"/>
      <c r="N694" s="1073"/>
      <c r="O694" s="1073"/>
      <c r="P694" s="1073"/>
      <c r="Q694" s="1073"/>
      <c r="R694" s="1073"/>
      <c r="S694" s="1073"/>
      <c r="T694" s="1073"/>
      <c r="U694" s="1073"/>
      <c r="V694" s="1073"/>
      <c r="W694" s="1073"/>
      <c r="X694" s="1073"/>
      <c r="Y694" s="1073"/>
      <c r="Z694" s="1073"/>
    </row>
    <row r="695" spans="1:26" ht="12.75" customHeight="1">
      <c r="A695" s="1073"/>
      <c r="B695" s="1073"/>
      <c r="C695" s="1073"/>
      <c r="D695" s="1073"/>
      <c r="E695" s="1073"/>
      <c r="F695" s="1073"/>
      <c r="G695" s="1073"/>
      <c r="H695" s="1073"/>
      <c r="I695" s="1073"/>
      <c r="J695" s="1073"/>
      <c r="K695" s="1073"/>
      <c r="L695" s="1073"/>
      <c r="M695" s="1073"/>
      <c r="N695" s="1073"/>
      <c r="O695" s="1073"/>
      <c r="P695" s="1073"/>
      <c r="Q695" s="1073"/>
      <c r="R695" s="1073"/>
      <c r="S695" s="1073"/>
      <c r="T695" s="1073"/>
      <c r="U695" s="1073"/>
      <c r="V695" s="1073"/>
      <c r="W695" s="1073"/>
      <c r="X695" s="1073"/>
      <c r="Y695" s="1073"/>
      <c r="Z695" s="1073"/>
    </row>
    <row r="696" spans="1:26" ht="12.75" customHeight="1">
      <c r="A696" s="1073"/>
      <c r="B696" s="1073"/>
      <c r="C696" s="1073"/>
      <c r="D696" s="1073"/>
      <c r="E696" s="1073"/>
      <c r="F696" s="1073"/>
      <c r="G696" s="1073"/>
      <c r="H696" s="1073"/>
      <c r="I696" s="1073"/>
      <c r="J696" s="1073"/>
      <c r="K696" s="1073"/>
      <c r="L696" s="1073"/>
      <c r="M696" s="1073"/>
      <c r="N696" s="1073"/>
      <c r="O696" s="1073"/>
      <c r="P696" s="1073"/>
      <c r="Q696" s="1073"/>
      <c r="R696" s="1073"/>
      <c r="S696" s="1073"/>
      <c r="T696" s="1073"/>
      <c r="U696" s="1073"/>
      <c r="V696" s="1073"/>
      <c r="W696" s="1073"/>
      <c r="X696" s="1073"/>
      <c r="Y696" s="1073"/>
      <c r="Z696" s="1073"/>
    </row>
    <row r="697" spans="1:26" ht="12.75" customHeight="1">
      <c r="A697" s="1073"/>
      <c r="B697" s="1073"/>
      <c r="C697" s="1073"/>
      <c r="D697" s="1073"/>
      <c r="E697" s="1073"/>
      <c r="F697" s="1073"/>
      <c r="G697" s="1073"/>
      <c r="H697" s="1073"/>
      <c r="I697" s="1073"/>
      <c r="J697" s="1073"/>
      <c r="K697" s="1073"/>
      <c r="L697" s="1073"/>
      <c r="M697" s="1073"/>
      <c r="N697" s="1073"/>
      <c r="O697" s="1073"/>
      <c r="P697" s="1073"/>
      <c r="Q697" s="1073"/>
      <c r="R697" s="1073"/>
      <c r="S697" s="1073"/>
      <c r="T697" s="1073"/>
      <c r="U697" s="1073"/>
      <c r="V697" s="1073"/>
      <c r="W697" s="1073"/>
      <c r="X697" s="1073"/>
      <c r="Y697" s="1073"/>
      <c r="Z697" s="1073"/>
    </row>
    <row r="698" spans="1:26" ht="12.75" customHeight="1">
      <c r="A698" s="1073"/>
      <c r="B698" s="1073"/>
      <c r="C698" s="1073"/>
      <c r="D698" s="1073"/>
      <c r="E698" s="1073"/>
      <c r="F698" s="1073"/>
      <c r="G698" s="1073"/>
      <c r="H698" s="1073"/>
      <c r="I698" s="1073"/>
      <c r="J698" s="1073"/>
      <c r="K698" s="1073"/>
      <c r="L698" s="1073"/>
      <c r="M698" s="1073"/>
      <c r="N698" s="1073"/>
      <c r="O698" s="1073"/>
      <c r="P698" s="1073"/>
      <c r="Q698" s="1073"/>
      <c r="R698" s="1073"/>
      <c r="S698" s="1073"/>
      <c r="T698" s="1073"/>
      <c r="U698" s="1073"/>
      <c r="V698" s="1073"/>
      <c r="W698" s="1073"/>
      <c r="X698" s="1073"/>
      <c r="Y698" s="1073"/>
      <c r="Z698" s="1073"/>
    </row>
    <row r="699" spans="1:26" ht="12.75" customHeight="1">
      <c r="A699" s="1073"/>
      <c r="B699" s="1073"/>
      <c r="C699" s="1073"/>
      <c r="D699" s="1073"/>
      <c r="E699" s="1073"/>
      <c r="F699" s="1073"/>
      <c r="G699" s="1073"/>
      <c r="H699" s="1073"/>
      <c r="I699" s="1073"/>
      <c r="J699" s="1073"/>
      <c r="K699" s="1073"/>
      <c r="L699" s="1073"/>
      <c r="M699" s="1073"/>
      <c r="N699" s="1073"/>
      <c r="O699" s="1073"/>
      <c r="P699" s="1073"/>
      <c r="Q699" s="1073"/>
      <c r="R699" s="1073"/>
      <c r="S699" s="1073"/>
      <c r="T699" s="1073"/>
      <c r="U699" s="1073"/>
      <c r="V699" s="1073"/>
      <c r="W699" s="1073"/>
      <c r="X699" s="1073"/>
      <c r="Y699" s="1073"/>
      <c r="Z699" s="1073"/>
    </row>
    <row r="700" spans="1:26" ht="12.75" customHeight="1">
      <c r="A700" s="1073"/>
      <c r="B700" s="1073"/>
      <c r="C700" s="1073"/>
      <c r="D700" s="1073"/>
      <c r="E700" s="1073"/>
      <c r="F700" s="1073"/>
      <c r="G700" s="1073"/>
      <c r="H700" s="1073"/>
      <c r="I700" s="1073"/>
      <c r="J700" s="1073"/>
      <c r="K700" s="1073"/>
      <c r="L700" s="1073"/>
      <c r="M700" s="1073"/>
      <c r="N700" s="1073"/>
      <c r="O700" s="1073"/>
      <c r="P700" s="1073"/>
      <c r="Q700" s="1073"/>
      <c r="R700" s="1073"/>
      <c r="S700" s="1073"/>
      <c r="T700" s="1073"/>
      <c r="U700" s="1073"/>
      <c r="V700" s="1073"/>
      <c r="W700" s="1073"/>
      <c r="X700" s="1073"/>
      <c r="Y700" s="1073"/>
      <c r="Z700" s="1073"/>
    </row>
    <row r="701" spans="1:26" ht="12.75" customHeight="1">
      <c r="A701" s="1073"/>
      <c r="B701" s="1073"/>
      <c r="C701" s="1073"/>
      <c r="D701" s="1073"/>
      <c r="E701" s="1073"/>
      <c r="F701" s="1073"/>
      <c r="G701" s="1073"/>
      <c r="H701" s="1073"/>
      <c r="I701" s="1073"/>
      <c r="J701" s="1073"/>
      <c r="K701" s="1073"/>
      <c r="L701" s="1073"/>
      <c r="M701" s="1073"/>
      <c r="N701" s="1073"/>
      <c r="O701" s="1073"/>
      <c r="P701" s="1073"/>
      <c r="Q701" s="1073"/>
      <c r="R701" s="1073"/>
      <c r="S701" s="1073"/>
      <c r="T701" s="1073"/>
      <c r="U701" s="1073"/>
      <c r="V701" s="1073"/>
      <c r="W701" s="1073"/>
      <c r="X701" s="1073"/>
      <c r="Y701" s="1073"/>
      <c r="Z701" s="1073"/>
    </row>
    <row r="702" spans="1:26" ht="12.75" customHeight="1">
      <c r="A702" s="1073"/>
      <c r="B702" s="1073"/>
      <c r="C702" s="1073"/>
      <c r="D702" s="1073"/>
      <c r="E702" s="1073"/>
      <c r="F702" s="1073"/>
      <c r="G702" s="1073"/>
      <c r="H702" s="1073"/>
      <c r="I702" s="1073"/>
      <c r="J702" s="1073"/>
      <c r="K702" s="1073"/>
      <c r="L702" s="1073"/>
      <c r="M702" s="1073"/>
      <c r="N702" s="1073"/>
      <c r="O702" s="1073"/>
      <c r="P702" s="1073"/>
      <c r="Q702" s="1073"/>
      <c r="R702" s="1073"/>
      <c r="S702" s="1073"/>
      <c r="T702" s="1073"/>
      <c r="U702" s="1073"/>
      <c r="V702" s="1073"/>
      <c r="W702" s="1073"/>
      <c r="X702" s="1073"/>
      <c r="Y702" s="1073"/>
      <c r="Z702" s="1073"/>
    </row>
    <row r="703" spans="1:26" ht="12.75" customHeight="1">
      <c r="A703" s="1073"/>
      <c r="B703" s="1073"/>
      <c r="C703" s="1073"/>
      <c r="D703" s="1073"/>
      <c r="E703" s="1073"/>
      <c r="F703" s="1073"/>
      <c r="G703" s="1073"/>
      <c r="H703" s="1073"/>
      <c r="I703" s="1073"/>
      <c r="J703" s="1073"/>
      <c r="K703" s="1073"/>
      <c r="L703" s="1073"/>
      <c r="M703" s="1073"/>
      <c r="N703" s="1073"/>
      <c r="O703" s="1073"/>
      <c r="P703" s="1073"/>
      <c r="Q703" s="1073"/>
      <c r="R703" s="1073"/>
      <c r="S703" s="1073"/>
      <c r="T703" s="1073"/>
      <c r="U703" s="1073"/>
      <c r="V703" s="1073"/>
      <c r="W703" s="1073"/>
      <c r="X703" s="1073"/>
      <c r="Y703" s="1073"/>
      <c r="Z703" s="1073"/>
    </row>
    <row r="704" spans="1:26" ht="12.75" customHeight="1">
      <c r="A704" s="1073"/>
      <c r="B704" s="1073"/>
      <c r="C704" s="1073"/>
      <c r="D704" s="1073"/>
      <c r="E704" s="1073"/>
      <c r="F704" s="1073"/>
      <c r="G704" s="1073"/>
      <c r="H704" s="1073"/>
      <c r="I704" s="1073"/>
      <c r="J704" s="1073"/>
      <c r="K704" s="1073"/>
      <c r="L704" s="1073"/>
      <c r="M704" s="1073"/>
      <c r="N704" s="1073"/>
      <c r="O704" s="1073"/>
      <c r="P704" s="1073"/>
      <c r="Q704" s="1073"/>
      <c r="R704" s="1073"/>
      <c r="S704" s="1073"/>
      <c r="T704" s="1073"/>
      <c r="U704" s="1073"/>
      <c r="V704" s="1073"/>
      <c r="W704" s="1073"/>
      <c r="X704" s="1073"/>
      <c r="Y704" s="1073"/>
      <c r="Z704" s="1073"/>
    </row>
    <row r="705" spans="1:26" ht="12.75" customHeight="1">
      <c r="A705" s="1073"/>
      <c r="B705" s="1073"/>
      <c r="C705" s="1073"/>
      <c r="D705" s="1073"/>
      <c r="E705" s="1073"/>
      <c r="F705" s="1073"/>
      <c r="G705" s="1073"/>
      <c r="H705" s="1073"/>
      <c r="I705" s="1073"/>
      <c r="J705" s="1073"/>
      <c r="K705" s="1073"/>
      <c r="L705" s="1073"/>
      <c r="M705" s="1073"/>
      <c r="N705" s="1073"/>
      <c r="O705" s="1073"/>
      <c r="P705" s="1073"/>
      <c r="Q705" s="1073"/>
      <c r="R705" s="1073"/>
      <c r="S705" s="1073"/>
      <c r="T705" s="1073"/>
      <c r="U705" s="1073"/>
      <c r="V705" s="1073"/>
      <c r="W705" s="1073"/>
      <c r="X705" s="1073"/>
      <c r="Y705" s="1073"/>
      <c r="Z705" s="1073"/>
    </row>
    <row r="706" spans="1:26" ht="12.75" customHeight="1">
      <c r="A706" s="1073"/>
      <c r="B706" s="1073"/>
      <c r="C706" s="1073"/>
      <c r="D706" s="1073"/>
      <c r="E706" s="1073"/>
      <c r="F706" s="1073"/>
      <c r="G706" s="1073"/>
      <c r="H706" s="1073"/>
      <c r="I706" s="1073"/>
      <c r="J706" s="1073"/>
      <c r="K706" s="1073"/>
      <c r="L706" s="1073"/>
      <c r="M706" s="1073"/>
      <c r="N706" s="1073"/>
      <c r="O706" s="1073"/>
      <c r="P706" s="1073"/>
      <c r="Q706" s="1073"/>
      <c r="R706" s="1073"/>
      <c r="S706" s="1073"/>
      <c r="T706" s="1073"/>
      <c r="U706" s="1073"/>
      <c r="V706" s="1073"/>
      <c r="W706" s="1073"/>
      <c r="X706" s="1073"/>
      <c r="Y706" s="1073"/>
      <c r="Z706" s="1073"/>
    </row>
    <row r="707" spans="1:26" ht="12.75" customHeight="1">
      <c r="A707" s="1073"/>
      <c r="B707" s="1073"/>
      <c r="C707" s="1073"/>
      <c r="D707" s="1073"/>
      <c r="E707" s="1073"/>
      <c r="F707" s="1073"/>
      <c r="G707" s="1073"/>
      <c r="H707" s="1073"/>
      <c r="I707" s="1073"/>
      <c r="J707" s="1073"/>
      <c r="K707" s="1073"/>
      <c r="L707" s="1073"/>
      <c r="M707" s="1073"/>
      <c r="N707" s="1073"/>
      <c r="O707" s="1073"/>
      <c r="P707" s="1073"/>
      <c r="Q707" s="1073"/>
      <c r="R707" s="1073"/>
      <c r="S707" s="1073"/>
      <c r="T707" s="1073"/>
      <c r="U707" s="1073"/>
      <c r="V707" s="1073"/>
      <c r="W707" s="1073"/>
      <c r="X707" s="1073"/>
      <c r="Y707" s="1073"/>
      <c r="Z707" s="1073"/>
    </row>
    <row r="708" spans="1:26" ht="12.75" customHeight="1">
      <c r="A708" s="1073"/>
      <c r="B708" s="1073"/>
      <c r="C708" s="1073"/>
      <c r="D708" s="1073"/>
      <c r="E708" s="1073"/>
      <c r="F708" s="1073"/>
      <c r="G708" s="1073"/>
      <c r="H708" s="1073"/>
      <c r="I708" s="1073"/>
      <c r="J708" s="1073"/>
      <c r="K708" s="1073"/>
      <c r="L708" s="1073"/>
      <c r="M708" s="1073"/>
      <c r="N708" s="1073"/>
      <c r="O708" s="1073"/>
      <c r="P708" s="1073"/>
      <c r="Q708" s="1073"/>
      <c r="R708" s="1073"/>
      <c r="S708" s="1073"/>
      <c r="T708" s="1073"/>
      <c r="U708" s="1073"/>
      <c r="V708" s="1073"/>
      <c r="W708" s="1073"/>
      <c r="X708" s="1073"/>
      <c r="Y708" s="1073"/>
      <c r="Z708" s="1073"/>
    </row>
    <row r="709" spans="1:26" ht="12.75" customHeight="1">
      <c r="A709" s="1073"/>
      <c r="B709" s="1073"/>
      <c r="C709" s="1073"/>
      <c r="D709" s="1073"/>
      <c r="E709" s="1073"/>
      <c r="F709" s="1073"/>
      <c r="G709" s="1073"/>
      <c r="H709" s="1073"/>
      <c r="I709" s="1073"/>
      <c r="J709" s="1073"/>
      <c r="K709" s="1073"/>
      <c r="L709" s="1073"/>
      <c r="M709" s="1073"/>
      <c r="N709" s="1073"/>
      <c r="O709" s="1073"/>
      <c r="P709" s="1073"/>
      <c r="Q709" s="1073"/>
      <c r="R709" s="1073"/>
      <c r="S709" s="1073"/>
      <c r="T709" s="1073"/>
      <c r="U709" s="1073"/>
      <c r="V709" s="1073"/>
      <c r="W709" s="1073"/>
      <c r="X709" s="1073"/>
      <c r="Y709" s="1073"/>
      <c r="Z709" s="1073"/>
    </row>
    <row r="710" spans="1:26" ht="12.75" customHeight="1">
      <c r="A710" s="1073"/>
      <c r="B710" s="1073"/>
      <c r="C710" s="1073"/>
      <c r="D710" s="1073"/>
      <c r="E710" s="1073"/>
      <c r="F710" s="1073"/>
      <c r="G710" s="1073"/>
      <c r="H710" s="1073"/>
      <c r="I710" s="1073"/>
      <c r="J710" s="1073"/>
      <c r="K710" s="1073"/>
      <c r="L710" s="1073"/>
      <c r="M710" s="1073"/>
      <c r="N710" s="1073"/>
      <c r="O710" s="1073"/>
      <c r="P710" s="1073"/>
      <c r="Q710" s="1073"/>
      <c r="R710" s="1073"/>
      <c r="S710" s="1073"/>
      <c r="T710" s="1073"/>
      <c r="U710" s="1073"/>
      <c r="V710" s="1073"/>
      <c r="W710" s="1073"/>
      <c r="X710" s="1073"/>
      <c r="Y710" s="1073"/>
      <c r="Z710" s="1073"/>
    </row>
    <row r="711" spans="1:26" ht="12.75" customHeight="1">
      <c r="A711" s="1073"/>
      <c r="B711" s="1073"/>
      <c r="C711" s="1073"/>
      <c r="D711" s="1073"/>
      <c r="E711" s="1073"/>
      <c r="F711" s="1073"/>
      <c r="G711" s="1073"/>
      <c r="H711" s="1073"/>
      <c r="I711" s="1073"/>
      <c r="J711" s="1073"/>
      <c r="K711" s="1073"/>
      <c r="L711" s="1073"/>
      <c r="M711" s="1073"/>
      <c r="N711" s="1073"/>
      <c r="O711" s="1073"/>
      <c r="P711" s="1073"/>
      <c r="Q711" s="1073"/>
      <c r="R711" s="1073"/>
      <c r="S711" s="1073"/>
      <c r="T711" s="1073"/>
      <c r="U711" s="1073"/>
      <c r="V711" s="1073"/>
      <c r="W711" s="1073"/>
      <c r="X711" s="1073"/>
      <c r="Y711" s="1073"/>
      <c r="Z711" s="1073"/>
    </row>
    <row r="712" spans="1:26" ht="12.75" customHeight="1">
      <c r="A712" s="1073"/>
      <c r="B712" s="1073"/>
      <c r="C712" s="1073"/>
      <c r="D712" s="1073"/>
      <c r="E712" s="1073"/>
      <c r="F712" s="1073"/>
      <c r="G712" s="1073"/>
      <c r="H712" s="1073"/>
      <c r="I712" s="1073"/>
      <c r="J712" s="1073"/>
      <c r="K712" s="1073"/>
      <c r="L712" s="1073"/>
      <c r="M712" s="1073"/>
      <c r="N712" s="1073"/>
      <c r="O712" s="1073"/>
      <c r="P712" s="1073"/>
      <c r="Q712" s="1073"/>
      <c r="R712" s="1073"/>
      <c r="S712" s="1073"/>
      <c r="T712" s="1073"/>
      <c r="U712" s="1073"/>
      <c r="V712" s="1073"/>
      <c r="W712" s="1073"/>
      <c r="X712" s="1073"/>
      <c r="Y712" s="1073"/>
      <c r="Z712" s="1073"/>
    </row>
    <row r="713" spans="1:26" ht="12.75" customHeight="1">
      <c r="A713" s="1073"/>
      <c r="B713" s="1073"/>
      <c r="C713" s="1073"/>
      <c r="D713" s="1073"/>
      <c r="E713" s="1073"/>
      <c r="F713" s="1073"/>
      <c r="G713" s="1073"/>
      <c r="H713" s="1073"/>
      <c r="I713" s="1073"/>
      <c r="J713" s="1073"/>
      <c r="K713" s="1073"/>
      <c r="L713" s="1073"/>
      <c r="M713" s="1073"/>
      <c r="N713" s="1073"/>
      <c r="O713" s="1073"/>
      <c r="P713" s="1073"/>
      <c r="Q713" s="1073"/>
      <c r="R713" s="1073"/>
      <c r="S713" s="1073"/>
      <c r="T713" s="1073"/>
      <c r="U713" s="1073"/>
      <c r="V713" s="1073"/>
      <c r="W713" s="1073"/>
      <c r="X713" s="1073"/>
      <c r="Y713" s="1073"/>
      <c r="Z713" s="1073"/>
    </row>
    <row r="714" spans="1:26" ht="12.75" customHeight="1">
      <c r="A714" s="1073"/>
      <c r="B714" s="1073"/>
      <c r="C714" s="1073"/>
      <c r="D714" s="1073"/>
      <c r="E714" s="1073"/>
      <c r="F714" s="1073"/>
      <c r="G714" s="1073"/>
      <c r="H714" s="1073"/>
      <c r="I714" s="1073"/>
      <c r="J714" s="1073"/>
      <c r="K714" s="1073"/>
      <c r="L714" s="1073"/>
      <c r="M714" s="1073"/>
      <c r="N714" s="1073"/>
      <c r="O714" s="1073"/>
      <c r="P714" s="1073"/>
      <c r="Q714" s="1073"/>
      <c r="R714" s="1073"/>
      <c r="S714" s="1073"/>
      <c r="T714" s="1073"/>
      <c r="U714" s="1073"/>
      <c r="V714" s="1073"/>
      <c r="W714" s="1073"/>
      <c r="X714" s="1073"/>
      <c r="Y714" s="1073"/>
      <c r="Z714" s="1073"/>
    </row>
    <row r="715" spans="1:26" ht="12.75" customHeight="1">
      <c r="A715" s="1073"/>
      <c r="B715" s="1073"/>
      <c r="C715" s="1073"/>
      <c r="D715" s="1073"/>
      <c r="E715" s="1073"/>
      <c r="F715" s="1073"/>
      <c r="G715" s="1073"/>
      <c r="H715" s="1073"/>
      <c r="I715" s="1073"/>
      <c r="J715" s="1073"/>
      <c r="K715" s="1073"/>
      <c r="L715" s="1073"/>
      <c r="M715" s="1073"/>
      <c r="N715" s="1073"/>
      <c r="O715" s="1073"/>
      <c r="P715" s="1073"/>
      <c r="Q715" s="1073"/>
      <c r="R715" s="1073"/>
      <c r="S715" s="1073"/>
      <c r="T715" s="1073"/>
      <c r="U715" s="1073"/>
      <c r="V715" s="1073"/>
      <c r="W715" s="1073"/>
      <c r="X715" s="1073"/>
      <c r="Y715" s="1073"/>
      <c r="Z715" s="1073"/>
    </row>
    <row r="716" spans="1:26" ht="12.75" customHeight="1">
      <c r="A716" s="1073"/>
      <c r="B716" s="1073"/>
      <c r="C716" s="1073"/>
      <c r="D716" s="1073"/>
      <c r="E716" s="1073"/>
      <c r="F716" s="1073"/>
      <c r="G716" s="1073"/>
      <c r="H716" s="1073"/>
      <c r="I716" s="1073"/>
      <c r="J716" s="1073"/>
      <c r="K716" s="1073"/>
      <c r="L716" s="1073"/>
      <c r="M716" s="1073"/>
      <c r="N716" s="1073"/>
      <c r="O716" s="1073"/>
      <c r="P716" s="1073"/>
      <c r="Q716" s="1073"/>
      <c r="R716" s="1073"/>
      <c r="S716" s="1073"/>
      <c r="T716" s="1073"/>
      <c r="U716" s="1073"/>
      <c r="V716" s="1073"/>
      <c r="W716" s="1073"/>
      <c r="X716" s="1073"/>
      <c r="Y716" s="1073"/>
      <c r="Z716" s="1073"/>
    </row>
    <row r="717" spans="1:26" ht="12.75" customHeight="1">
      <c r="A717" s="1073"/>
      <c r="B717" s="1073"/>
      <c r="C717" s="1073"/>
      <c r="D717" s="1073"/>
      <c r="E717" s="1073"/>
      <c r="F717" s="1073"/>
      <c r="G717" s="1073"/>
      <c r="H717" s="1073"/>
      <c r="I717" s="1073"/>
      <c r="J717" s="1073"/>
      <c r="K717" s="1073"/>
      <c r="L717" s="1073"/>
      <c r="M717" s="1073"/>
      <c r="N717" s="1073"/>
      <c r="O717" s="1073"/>
      <c r="P717" s="1073"/>
      <c r="Q717" s="1073"/>
      <c r="R717" s="1073"/>
      <c r="S717" s="1073"/>
      <c r="T717" s="1073"/>
      <c r="U717" s="1073"/>
      <c r="V717" s="1073"/>
      <c r="W717" s="1073"/>
      <c r="X717" s="1073"/>
      <c r="Y717" s="1073"/>
      <c r="Z717" s="1073"/>
    </row>
    <row r="718" spans="1:26" ht="12.75" customHeight="1">
      <c r="A718" s="1073"/>
      <c r="B718" s="1073"/>
      <c r="C718" s="1073"/>
      <c r="D718" s="1073"/>
      <c r="E718" s="1073"/>
      <c r="F718" s="1073"/>
      <c r="G718" s="1073"/>
      <c r="H718" s="1073"/>
      <c r="I718" s="1073"/>
      <c r="J718" s="1073"/>
      <c r="K718" s="1073"/>
      <c r="L718" s="1073"/>
      <c r="M718" s="1073"/>
      <c r="N718" s="1073"/>
      <c r="O718" s="1073"/>
      <c r="P718" s="1073"/>
      <c r="Q718" s="1073"/>
      <c r="R718" s="1073"/>
      <c r="S718" s="1073"/>
      <c r="T718" s="1073"/>
      <c r="U718" s="1073"/>
      <c r="V718" s="1073"/>
      <c r="W718" s="1073"/>
      <c r="X718" s="1073"/>
      <c r="Y718" s="1073"/>
      <c r="Z718" s="1073"/>
    </row>
    <row r="719" spans="1:26" ht="12.75" customHeight="1">
      <c r="A719" s="1073"/>
      <c r="B719" s="1073"/>
      <c r="C719" s="1073"/>
      <c r="D719" s="1073"/>
      <c r="E719" s="1073"/>
      <c r="F719" s="1073"/>
      <c r="G719" s="1073"/>
      <c r="H719" s="1073"/>
      <c r="I719" s="1073"/>
      <c r="J719" s="1073"/>
      <c r="K719" s="1073"/>
      <c r="L719" s="1073"/>
      <c r="M719" s="1073"/>
      <c r="N719" s="1073"/>
      <c r="O719" s="1073"/>
      <c r="P719" s="1073"/>
      <c r="Q719" s="1073"/>
      <c r="R719" s="1073"/>
      <c r="S719" s="1073"/>
      <c r="T719" s="1073"/>
      <c r="U719" s="1073"/>
      <c r="V719" s="1073"/>
      <c r="W719" s="1073"/>
      <c r="X719" s="1073"/>
      <c r="Y719" s="1073"/>
      <c r="Z719" s="1073"/>
    </row>
    <row r="720" spans="1:26" ht="12.75" customHeight="1">
      <c r="A720" s="1073"/>
      <c r="B720" s="1073"/>
      <c r="C720" s="1073"/>
      <c r="D720" s="1073"/>
      <c r="E720" s="1073"/>
      <c r="F720" s="1073"/>
      <c r="G720" s="1073"/>
      <c r="H720" s="1073"/>
      <c r="I720" s="1073"/>
      <c r="J720" s="1073"/>
      <c r="K720" s="1073"/>
      <c r="L720" s="1073"/>
      <c r="M720" s="1073"/>
      <c r="N720" s="1073"/>
      <c r="O720" s="1073"/>
      <c r="P720" s="1073"/>
      <c r="Q720" s="1073"/>
      <c r="R720" s="1073"/>
      <c r="S720" s="1073"/>
      <c r="T720" s="1073"/>
      <c r="U720" s="1073"/>
      <c r="V720" s="1073"/>
      <c r="W720" s="1073"/>
      <c r="X720" s="1073"/>
      <c r="Y720" s="1073"/>
      <c r="Z720" s="1073"/>
    </row>
    <row r="721" spans="1:26" ht="12.75" customHeight="1">
      <c r="A721" s="1073"/>
      <c r="B721" s="1073"/>
      <c r="C721" s="1073"/>
      <c r="D721" s="1073"/>
      <c r="E721" s="1073"/>
      <c r="F721" s="1073"/>
      <c r="G721" s="1073"/>
      <c r="H721" s="1073"/>
      <c r="I721" s="1073"/>
      <c r="J721" s="1073"/>
      <c r="K721" s="1073"/>
      <c r="L721" s="1073"/>
      <c r="M721" s="1073"/>
      <c r="N721" s="1073"/>
      <c r="O721" s="1073"/>
      <c r="P721" s="1073"/>
      <c r="Q721" s="1073"/>
      <c r="R721" s="1073"/>
      <c r="S721" s="1073"/>
      <c r="T721" s="1073"/>
      <c r="U721" s="1073"/>
      <c r="V721" s="1073"/>
      <c r="W721" s="1073"/>
      <c r="X721" s="1073"/>
      <c r="Y721" s="1073"/>
      <c r="Z721" s="1073"/>
    </row>
    <row r="722" spans="1:26" ht="12.75" customHeight="1">
      <c r="A722" s="1073"/>
      <c r="B722" s="1073"/>
      <c r="C722" s="1073"/>
      <c r="D722" s="1073"/>
      <c r="E722" s="1073"/>
      <c r="F722" s="1073"/>
      <c r="G722" s="1073"/>
      <c r="H722" s="1073"/>
      <c r="I722" s="1073"/>
      <c r="J722" s="1073"/>
      <c r="K722" s="1073"/>
      <c r="L722" s="1073"/>
      <c r="M722" s="1073"/>
      <c r="N722" s="1073"/>
      <c r="O722" s="1073"/>
      <c r="P722" s="1073"/>
      <c r="Q722" s="1073"/>
      <c r="R722" s="1073"/>
      <c r="S722" s="1073"/>
      <c r="T722" s="1073"/>
      <c r="U722" s="1073"/>
      <c r="V722" s="1073"/>
      <c r="W722" s="1073"/>
      <c r="X722" s="1073"/>
      <c r="Y722" s="1073"/>
      <c r="Z722" s="1073"/>
    </row>
    <row r="723" spans="1:26" ht="12.75" customHeight="1">
      <c r="A723" s="1073"/>
      <c r="B723" s="1073"/>
      <c r="C723" s="1073"/>
      <c r="D723" s="1073"/>
      <c r="E723" s="1073"/>
      <c r="F723" s="1073"/>
      <c r="G723" s="1073"/>
      <c r="H723" s="1073"/>
      <c r="I723" s="1073"/>
      <c r="J723" s="1073"/>
      <c r="K723" s="1073"/>
      <c r="L723" s="1073"/>
      <c r="M723" s="1073"/>
      <c r="N723" s="1073"/>
      <c r="O723" s="1073"/>
      <c r="P723" s="1073"/>
      <c r="Q723" s="1073"/>
      <c r="R723" s="1073"/>
      <c r="S723" s="1073"/>
      <c r="T723" s="1073"/>
      <c r="U723" s="1073"/>
      <c r="V723" s="1073"/>
      <c r="W723" s="1073"/>
      <c r="X723" s="1073"/>
      <c r="Y723" s="1073"/>
      <c r="Z723" s="1073"/>
    </row>
    <row r="724" spans="1:26" ht="12.75" customHeight="1">
      <c r="A724" s="1073"/>
      <c r="B724" s="1073"/>
      <c r="C724" s="1073"/>
      <c r="D724" s="1073"/>
      <c r="E724" s="1073"/>
      <c r="F724" s="1073"/>
      <c r="G724" s="1073"/>
      <c r="H724" s="1073"/>
      <c r="I724" s="1073"/>
      <c r="J724" s="1073"/>
      <c r="K724" s="1073"/>
      <c r="L724" s="1073"/>
      <c r="M724" s="1073"/>
      <c r="N724" s="1073"/>
      <c r="O724" s="1073"/>
      <c r="P724" s="1073"/>
      <c r="Q724" s="1073"/>
      <c r="R724" s="1073"/>
      <c r="S724" s="1073"/>
      <c r="T724" s="1073"/>
      <c r="U724" s="1073"/>
      <c r="V724" s="1073"/>
      <c r="W724" s="1073"/>
      <c r="X724" s="1073"/>
      <c r="Y724" s="1073"/>
      <c r="Z724" s="1073"/>
    </row>
    <row r="725" spans="1:26" ht="12.75" customHeight="1">
      <c r="A725" s="1073"/>
      <c r="B725" s="1073"/>
      <c r="C725" s="1073"/>
      <c r="D725" s="1073"/>
      <c r="E725" s="1073"/>
      <c r="F725" s="1073"/>
      <c r="G725" s="1073"/>
      <c r="H725" s="1073"/>
      <c r="I725" s="1073"/>
      <c r="J725" s="1073"/>
      <c r="K725" s="1073"/>
      <c r="L725" s="1073"/>
      <c r="M725" s="1073"/>
      <c r="N725" s="1073"/>
      <c r="O725" s="1073"/>
      <c r="P725" s="1073"/>
      <c r="Q725" s="1073"/>
      <c r="R725" s="1073"/>
      <c r="S725" s="1073"/>
      <c r="T725" s="1073"/>
      <c r="U725" s="1073"/>
      <c r="V725" s="1073"/>
      <c r="W725" s="1073"/>
      <c r="X725" s="1073"/>
      <c r="Y725" s="1073"/>
      <c r="Z725" s="1073"/>
    </row>
    <row r="726" spans="1:26" ht="12.75" customHeight="1">
      <c r="A726" s="1073"/>
      <c r="B726" s="1073"/>
      <c r="C726" s="1073"/>
      <c r="D726" s="1073"/>
      <c r="E726" s="1073"/>
      <c r="F726" s="1073"/>
      <c r="G726" s="1073"/>
      <c r="H726" s="1073"/>
      <c r="I726" s="1073"/>
      <c r="J726" s="1073"/>
      <c r="K726" s="1073"/>
      <c r="L726" s="1073"/>
      <c r="M726" s="1073"/>
      <c r="N726" s="1073"/>
      <c r="O726" s="1073"/>
      <c r="P726" s="1073"/>
      <c r="Q726" s="1073"/>
      <c r="R726" s="1073"/>
      <c r="S726" s="1073"/>
      <c r="T726" s="1073"/>
      <c r="U726" s="1073"/>
      <c r="V726" s="1073"/>
      <c r="W726" s="1073"/>
      <c r="X726" s="1073"/>
      <c r="Y726" s="1073"/>
      <c r="Z726" s="1073"/>
    </row>
    <row r="727" spans="1:26" ht="12.75" customHeight="1">
      <c r="A727" s="1073"/>
      <c r="B727" s="1073"/>
      <c r="C727" s="1073"/>
      <c r="D727" s="1073"/>
      <c r="E727" s="1073"/>
      <c r="F727" s="1073"/>
      <c r="G727" s="1073"/>
      <c r="H727" s="1073"/>
      <c r="I727" s="1073"/>
      <c r="J727" s="1073"/>
      <c r="K727" s="1073"/>
      <c r="L727" s="1073"/>
      <c r="M727" s="1073"/>
      <c r="N727" s="1073"/>
      <c r="O727" s="1073"/>
      <c r="P727" s="1073"/>
      <c r="Q727" s="1073"/>
      <c r="R727" s="1073"/>
      <c r="S727" s="1073"/>
      <c r="T727" s="1073"/>
      <c r="U727" s="1073"/>
      <c r="V727" s="1073"/>
      <c r="W727" s="1073"/>
      <c r="X727" s="1073"/>
      <c r="Y727" s="1073"/>
      <c r="Z727" s="1073"/>
    </row>
    <row r="728" spans="1:26" ht="12.75" customHeight="1">
      <c r="A728" s="1073"/>
      <c r="B728" s="1073"/>
      <c r="C728" s="1073"/>
      <c r="D728" s="1073"/>
      <c r="E728" s="1073"/>
      <c r="F728" s="1073"/>
      <c r="G728" s="1073"/>
      <c r="H728" s="1073"/>
      <c r="I728" s="1073"/>
      <c r="J728" s="1073"/>
      <c r="K728" s="1073"/>
      <c r="L728" s="1073"/>
      <c r="M728" s="1073"/>
      <c r="N728" s="1073"/>
      <c r="O728" s="1073"/>
      <c r="P728" s="1073"/>
      <c r="Q728" s="1073"/>
      <c r="R728" s="1073"/>
      <c r="S728" s="1073"/>
      <c r="T728" s="1073"/>
      <c r="U728" s="1073"/>
      <c r="V728" s="1073"/>
      <c r="W728" s="1073"/>
      <c r="X728" s="1073"/>
      <c r="Y728" s="1073"/>
      <c r="Z728" s="1073"/>
    </row>
    <row r="729" spans="1:26" ht="12.75" customHeight="1">
      <c r="A729" s="1073"/>
      <c r="B729" s="1073"/>
      <c r="C729" s="1073"/>
      <c r="D729" s="1073"/>
      <c r="E729" s="1073"/>
      <c r="F729" s="1073"/>
      <c r="G729" s="1073"/>
      <c r="H729" s="1073"/>
      <c r="I729" s="1073"/>
      <c r="J729" s="1073"/>
      <c r="K729" s="1073"/>
      <c r="L729" s="1073"/>
      <c r="M729" s="1073"/>
      <c r="N729" s="1073"/>
      <c r="O729" s="1073"/>
      <c r="P729" s="1073"/>
      <c r="Q729" s="1073"/>
      <c r="R729" s="1073"/>
      <c r="S729" s="1073"/>
      <c r="T729" s="1073"/>
      <c r="U729" s="1073"/>
      <c r="V729" s="1073"/>
      <c r="W729" s="1073"/>
      <c r="X729" s="1073"/>
      <c r="Y729" s="1073"/>
      <c r="Z729" s="1073"/>
    </row>
    <row r="730" spans="1:26" ht="12.75" customHeight="1">
      <c r="A730" s="1073"/>
      <c r="B730" s="1073"/>
      <c r="C730" s="1073"/>
      <c r="D730" s="1073"/>
      <c r="E730" s="1073"/>
      <c r="F730" s="1073"/>
      <c r="G730" s="1073"/>
      <c r="H730" s="1073"/>
      <c r="I730" s="1073"/>
      <c r="J730" s="1073"/>
      <c r="K730" s="1073"/>
      <c r="L730" s="1073"/>
      <c r="M730" s="1073"/>
      <c r="N730" s="1073"/>
      <c r="O730" s="1073"/>
      <c r="P730" s="1073"/>
      <c r="Q730" s="1073"/>
      <c r="R730" s="1073"/>
      <c r="S730" s="1073"/>
      <c r="T730" s="1073"/>
      <c r="U730" s="1073"/>
      <c r="V730" s="1073"/>
      <c r="W730" s="1073"/>
      <c r="X730" s="1073"/>
      <c r="Y730" s="1073"/>
      <c r="Z730" s="1073"/>
    </row>
    <row r="731" spans="1:26" ht="12.75" customHeight="1">
      <c r="A731" s="1073"/>
      <c r="B731" s="1073"/>
      <c r="C731" s="1073"/>
      <c r="D731" s="1073"/>
      <c r="E731" s="1073"/>
      <c r="F731" s="1073"/>
      <c r="G731" s="1073"/>
      <c r="H731" s="1073"/>
      <c r="I731" s="1073"/>
      <c r="J731" s="1073"/>
      <c r="K731" s="1073"/>
      <c r="L731" s="1073"/>
      <c r="M731" s="1073"/>
      <c r="N731" s="1073"/>
      <c r="O731" s="1073"/>
      <c r="P731" s="1073"/>
      <c r="Q731" s="1073"/>
      <c r="R731" s="1073"/>
      <c r="S731" s="1073"/>
      <c r="T731" s="1073"/>
      <c r="U731" s="1073"/>
      <c r="V731" s="1073"/>
      <c r="W731" s="1073"/>
      <c r="X731" s="1073"/>
      <c r="Y731" s="1073"/>
      <c r="Z731" s="1073"/>
    </row>
    <row r="732" spans="1:26" ht="12.75" customHeight="1">
      <c r="A732" s="1073"/>
      <c r="B732" s="1073"/>
      <c r="C732" s="1073"/>
      <c r="D732" s="1073"/>
      <c r="E732" s="1073"/>
      <c r="F732" s="1073"/>
      <c r="G732" s="1073"/>
      <c r="H732" s="1073"/>
      <c r="I732" s="1073"/>
      <c r="J732" s="1073"/>
      <c r="K732" s="1073"/>
      <c r="L732" s="1073"/>
      <c r="M732" s="1073"/>
      <c r="N732" s="1073"/>
      <c r="O732" s="1073"/>
      <c r="P732" s="1073"/>
      <c r="Q732" s="1073"/>
      <c r="R732" s="1073"/>
      <c r="S732" s="1073"/>
      <c r="T732" s="1073"/>
      <c r="U732" s="1073"/>
      <c r="V732" s="1073"/>
      <c r="W732" s="1073"/>
      <c r="X732" s="1073"/>
      <c r="Y732" s="1073"/>
      <c r="Z732" s="1073"/>
    </row>
    <row r="733" spans="1:26" ht="12.75" customHeight="1">
      <c r="A733" s="1073"/>
      <c r="B733" s="1073"/>
      <c r="C733" s="1073"/>
      <c r="D733" s="1073"/>
      <c r="E733" s="1073"/>
      <c r="F733" s="1073"/>
      <c r="G733" s="1073"/>
      <c r="H733" s="1073"/>
      <c r="I733" s="1073"/>
      <c r="J733" s="1073"/>
      <c r="K733" s="1073"/>
      <c r="L733" s="1073"/>
      <c r="M733" s="1073"/>
      <c r="N733" s="1073"/>
      <c r="O733" s="1073"/>
      <c r="P733" s="1073"/>
      <c r="Q733" s="1073"/>
      <c r="R733" s="1073"/>
      <c r="S733" s="1073"/>
      <c r="T733" s="1073"/>
      <c r="U733" s="1073"/>
      <c r="V733" s="1073"/>
      <c r="W733" s="1073"/>
      <c r="X733" s="1073"/>
      <c r="Y733" s="1073"/>
      <c r="Z733" s="1073"/>
    </row>
    <row r="734" spans="1:26" ht="12.75" customHeight="1">
      <c r="A734" s="1073"/>
      <c r="B734" s="1073"/>
      <c r="C734" s="1073"/>
      <c r="D734" s="1073"/>
      <c r="E734" s="1073"/>
      <c r="F734" s="1073"/>
      <c r="G734" s="1073"/>
      <c r="H734" s="1073"/>
      <c r="I734" s="1073"/>
      <c r="J734" s="1073"/>
      <c r="K734" s="1073"/>
      <c r="L734" s="1073"/>
      <c r="M734" s="1073"/>
      <c r="N734" s="1073"/>
      <c r="O734" s="1073"/>
      <c r="P734" s="1073"/>
      <c r="Q734" s="1073"/>
      <c r="R734" s="1073"/>
      <c r="S734" s="1073"/>
      <c r="T734" s="1073"/>
      <c r="U734" s="1073"/>
      <c r="V734" s="1073"/>
      <c r="W734" s="1073"/>
      <c r="X734" s="1073"/>
      <c r="Y734" s="1073"/>
      <c r="Z734" s="1073"/>
    </row>
    <row r="735" spans="1:26" ht="12.75" customHeight="1">
      <c r="A735" s="1073"/>
      <c r="B735" s="1073"/>
      <c r="C735" s="1073"/>
      <c r="D735" s="1073"/>
      <c r="E735" s="1073"/>
      <c r="F735" s="1073"/>
      <c r="G735" s="1073"/>
      <c r="H735" s="1073"/>
      <c r="I735" s="1073"/>
      <c r="J735" s="1073"/>
      <c r="K735" s="1073"/>
      <c r="L735" s="1073"/>
      <c r="M735" s="1073"/>
      <c r="N735" s="1073"/>
      <c r="O735" s="1073"/>
      <c r="P735" s="1073"/>
      <c r="Q735" s="1073"/>
      <c r="R735" s="1073"/>
      <c r="S735" s="1073"/>
      <c r="T735" s="1073"/>
      <c r="U735" s="1073"/>
      <c r="V735" s="1073"/>
      <c r="W735" s="1073"/>
      <c r="X735" s="1073"/>
      <c r="Y735" s="1073"/>
      <c r="Z735" s="1073"/>
    </row>
    <row r="736" spans="1:26" ht="12.75" customHeight="1">
      <c r="A736" s="1073"/>
      <c r="B736" s="1073"/>
      <c r="C736" s="1073"/>
      <c r="D736" s="1073"/>
      <c r="E736" s="1073"/>
      <c r="F736" s="1073"/>
      <c r="G736" s="1073"/>
      <c r="H736" s="1073"/>
      <c r="I736" s="1073"/>
      <c r="J736" s="1073"/>
      <c r="K736" s="1073"/>
      <c r="L736" s="1073"/>
      <c r="M736" s="1073"/>
      <c r="N736" s="1073"/>
      <c r="O736" s="1073"/>
      <c r="P736" s="1073"/>
      <c r="Q736" s="1073"/>
      <c r="R736" s="1073"/>
      <c r="S736" s="1073"/>
      <c r="T736" s="1073"/>
      <c r="U736" s="1073"/>
      <c r="V736" s="1073"/>
      <c r="W736" s="1073"/>
      <c r="X736" s="1073"/>
      <c r="Y736" s="1073"/>
      <c r="Z736" s="1073"/>
    </row>
    <row r="737" spans="1:26" ht="12.75" customHeight="1">
      <c r="A737" s="1073"/>
      <c r="B737" s="1073"/>
      <c r="C737" s="1073"/>
      <c r="D737" s="1073"/>
      <c r="E737" s="1073"/>
      <c r="F737" s="1073"/>
      <c r="G737" s="1073"/>
      <c r="H737" s="1073"/>
      <c r="I737" s="1073"/>
      <c r="J737" s="1073"/>
      <c r="K737" s="1073"/>
      <c r="L737" s="1073"/>
      <c r="M737" s="1073"/>
      <c r="N737" s="1073"/>
      <c r="O737" s="1073"/>
      <c r="P737" s="1073"/>
      <c r="Q737" s="1073"/>
      <c r="R737" s="1073"/>
      <c r="S737" s="1073"/>
      <c r="T737" s="1073"/>
      <c r="U737" s="1073"/>
      <c r="V737" s="1073"/>
      <c r="W737" s="1073"/>
      <c r="X737" s="1073"/>
      <c r="Y737" s="1073"/>
      <c r="Z737" s="1073"/>
    </row>
    <row r="738" spans="1:26" ht="12.75" customHeight="1">
      <c r="A738" s="1073"/>
      <c r="B738" s="1073"/>
      <c r="C738" s="1073"/>
      <c r="D738" s="1073"/>
      <c r="E738" s="1073"/>
      <c r="F738" s="1073"/>
      <c r="G738" s="1073"/>
      <c r="H738" s="1073"/>
      <c r="I738" s="1073"/>
      <c r="J738" s="1073"/>
      <c r="K738" s="1073"/>
      <c r="L738" s="1073"/>
      <c r="M738" s="1073"/>
      <c r="N738" s="1073"/>
      <c r="O738" s="1073"/>
      <c r="P738" s="1073"/>
      <c r="Q738" s="1073"/>
      <c r="R738" s="1073"/>
      <c r="S738" s="1073"/>
      <c r="T738" s="1073"/>
      <c r="U738" s="1073"/>
      <c r="V738" s="1073"/>
      <c r="W738" s="1073"/>
      <c r="X738" s="1073"/>
      <c r="Y738" s="1073"/>
      <c r="Z738" s="1073"/>
    </row>
    <row r="739" spans="1:26" ht="12.75" customHeight="1">
      <c r="A739" s="1073"/>
      <c r="B739" s="1073"/>
      <c r="C739" s="1073"/>
      <c r="D739" s="1073"/>
      <c r="E739" s="1073"/>
      <c r="F739" s="1073"/>
      <c r="G739" s="1073"/>
      <c r="H739" s="1073"/>
      <c r="I739" s="1073"/>
      <c r="J739" s="1073"/>
      <c r="K739" s="1073"/>
      <c r="L739" s="1073"/>
      <c r="M739" s="1073"/>
      <c r="N739" s="1073"/>
      <c r="O739" s="1073"/>
      <c r="P739" s="1073"/>
      <c r="Q739" s="1073"/>
      <c r="R739" s="1073"/>
      <c r="S739" s="1073"/>
      <c r="T739" s="1073"/>
      <c r="U739" s="1073"/>
      <c r="V739" s="1073"/>
      <c r="W739" s="1073"/>
      <c r="X739" s="1073"/>
      <c r="Y739" s="1073"/>
      <c r="Z739" s="1073"/>
    </row>
    <row r="740" spans="1:26" ht="12.75" customHeight="1">
      <c r="A740" s="1073"/>
      <c r="B740" s="1073"/>
      <c r="C740" s="1073"/>
      <c r="D740" s="1073"/>
      <c r="E740" s="1073"/>
      <c r="F740" s="1073"/>
      <c r="G740" s="1073"/>
      <c r="H740" s="1073"/>
      <c r="I740" s="1073"/>
      <c r="J740" s="1073"/>
      <c r="K740" s="1073"/>
      <c r="L740" s="1073"/>
      <c r="M740" s="1073"/>
      <c r="N740" s="1073"/>
      <c r="O740" s="1073"/>
      <c r="P740" s="1073"/>
      <c r="Q740" s="1073"/>
      <c r="R740" s="1073"/>
      <c r="S740" s="1073"/>
      <c r="T740" s="1073"/>
      <c r="U740" s="1073"/>
      <c r="V740" s="1073"/>
      <c r="W740" s="1073"/>
      <c r="X740" s="1073"/>
      <c r="Y740" s="1073"/>
      <c r="Z740" s="1073"/>
    </row>
    <row r="741" spans="1:26" ht="12.75" customHeight="1">
      <c r="A741" s="1073"/>
      <c r="B741" s="1073"/>
      <c r="C741" s="1073"/>
      <c r="D741" s="1073"/>
      <c r="E741" s="1073"/>
      <c r="F741" s="1073"/>
      <c r="G741" s="1073"/>
      <c r="H741" s="1073"/>
      <c r="I741" s="1073"/>
      <c r="J741" s="1073"/>
      <c r="K741" s="1073"/>
      <c r="L741" s="1073"/>
      <c r="M741" s="1073"/>
      <c r="N741" s="1073"/>
      <c r="O741" s="1073"/>
      <c r="P741" s="1073"/>
      <c r="Q741" s="1073"/>
      <c r="R741" s="1073"/>
      <c r="S741" s="1073"/>
      <c r="T741" s="1073"/>
      <c r="U741" s="1073"/>
      <c r="V741" s="1073"/>
      <c r="W741" s="1073"/>
      <c r="X741" s="1073"/>
      <c r="Y741" s="1073"/>
      <c r="Z741" s="1073"/>
    </row>
    <row r="742" spans="1:26" ht="12.75" customHeight="1">
      <c r="A742" s="1073"/>
      <c r="B742" s="1073"/>
      <c r="C742" s="1073"/>
      <c r="D742" s="1073"/>
      <c r="E742" s="1073"/>
      <c r="F742" s="1073"/>
      <c r="G742" s="1073"/>
      <c r="H742" s="1073"/>
      <c r="I742" s="1073"/>
      <c r="J742" s="1073"/>
      <c r="K742" s="1073"/>
      <c r="L742" s="1073"/>
      <c r="M742" s="1073"/>
      <c r="N742" s="1073"/>
      <c r="O742" s="1073"/>
      <c r="P742" s="1073"/>
      <c r="Q742" s="1073"/>
      <c r="R742" s="1073"/>
      <c r="S742" s="1073"/>
      <c r="T742" s="1073"/>
      <c r="U742" s="1073"/>
      <c r="V742" s="1073"/>
      <c r="W742" s="1073"/>
      <c r="X742" s="1073"/>
      <c r="Y742" s="1073"/>
      <c r="Z742" s="1073"/>
    </row>
    <row r="743" spans="1:26" ht="12.75" customHeight="1">
      <c r="A743" s="1073"/>
      <c r="B743" s="1073"/>
      <c r="C743" s="1073"/>
      <c r="D743" s="1073"/>
      <c r="E743" s="1073"/>
      <c r="F743" s="1073"/>
      <c r="G743" s="1073"/>
      <c r="H743" s="1073"/>
      <c r="I743" s="1073"/>
      <c r="J743" s="1073"/>
      <c r="K743" s="1073"/>
      <c r="L743" s="1073"/>
      <c r="M743" s="1073"/>
      <c r="N743" s="1073"/>
      <c r="O743" s="1073"/>
      <c r="P743" s="1073"/>
      <c r="Q743" s="1073"/>
      <c r="R743" s="1073"/>
      <c r="S743" s="1073"/>
      <c r="T743" s="1073"/>
      <c r="U743" s="1073"/>
      <c r="V743" s="1073"/>
      <c r="W743" s="1073"/>
      <c r="X743" s="1073"/>
      <c r="Y743" s="1073"/>
      <c r="Z743" s="1073"/>
    </row>
    <row r="744" spans="1:26" ht="12.75" customHeight="1">
      <c r="A744" s="1073"/>
      <c r="B744" s="1073"/>
      <c r="C744" s="1073"/>
      <c r="D744" s="1073"/>
      <c r="E744" s="1073"/>
      <c r="F744" s="1073"/>
      <c r="G744" s="1073"/>
      <c r="H744" s="1073"/>
      <c r="I744" s="1073"/>
      <c r="J744" s="1073"/>
      <c r="K744" s="1073"/>
      <c r="L744" s="1073"/>
      <c r="M744" s="1073"/>
      <c r="N744" s="1073"/>
      <c r="O744" s="1073"/>
      <c r="P744" s="1073"/>
      <c r="Q744" s="1073"/>
      <c r="R744" s="1073"/>
      <c r="S744" s="1073"/>
      <c r="T744" s="1073"/>
      <c r="U744" s="1073"/>
      <c r="V744" s="1073"/>
      <c r="W744" s="1073"/>
      <c r="X744" s="1073"/>
      <c r="Y744" s="1073"/>
      <c r="Z744" s="1073"/>
    </row>
    <row r="745" spans="1:26" ht="12.75" customHeight="1">
      <c r="A745" s="1073"/>
      <c r="B745" s="1073"/>
      <c r="C745" s="1073"/>
      <c r="D745" s="1073"/>
      <c r="E745" s="1073"/>
      <c r="F745" s="1073"/>
      <c r="G745" s="1073"/>
      <c r="H745" s="1073"/>
      <c r="I745" s="1073"/>
      <c r="J745" s="1073"/>
      <c r="K745" s="1073"/>
      <c r="L745" s="1073"/>
      <c r="M745" s="1073"/>
      <c r="N745" s="1073"/>
      <c r="O745" s="1073"/>
      <c r="P745" s="1073"/>
      <c r="Q745" s="1073"/>
      <c r="R745" s="1073"/>
      <c r="S745" s="1073"/>
      <c r="T745" s="1073"/>
      <c r="U745" s="1073"/>
      <c r="V745" s="1073"/>
      <c r="W745" s="1073"/>
      <c r="X745" s="1073"/>
      <c r="Y745" s="1073"/>
      <c r="Z745" s="1073"/>
    </row>
    <row r="746" spans="1:26" ht="12.75" customHeight="1">
      <c r="A746" s="1073"/>
      <c r="B746" s="1073"/>
      <c r="C746" s="1073"/>
      <c r="D746" s="1073"/>
      <c r="E746" s="1073"/>
      <c r="F746" s="1073"/>
      <c r="G746" s="1073"/>
      <c r="H746" s="1073"/>
      <c r="I746" s="1073"/>
      <c r="J746" s="1073"/>
      <c r="K746" s="1073"/>
      <c r="L746" s="1073"/>
      <c r="M746" s="1073"/>
      <c r="N746" s="1073"/>
      <c r="O746" s="1073"/>
      <c r="P746" s="1073"/>
      <c r="Q746" s="1073"/>
      <c r="R746" s="1073"/>
      <c r="S746" s="1073"/>
      <c r="T746" s="1073"/>
      <c r="U746" s="1073"/>
      <c r="V746" s="1073"/>
      <c r="W746" s="1073"/>
      <c r="X746" s="1073"/>
      <c r="Y746" s="1073"/>
      <c r="Z746" s="1073"/>
    </row>
    <row r="747" spans="1:26" ht="12.75" customHeight="1">
      <c r="A747" s="1073"/>
      <c r="B747" s="1073"/>
      <c r="C747" s="1073"/>
      <c r="D747" s="1073"/>
      <c r="E747" s="1073"/>
      <c r="F747" s="1073"/>
      <c r="G747" s="1073"/>
      <c r="H747" s="1073"/>
      <c r="I747" s="1073"/>
      <c r="J747" s="1073"/>
      <c r="K747" s="1073"/>
      <c r="L747" s="1073"/>
      <c r="M747" s="1073"/>
      <c r="N747" s="1073"/>
      <c r="O747" s="1073"/>
      <c r="P747" s="1073"/>
      <c r="Q747" s="1073"/>
      <c r="R747" s="1073"/>
      <c r="S747" s="1073"/>
      <c r="T747" s="1073"/>
      <c r="U747" s="1073"/>
      <c r="V747" s="1073"/>
      <c r="W747" s="1073"/>
      <c r="X747" s="1073"/>
      <c r="Y747" s="1073"/>
      <c r="Z747" s="1073"/>
    </row>
    <row r="748" spans="1:26" ht="12.75" customHeight="1">
      <c r="A748" s="1073"/>
      <c r="B748" s="1073"/>
      <c r="C748" s="1073"/>
      <c r="D748" s="1073"/>
      <c r="E748" s="1073"/>
      <c r="F748" s="1073"/>
      <c r="G748" s="1073"/>
      <c r="H748" s="1073"/>
      <c r="I748" s="1073"/>
      <c r="J748" s="1073"/>
      <c r="K748" s="1073"/>
      <c r="L748" s="1073"/>
      <c r="M748" s="1073"/>
      <c r="N748" s="1073"/>
      <c r="O748" s="1073"/>
      <c r="P748" s="1073"/>
      <c r="Q748" s="1073"/>
      <c r="R748" s="1073"/>
      <c r="S748" s="1073"/>
      <c r="T748" s="1073"/>
      <c r="U748" s="1073"/>
      <c r="V748" s="1073"/>
      <c r="W748" s="1073"/>
      <c r="X748" s="1073"/>
      <c r="Y748" s="1073"/>
      <c r="Z748" s="1073"/>
    </row>
    <row r="749" spans="1:26" ht="12.75" customHeight="1">
      <c r="A749" s="1073"/>
      <c r="B749" s="1073"/>
      <c r="C749" s="1073"/>
      <c r="D749" s="1073"/>
      <c r="E749" s="1073"/>
      <c r="F749" s="1073"/>
      <c r="G749" s="1073"/>
      <c r="H749" s="1073"/>
      <c r="I749" s="1073"/>
      <c r="J749" s="1073"/>
      <c r="K749" s="1073"/>
      <c r="L749" s="1073"/>
      <c r="M749" s="1073"/>
      <c r="N749" s="1073"/>
      <c r="O749" s="1073"/>
      <c r="P749" s="1073"/>
      <c r="Q749" s="1073"/>
      <c r="R749" s="1073"/>
      <c r="S749" s="1073"/>
      <c r="T749" s="1073"/>
      <c r="U749" s="1073"/>
      <c r="V749" s="1073"/>
      <c r="W749" s="1073"/>
      <c r="X749" s="1073"/>
      <c r="Y749" s="1073"/>
      <c r="Z749" s="1073"/>
    </row>
    <row r="750" spans="1:26" ht="12.75" customHeight="1">
      <c r="A750" s="1073"/>
      <c r="B750" s="1073"/>
      <c r="C750" s="1073"/>
      <c r="D750" s="1073"/>
      <c r="E750" s="1073"/>
      <c r="F750" s="1073"/>
      <c r="G750" s="1073"/>
      <c r="H750" s="1073"/>
      <c r="I750" s="1073"/>
      <c r="J750" s="1073"/>
      <c r="K750" s="1073"/>
      <c r="L750" s="1073"/>
      <c r="M750" s="1073"/>
      <c r="N750" s="1073"/>
      <c r="O750" s="1073"/>
      <c r="P750" s="1073"/>
      <c r="Q750" s="1073"/>
      <c r="R750" s="1073"/>
      <c r="S750" s="1073"/>
      <c r="T750" s="1073"/>
      <c r="U750" s="1073"/>
      <c r="V750" s="1073"/>
      <c r="W750" s="1073"/>
      <c r="X750" s="1073"/>
      <c r="Y750" s="1073"/>
      <c r="Z750" s="1073"/>
    </row>
    <row r="751" spans="1:26" ht="12.75" customHeight="1">
      <c r="A751" s="1073"/>
      <c r="B751" s="1073"/>
      <c r="C751" s="1073"/>
      <c r="D751" s="1073"/>
      <c r="E751" s="1073"/>
      <c r="F751" s="1073"/>
      <c r="G751" s="1073"/>
      <c r="H751" s="1073"/>
      <c r="I751" s="1073"/>
      <c r="J751" s="1073"/>
      <c r="K751" s="1073"/>
      <c r="L751" s="1073"/>
      <c r="M751" s="1073"/>
      <c r="N751" s="1073"/>
      <c r="O751" s="1073"/>
      <c r="P751" s="1073"/>
      <c r="Q751" s="1073"/>
      <c r="R751" s="1073"/>
      <c r="S751" s="1073"/>
      <c r="T751" s="1073"/>
      <c r="U751" s="1073"/>
      <c r="V751" s="1073"/>
      <c r="W751" s="1073"/>
      <c r="X751" s="1073"/>
      <c r="Y751" s="1073"/>
      <c r="Z751" s="1073"/>
    </row>
    <row r="752" spans="1:26" ht="12.75" customHeight="1">
      <c r="A752" s="1073"/>
      <c r="B752" s="1073"/>
      <c r="C752" s="1073"/>
      <c r="D752" s="1073"/>
      <c r="E752" s="1073"/>
      <c r="F752" s="1073"/>
      <c r="G752" s="1073"/>
      <c r="H752" s="1073"/>
      <c r="I752" s="1073"/>
      <c r="J752" s="1073"/>
      <c r="K752" s="1073"/>
      <c r="L752" s="1073"/>
      <c r="M752" s="1073"/>
      <c r="N752" s="1073"/>
      <c r="O752" s="1073"/>
      <c r="P752" s="1073"/>
      <c r="Q752" s="1073"/>
      <c r="R752" s="1073"/>
      <c r="S752" s="1073"/>
      <c r="T752" s="1073"/>
      <c r="U752" s="1073"/>
      <c r="V752" s="1073"/>
      <c r="W752" s="1073"/>
      <c r="X752" s="1073"/>
      <c r="Y752" s="1073"/>
      <c r="Z752" s="1073"/>
    </row>
    <row r="753" spans="1:26" ht="12.75" customHeight="1">
      <c r="A753" s="1073"/>
      <c r="B753" s="1073"/>
      <c r="C753" s="1073"/>
      <c r="D753" s="1073"/>
      <c r="E753" s="1073"/>
      <c r="F753" s="1073"/>
      <c r="G753" s="1073"/>
      <c r="H753" s="1073"/>
      <c r="I753" s="1073"/>
      <c r="J753" s="1073"/>
      <c r="K753" s="1073"/>
      <c r="L753" s="1073"/>
      <c r="M753" s="1073"/>
      <c r="N753" s="1073"/>
      <c r="O753" s="1073"/>
      <c r="P753" s="1073"/>
      <c r="Q753" s="1073"/>
      <c r="R753" s="1073"/>
      <c r="S753" s="1073"/>
      <c r="T753" s="1073"/>
      <c r="U753" s="1073"/>
      <c r="V753" s="1073"/>
      <c r="W753" s="1073"/>
      <c r="X753" s="1073"/>
      <c r="Y753" s="1073"/>
      <c r="Z753" s="1073"/>
    </row>
    <row r="754" spans="1:26" ht="12.75" customHeight="1">
      <c r="A754" s="1073"/>
      <c r="B754" s="1073"/>
      <c r="C754" s="1073"/>
      <c r="D754" s="1073"/>
      <c r="E754" s="1073"/>
      <c r="F754" s="1073"/>
      <c r="G754" s="1073"/>
      <c r="H754" s="1073"/>
      <c r="I754" s="1073"/>
      <c r="J754" s="1073"/>
      <c r="K754" s="1073"/>
      <c r="L754" s="1073"/>
      <c r="M754" s="1073"/>
      <c r="N754" s="1073"/>
      <c r="O754" s="1073"/>
      <c r="P754" s="1073"/>
      <c r="Q754" s="1073"/>
      <c r="R754" s="1073"/>
      <c r="S754" s="1073"/>
      <c r="T754" s="1073"/>
      <c r="U754" s="1073"/>
      <c r="V754" s="1073"/>
      <c r="W754" s="1073"/>
      <c r="X754" s="1073"/>
      <c r="Y754" s="1073"/>
      <c r="Z754" s="1073"/>
    </row>
    <row r="755" spans="1:26" ht="12.75" customHeight="1">
      <c r="A755" s="1073"/>
      <c r="B755" s="1073"/>
      <c r="C755" s="1073"/>
      <c r="D755" s="1073"/>
      <c r="E755" s="1073"/>
      <c r="F755" s="1073"/>
      <c r="G755" s="1073"/>
      <c r="H755" s="1073"/>
      <c r="I755" s="1073"/>
      <c r="J755" s="1073"/>
      <c r="K755" s="1073"/>
      <c r="L755" s="1073"/>
      <c r="M755" s="1073"/>
      <c r="N755" s="1073"/>
      <c r="O755" s="1073"/>
      <c r="P755" s="1073"/>
      <c r="Q755" s="1073"/>
      <c r="R755" s="1073"/>
      <c r="S755" s="1073"/>
      <c r="T755" s="1073"/>
      <c r="U755" s="1073"/>
      <c r="V755" s="1073"/>
      <c r="W755" s="1073"/>
      <c r="X755" s="1073"/>
      <c r="Y755" s="1073"/>
      <c r="Z755" s="1073"/>
    </row>
    <row r="756" spans="1:26" ht="12.75" customHeight="1">
      <c r="A756" s="1073"/>
      <c r="B756" s="1073"/>
      <c r="C756" s="1073"/>
      <c r="D756" s="1073"/>
      <c r="E756" s="1073"/>
      <c r="F756" s="1073"/>
      <c r="G756" s="1073"/>
      <c r="H756" s="1073"/>
      <c r="I756" s="1073"/>
      <c r="J756" s="1073"/>
      <c r="K756" s="1073"/>
      <c r="L756" s="1073"/>
      <c r="M756" s="1073"/>
      <c r="N756" s="1073"/>
      <c r="O756" s="1073"/>
      <c r="P756" s="1073"/>
      <c r="Q756" s="1073"/>
      <c r="R756" s="1073"/>
      <c r="S756" s="1073"/>
      <c r="T756" s="1073"/>
      <c r="U756" s="1073"/>
      <c r="V756" s="1073"/>
      <c r="W756" s="1073"/>
      <c r="X756" s="1073"/>
      <c r="Y756" s="1073"/>
      <c r="Z756" s="1073"/>
    </row>
    <row r="757" spans="1:26" ht="12.75" customHeight="1">
      <c r="A757" s="1073"/>
      <c r="B757" s="1073"/>
      <c r="C757" s="1073"/>
      <c r="D757" s="1073"/>
      <c r="E757" s="1073"/>
      <c r="F757" s="1073"/>
      <c r="G757" s="1073"/>
      <c r="H757" s="1073"/>
      <c r="I757" s="1073"/>
      <c r="J757" s="1073"/>
      <c r="K757" s="1073"/>
      <c r="L757" s="1073"/>
      <c r="M757" s="1073"/>
      <c r="N757" s="1073"/>
      <c r="O757" s="1073"/>
      <c r="P757" s="1073"/>
      <c r="Q757" s="1073"/>
      <c r="R757" s="1073"/>
      <c r="S757" s="1073"/>
      <c r="T757" s="1073"/>
      <c r="U757" s="1073"/>
      <c r="V757" s="1073"/>
      <c r="W757" s="1073"/>
      <c r="X757" s="1073"/>
      <c r="Y757" s="1073"/>
      <c r="Z757" s="1073"/>
    </row>
    <row r="758" spans="1:26" ht="12.75" customHeight="1">
      <c r="A758" s="1073"/>
      <c r="B758" s="1073"/>
      <c r="C758" s="1073"/>
      <c r="D758" s="1073"/>
      <c r="E758" s="1073"/>
      <c r="F758" s="1073"/>
      <c r="G758" s="1073"/>
      <c r="H758" s="1073"/>
      <c r="I758" s="1073"/>
      <c r="J758" s="1073"/>
      <c r="K758" s="1073"/>
      <c r="L758" s="1073"/>
      <c r="M758" s="1073"/>
      <c r="N758" s="1073"/>
      <c r="O758" s="1073"/>
      <c r="P758" s="1073"/>
      <c r="Q758" s="1073"/>
      <c r="R758" s="1073"/>
      <c r="S758" s="1073"/>
      <c r="T758" s="1073"/>
      <c r="U758" s="1073"/>
      <c r="V758" s="1073"/>
      <c r="W758" s="1073"/>
      <c r="X758" s="1073"/>
      <c r="Y758" s="1073"/>
      <c r="Z758" s="1073"/>
    </row>
    <row r="759" spans="1:26" ht="12.75" customHeight="1">
      <c r="A759" s="1073"/>
      <c r="B759" s="1073"/>
      <c r="C759" s="1073"/>
      <c r="D759" s="1073"/>
      <c r="E759" s="1073"/>
      <c r="F759" s="1073"/>
      <c r="G759" s="1073"/>
      <c r="H759" s="1073"/>
      <c r="I759" s="1073"/>
      <c r="J759" s="1073"/>
      <c r="K759" s="1073"/>
      <c r="L759" s="1073"/>
      <c r="M759" s="1073"/>
      <c r="N759" s="1073"/>
      <c r="O759" s="1073"/>
      <c r="P759" s="1073"/>
      <c r="Q759" s="1073"/>
      <c r="R759" s="1073"/>
      <c r="S759" s="1073"/>
      <c r="T759" s="1073"/>
      <c r="U759" s="1073"/>
      <c r="V759" s="1073"/>
      <c r="W759" s="1073"/>
      <c r="X759" s="1073"/>
      <c r="Y759" s="1073"/>
      <c r="Z759" s="1073"/>
    </row>
    <row r="760" spans="1:26" ht="12.75" customHeight="1">
      <c r="A760" s="1073"/>
      <c r="B760" s="1073"/>
      <c r="C760" s="1073"/>
      <c r="D760" s="1073"/>
      <c r="E760" s="1073"/>
      <c r="F760" s="1073"/>
      <c r="G760" s="1073"/>
      <c r="H760" s="1073"/>
      <c r="I760" s="1073"/>
      <c r="J760" s="1073"/>
      <c r="K760" s="1073"/>
      <c r="L760" s="1073"/>
      <c r="M760" s="1073"/>
      <c r="N760" s="1073"/>
      <c r="O760" s="1073"/>
      <c r="P760" s="1073"/>
      <c r="Q760" s="1073"/>
      <c r="R760" s="1073"/>
      <c r="S760" s="1073"/>
      <c r="T760" s="1073"/>
      <c r="U760" s="1073"/>
      <c r="V760" s="1073"/>
      <c r="W760" s="1073"/>
      <c r="X760" s="1073"/>
      <c r="Y760" s="1073"/>
      <c r="Z760" s="1073"/>
    </row>
    <row r="761" spans="1:26" ht="12.75" customHeight="1">
      <c r="A761" s="1073"/>
      <c r="B761" s="1073"/>
      <c r="C761" s="1073"/>
      <c r="D761" s="1073"/>
      <c r="E761" s="1073"/>
      <c r="F761" s="1073"/>
      <c r="G761" s="1073"/>
      <c r="H761" s="1073"/>
      <c r="I761" s="1073"/>
      <c r="J761" s="1073"/>
      <c r="K761" s="1073"/>
      <c r="L761" s="1073"/>
      <c r="M761" s="1073"/>
      <c r="N761" s="1073"/>
      <c r="O761" s="1073"/>
      <c r="P761" s="1073"/>
      <c r="Q761" s="1073"/>
      <c r="R761" s="1073"/>
      <c r="S761" s="1073"/>
      <c r="T761" s="1073"/>
      <c r="U761" s="1073"/>
      <c r="V761" s="1073"/>
      <c r="W761" s="1073"/>
      <c r="X761" s="1073"/>
      <c r="Y761" s="1073"/>
      <c r="Z761" s="1073"/>
    </row>
    <row r="762" spans="1:26" ht="12.75" customHeight="1">
      <c r="A762" s="1073"/>
      <c r="B762" s="1073"/>
      <c r="C762" s="1073"/>
      <c r="D762" s="1073"/>
      <c r="E762" s="1073"/>
      <c r="F762" s="1073"/>
      <c r="G762" s="1073"/>
      <c r="H762" s="1073"/>
      <c r="I762" s="1073"/>
      <c r="J762" s="1073"/>
      <c r="K762" s="1073"/>
      <c r="L762" s="1073"/>
      <c r="M762" s="1073"/>
      <c r="N762" s="1073"/>
      <c r="O762" s="1073"/>
      <c r="P762" s="1073"/>
      <c r="Q762" s="1073"/>
      <c r="R762" s="1073"/>
      <c r="S762" s="1073"/>
      <c r="T762" s="1073"/>
      <c r="U762" s="1073"/>
      <c r="V762" s="1073"/>
      <c r="W762" s="1073"/>
      <c r="X762" s="1073"/>
      <c r="Y762" s="1073"/>
      <c r="Z762" s="1073"/>
    </row>
    <row r="763" spans="1:26" ht="12.75" customHeight="1">
      <c r="A763" s="1073"/>
      <c r="B763" s="1073"/>
      <c r="C763" s="1073"/>
      <c r="D763" s="1073"/>
      <c r="E763" s="1073"/>
      <c r="F763" s="1073"/>
      <c r="G763" s="1073"/>
      <c r="H763" s="1073"/>
      <c r="I763" s="1073"/>
      <c r="J763" s="1073"/>
      <c r="K763" s="1073"/>
      <c r="L763" s="1073"/>
      <c r="M763" s="1073"/>
      <c r="N763" s="1073"/>
      <c r="O763" s="1073"/>
      <c r="P763" s="1073"/>
      <c r="Q763" s="1073"/>
      <c r="R763" s="1073"/>
      <c r="S763" s="1073"/>
      <c r="T763" s="1073"/>
      <c r="U763" s="1073"/>
      <c r="V763" s="1073"/>
      <c r="W763" s="1073"/>
      <c r="X763" s="1073"/>
      <c r="Y763" s="1073"/>
      <c r="Z763" s="1073"/>
    </row>
    <row r="764" spans="1:26" ht="12.75" customHeight="1">
      <c r="A764" s="1073"/>
      <c r="B764" s="1073"/>
      <c r="C764" s="1073"/>
      <c r="D764" s="1073"/>
      <c r="E764" s="1073"/>
      <c r="F764" s="1073"/>
      <c r="G764" s="1073"/>
      <c r="H764" s="1073"/>
      <c r="I764" s="1073"/>
      <c r="J764" s="1073"/>
      <c r="K764" s="1073"/>
      <c r="L764" s="1073"/>
      <c r="M764" s="1073"/>
      <c r="N764" s="1073"/>
      <c r="O764" s="1073"/>
      <c r="P764" s="1073"/>
      <c r="Q764" s="1073"/>
      <c r="R764" s="1073"/>
      <c r="S764" s="1073"/>
      <c r="T764" s="1073"/>
      <c r="U764" s="1073"/>
      <c r="V764" s="1073"/>
      <c r="W764" s="1073"/>
      <c r="X764" s="1073"/>
      <c r="Y764" s="1073"/>
      <c r="Z764" s="1073"/>
    </row>
    <row r="765" spans="1:26" ht="12.75" customHeight="1">
      <c r="A765" s="1073"/>
      <c r="B765" s="1073"/>
      <c r="C765" s="1073"/>
      <c r="D765" s="1073"/>
      <c r="E765" s="1073"/>
      <c r="F765" s="1073"/>
      <c r="G765" s="1073"/>
      <c r="H765" s="1073"/>
      <c r="I765" s="1073"/>
      <c r="J765" s="1073"/>
      <c r="K765" s="1073"/>
      <c r="L765" s="1073"/>
      <c r="M765" s="1073"/>
      <c r="N765" s="1073"/>
      <c r="O765" s="1073"/>
      <c r="P765" s="1073"/>
      <c r="Q765" s="1073"/>
      <c r="R765" s="1073"/>
      <c r="S765" s="1073"/>
      <c r="T765" s="1073"/>
      <c r="U765" s="1073"/>
      <c r="V765" s="1073"/>
      <c r="W765" s="1073"/>
      <c r="X765" s="1073"/>
      <c r="Y765" s="1073"/>
      <c r="Z765" s="1073"/>
    </row>
    <row r="766" spans="1:26" ht="12.75" customHeight="1">
      <c r="A766" s="1073"/>
      <c r="B766" s="1073"/>
      <c r="C766" s="1073"/>
      <c r="D766" s="1073"/>
      <c r="E766" s="1073"/>
      <c r="F766" s="1073"/>
      <c r="G766" s="1073"/>
      <c r="H766" s="1073"/>
      <c r="I766" s="1073"/>
      <c r="J766" s="1073"/>
      <c r="K766" s="1073"/>
      <c r="L766" s="1073"/>
      <c r="M766" s="1073"/>
      <c r="N766" s="1073"/>
      <c r="O766" s="1073"/>
      <c r="P766" s="1073"/>
      <c r="Q766" s="1073"/>
      <c r="R766" s="1073"/>
      <c r="S766" s="1073"/>
      <c r="T766" s="1073"/>
      <c r="U766" s="1073"/>
      <c r="V766" s="1073"/>
      <c r="W766" s="1073"/>
      <c r="X766" s="1073"/>
      <c r="Y766" s="1073"/>
      <c r="Z766" s="1073"/>
    </row>
    <row r="767" spans="1:26" ht="12.75" customHeight="1">
      <c r="A767" s="1073"/>
      <c r="B767" s="1073"/>
      <c r="C767" s="1073"/>
      <c r="D767" s="1073"/>
      <c r="E767" s="1073"/>
      <c r="F767" s="1073"/>
      <c r="G767" s="1073"/>
      <c r="H767" s="1073"/>
      <c r="I767" s="1073"/>
      <c r="J767" s="1073"/>
      <c r="K767" s="1073"/>
      <c r="L767" s="1073"/>
      <c r="M767" s="1073"/>
      <c r="N767" s="1073"/>
      <c r="O767" s="1073"/>
      <c r="P767" s="1073"/>
      <c r="Q767" s="1073"/>
      <c r="R767" s="1073"/>
      <c r="S767" s="1073"/>
      <c r="T767" s="1073"/>
      <c r="U767" s="1073"/>
      <c r="V767" s="1073"/>
      <c r="W767" s="1073"/>
      <c r="X767" s="1073"/>
      <c r="Y767" s="1073"/>
      <c r="Z767" s="1073"/>
    </row>
    <row r="768" spans="1:26" ht="12.75" customHeight="1">
      <c r="A768" s="1073"/>
      <c r="B768" s="1073"/>
      <c r="C768" s="1073"/>
      <c r="D768" s="1073"/>
      <c r="E768" s="1073"/>
      <c r="F768" s="1073"/>
      <c r="G768" s="1073"/>
      <c r="H768" s="1073"/>
      <c r="I768" s="1073"/>
      <c r="J768" s="1073"/>
      <c r="K768" s="1073"/>
      <c r="L768" s="1073"/>
      <c r="M768" s="1073"/>
      <c r="N768" s="1073"/>
      <c r="O768" s="1073"/>
      <c r="P768" s="1073"/>
      <c r="Q768" s="1073"/>
      <c r="R768" s="1073"/>
      <c r="S768" s="1073"/>
      <c r="T768" s="1073"/>
      <c r="U768" s="1073"/>
      <c r="V768" s="1073"/>
      <c r="W768" s="1073"/>
      <c r="X768" s="1073"/>
      <c r="Y768" s="1073"/>
      <c r="Z768" s="1073"/>
    </row>
    <row r="769" spans="1:26" ht="12.75" customHeight="1">
      <c r="A769" s="1073"/>
      <c r="B769" s="1073"/>
      <c r="C769" s="1073"/>
      <c r="D769" s="1073"/>
      <c r="E769" s="1073"/>
      <c r="F769" s="1073"/>
      <c r="G769" s="1073"/>
      <c r="H769" s="1073"/>
      <c r="I769" s="1073"/>
      <c r="J769" s="1073"/>
      <c r="K769" s="1073"/>
      <c r="L769" s="1073"/>
      <c r="M769" s="1073"/>
      <c r="N769" s="1073"/>
      <c r="O769" s="1073"/>
      <c r="P769" s="1073"/>
      <c r="Q769" s="1073"/>
      <c r="R769" s="1073"/>
      <c r="S769" s="1073"/>
      <c r="T769" s="1073"/>
      <c r="U769" s="1073"/>
      <c r="V769" s="1073"/>
      <c r="W769" s="1073"/>
      <c r="X769" s="1073"/>
      <c r="Y769" s="1073"/>
      <c r="Z769" s="1073"/>
    </row>
    <row r="770" spans="1:26" ht="12.75" customHeight="1">
      <c r="A770" s="1073"/>
      <c r="B770" s="1073"/>
      <c r="C770" s="1073"/>
      <c r="D770" s="1073"/>
      <c r="E770" s="1073"/>
      <c r="F770" s="1073"/>
      <c r="G770" s="1073"/>
      <c r="H770" s="1073"/>
      <c r="I770" s="1073"/>
      <c r="J770" s="1073"/>
      <c r="K770" s="1073"/>
      <c r="L770" s="1073"/>
      <c r="M770" s="1073"/>
      <c r="N770" s="1073"/>
      <c r="O770" s="1073"/>
      <c r="P770" s="1073"/>
      <c r="Q770" s="1073"/>
      <c r="R770" s="1073"/>
      <c r="S770" s="1073"/>
      <c r="T770" s="1073"/>
      <c r="U770" s="1073"/>
      <c r="V770" s="1073"/>
      <c r="W770" s="1073"/>
      <c r="X770" s="1073"/>
      <c r="Y770" s="1073"/>
      <c r="Z770" s="1073"/>
    </row>
    <row r="771" spans="1:26" ht="12.75" customHeight="1">
      <c r="A771" s="1073"/>
      <c r="B771" s="1073"/>
      <c r="C771" s="1073"/>
      <c r="D771" s="1073"/>
      <c r="E771" s="1073"/>
      <c r="F771" s="1073"/>
      <c r="G771" s="1073"/>
      <c r="H771" s="1073"/>
      <c r="I771" s="1073"/>
      <c r="J771" s="1073"/>
      <c r="K771" s="1073"/>
      <c r="L771" s="1073"/>
      <c r="M771" s="1073"/>
      <c r="N771" s="1073"/>
      <c r="O771" s="1073"/>
      <c r="P771" s="1073"/>
      <c r="Q771" s="1073"/>
      <c r="R771" s="1073"/>
      <c r="S771" s="1073"/>
      <c r="T771" s="1073"/>
      <c r="U771" s="1073"/>
      <c r="V771" s="1073"/>
      <c r="W771" s="1073"/>
      <c r="X771" s="1073"/>
      <c r="Y771" s="1073"/>
      <c r="Z771" s="1073"/>
    </row>
    <row r="772" spans="1:26" ht="12.75" customHeight="1">
      <c r="A772" s="1073"/>
      <c r="B772" s="1073"/>
      <c r="C772" s="1073"/>
      <c r="D772" s="1073"/>
      <c r="E772" s="1073"/>
      <c r="F772" s="1073"/>
      <c r="G772" s="1073"/>
      <c r="H772" s="1073"/>
      <c r="I772" s="1073"/>
      <c r="J772" s="1073"/>
      <c r="K772" s="1073"/>
      <c r="L772" s="1073"/>
      <c r="M772" s="1073"/>
      <c r="N772" s="1073"/>
      <c r="O772" s="1073"/>
      <c r="P772" s="1073"/>
      <c r="Q772" s="1073"/>
      <c r="R772" s="1073"/>
      <c r="S772" s="1073"/>
      <c r="T772" s="1073"/>
      <c r="U772" s="1073"/>
      <c r="V772" s="1073"/>
      <c r="W772" s="1073"/>
      <c r="X772" s="1073"/>
      <c r="Y772" s="1073"/>
      <c r="Z772" s="1073"/>
    </row>
    <row r="773" spans="1:26" ht="12.75" customHeight="1">
      <c r="A773" s="1073"/>
      <c r="B773" s="1073"/>
      <c r="C773" s="1073"/>
      <c r="D773" s="1073"/>
      <c r="E773" s="1073"/>
      <c r="F773" s="1073"/>
      <c r="G773" s="1073"/>
      <c r="H773" s="1073"/>
      <c r="I773" s="1073"/>
      <c r="J773" s="1073"/>
      <c r="K773" s="1073"/>
      <c r="L773" s="1073"/>
      <c r="M773" s="1073"/>
      <c r="N773" s="1073"/>
      <c r="O773" s="1073"/>
      <c r="P773" s="1073"/>
      <c r="Q773" s="1073"/>
      <c r="R773" s="1073"/>
      <c r="S773" s="1073"/>
      <c r="T773" s="1073"/>
      <c r="U773" s="1073"/>
      <c r="V773" s="1073"/>
      <c r="W773" s="1073"/>
      <c r="X773" s="1073"/>
      <c r="Y773" s="1073"/>
      <c r="Z773" s="1073"/>
    </row>
    <row r="774" spans="1:26" ht="12.75" customHeight="1">
      <c r="A774" s="1073"/>
      <c r="B774" s="1073"/>
      <c r="C774" s="1073"/>
      <c r="D774" s="1073"/>
      <c r="E774" s="1073"/>
      <c r="F774" s="1073"/>
      <c r="G774" s="1073"/>
      <c r="H774" s="1073"/>
      <c r="I774" s="1073"/>
      <c r="J774" s="1073"/>
      <c r="K774" s="1073"/>
      <c r="L774" s="1073"/>
      <c r="M774" s="1073"/>
      <c r="N774" s="1073"/>
      <c r="O774" s="1073"/>
      <c r="P774" s="1073"/>
      <c r="Q774" s="1073"/>
      <c r="R774" s="1073"/>
      <c r="S774" s="1073"/>
      <c r="T774" s="1073"/>
      <c r="U774" s="1073"/>
      <c r="V774" s="1073"/>
      <c r="W774" s="1073"/>
      <c r="X774" s="1073"/>
      <c r="Y774" s="1073"/>
      <c r="Z774" s="1073"/>
    </row>
    <row r="775" spans="1:26" ht="12.75" customHeight="1">
      <c r="A775" s="1073"/>
      <c r="B775" s="1073"/>
      <c r="C775" s="1073"/>
      <c r="D775" s="1073"/>
      <c r="E775" s="1073"/>
      <c r="F775" s="1073"/>
      <c r="G775" s="1073"/>
      <c r="H775" s="1073"/>
      <c r="I775" s="1073"/>
      <c r="J775" s="1073"/>
      <c r="K775" s="1073"/>
      <c r="L775" s="1073"/>
      <c r="M775" s="1073"/>
      <c r="N775" s="1073"/>
      <c r="O775" s="1073"/>
      <c r="P775" s="1073"/>
      <c r="Q775" s="1073"/>
      <c r="R775" s="1073"/>
      <c r="S775" s="1073"/>
      <c r="T775" s="1073"/>
      <c r="U775" s="1073"/>
      <c r="V775" s="1073"/>
      <c r="W775" s="1073"/>
      <c r="X775" s="1073"/>
      <c r="Y775" s="1073"/>
      <c r="Z775" s="1073"/>
    </row>
    <row r="776" spans="1:26" ht="12.75" customHeight="1">
      <c r="A776" s="1073"/>
      <c r="B776" s="1073"/>
      <c r="C776" s="1073"/>
      <c r="D776" s="1073"/>
      <c r="E776" s="1073"/>
      <c r="F776" s="1073"/>
      <c r="G776" s="1073"/>
      <c r="H776" s="1073"/>
      <c r="I776" s="1073"/>
      <c r="J776" s="1073"/>
      <c r="K776" s="1073"/>
      <c r="L776" s="1073"/>
      <c r="M776" s="1073"/>
      <c r="N776" s="1073"/>
      <c r="O776" s="1073"/>
      <c r="P776" s="1073"/>
      <c r="Q776" s="1073"/>
      <c r="R776" s="1073"/>
      <c r="S776" s="1073"/>
      <c r="T776" s="1073"/>
      <c r="U776" s="1073"/>
      <c r="V776" s="1073"/>
      <c r="W776" s="1073"/>
      <c r="X776" s="1073"/>
      <c r="Y776" s="1073"/>
      <c r="Z776" s="1073"/>
    </row>
    <row r="777" spans="1:26" ht="12.75" customHeight="1">
      <c r="A777" s="1073"/>
      <c r="B777" s="1073"/>
      <c r="C777" s="1073"/>
      <c r="D777" s="1073"/>
      <c r="E777" s="1073"/>
      <c r="F777" s="1073"/>
      <c r="G777" s="1073"/>
      <c r="H777" s="1073"/>
      <c r="I777" s="1073"/>
      <c r="J777" s="1073"/>
      <c r="K777" s="1073"/>
      <c r="L777" s="1073"/>
      <c r="M777" s="1073"/>
      <c r="N777" s="1073"/>
      <c r="O777" s="1073"/>
      <c r="P777" s="1073"/>
      <c r="Q777" s="1073"/>
      <c r="R777" s="1073"/>
      <c r="S777" s="1073"/>
      <c r="T777" s="1073"/>
      <c r="U777" s="1073"/>
      <c r="V777" s="1073"/>
      <c r="W777" s="1073"/>
      <c r="X777" s="1073"/>
      <c r="Y777" s="1073"/>
      <c r="Z777" s="1073"/>
    </row>
    <row r="778" spans="1:26" ht="12.75" customHeight="1">
      <c r="A778" s="1073"/>
      <c r="B778" s="1073"/>
      <c r="C778" s="1073"/>
      <c r="D778" s="1073"/>
      <c r="E778" s="1073"/>
      <c r="F778" s="1073"/>
      <c r="G778" s="1073"/>
      <c r="H778" s="1073"/>
      <c r="I778" s="1073"/>
      <c r="J778" s="1073"/>
      <c r="K778" s="1073"/>
      <c r="L778" s="1073"/>
      <c r="M778" s="1073"/>
      <c r="N778" s="1073"/>
      <c r="O778" s="1073"/>
      <c r="P778" s="1073"/>
      <c r="Q778" s="1073"/>
      <c r="R778" s="1073"/>
      <c r="S778" s="1073"/>
      <c r="T778" s="1073"/>
      <c r="U778" s="1073"/>
      <c r="V778" s="1073"/>
      <c r="W778" s="1073"/>
      <c r="X778" s="1073"/>
      <c r="Y778" s="1073"/>
      <c r="Z778" s="1073"/>
    </row>
    <row r="779" spans="1:26" ht="12.75" customHeight="1">
      <c r="A779" s="1073"/>
      <c r="B779" s="1073"/>
      <c r="C779" s="1073"/>
      <c r="D779" s="1073"/>
      <c r="E779" s="1073"/>
      <c r="F779" s="1073"/>
      <c r="G779" s="1073"/>
      <c r="H779" s="1073"/>
      <c r="I779" s="1073"/>
      <c r="J779" s="1073"/>
      <c r="K779" s="1073"/>
      <c r="L779" s="1073"/>
      <c r="M779" s="1073"/>
      <c r="N779" s="1073"/>
      <c r="O779" s="1073"/>
      <c r="P779" s="1073"/>
      <c r="Q779" s="1073"/>
      <c r="R779" s="1073"/>
      <c r="S779" s="1073"/>
      <c r="T779" s="1073"/>
      <c r="U779" s="1073"/>
      <c r="V779" s="1073"/>
      <c r="W779" s="1073"/>
      <c r="X779" s="1073"/>
      <c r="Y779" s="1073"/>
      <c r="Z779" s="1073"/>
    </row>
    <row r="780" spans="1:26" ht="12.75" customHeight="1">
      <c r="A780" s="1073"/>
      <c r="B780" s="1073"/>
      <c r="C780" s="1073"/>
      <c r="D780" s="1073"/>
      <c r="E780" s="1073"/>
      <c r="F780" s="1073"/>
      <c r="G780" s="1073"/>
      <c r="H780" s="1073"/>
      <c r="I780" s="1073"/>
      <c r="J780" s="1073"/>
      <c r="K780" s="1073"/>
      <c r="L780" s="1073"/>
      <c r="M780" s="1073"/>
      <c r="N780" s="1073"/>
      <c r="O780" s="1073"/>
      <c r="P780" s="1073"/>
      <c r="Q780" s="1073"/>
      <c r="R780" s="1073"/>
      <c r="S780" s="1073"/>
      <c r="T780" s="1073"/>
      <c r="U780" s="1073"/>
      <c r="V780" s="1073"/>
      <c r="W780" s="1073"/>
      <c r="X780" s="1073"/>
      <c r="Y780" s="1073"/>
      <c r="Z780" s="1073"/>
    </row>
    <row r="781" spans="1:26" ht="12.75" customHeight="1">
      <c r="A781" s="1073"/>
      <c r="B781" s="1073"/>
      <c r="C781" s="1073"/>
      <c r="D781" s="1073"/>
      <c r="E781" s="1073"/>
      <c r="F781" s="1073"/>
      <c r="G781" s="1073"/>
      <c r="H781" s="1073"/>
      <c r="I781" s="1073"/>
      <c r="J781" s="1073"/>
      <c r="K781" s="1073"/>
      <c r="L781" s="1073"/>
      <c r="M781" s="1073"/>
      <c r="N781" s="1073"/>
      <c r="O781" s="1073"/>
      <c r="P781" s="1073"/>
      <c r="Q781" s="1073"/>
      <c r="R781" s="1073"/>
      <c r="S781" s="1073"/>
      <c r="T781" s="1073"/>
      <c r="U781" s="1073"/>
      <c r="V781" s="1073"/>
      <c r="W781" s="1073"/>
      <c r="X781" s="1073"/>
      <c r="Y781" s="1073"/>
      <c r="Z781" s="1073"/>
    </row>
    <row r="782" spans="1:26" ht="12.75" customHeight="1">
      <c r="A782" s="1073"/>
      <c r="B782" s="1073"/>
      <c r="C782" s="1073"/>
      <c r="D782" s="1073"/>
      <c r="E782" s="1073"/>
      <c r="F782" s="1073"/>
      <c r="G782" s="1073"/>
      <c r="H782" s="1073"/>
      <c r="I782" s="1073"/>
      <c r="J782" s="1073"/>
      <c r="K782" s="1073"/>
      <c r="L782" s="1073"/>
      <c r="M782" s="1073"/>
      <c r="N782" s="1073"/>
      <c r="O782" s="1073"/>
      <c r="P782" s="1073"/>
      <c r="Q782" s="1073"/>
      <c r="R782" s="1073"/>
      <c r="S782" s="1073"/>
      <c r="T782" s="1073"/>
      <c r="U782" s="1073"/>
      <c r="V782" s="1073"/>
      <c r="W782" s="1073"/>
      <c r="X782" s="1073"/>
      <c r="Y782" s="1073"/>
      <c r="Z782" s="1073"/>
    </row>
    <row r="783" spans="1:26" ht="12.75" customHeight="1">
      <c r="A783" s="1073"/>
      <c r="B783" s="1073"/>
      <c r="C783" s="1073"/>
      <c r="D783" s="1073"/>
      <c r="E783" s="1073"/>
      <c r="F783" s="1073"/>
      <c r="G783" s="1073"/>
      <c r="H783" s="1073"/>
      <c r="I783" s="1073"/>
      <c r="J783" s="1073"/>
      <c r="K783" s="1073"/>
      <c r="L783" s="1073"/>
      <c r="M783" s="1073"/>
      <c r="N783" s="1073"/>
      <c r="O783" s="1073"/>
      <c r="P783" s="1073"/>
      <c r="Q783" s="1073"/>
      <c r="R783" s="1073"/>
      <c r="S783" s="1073"/>
      <c r="T783" s="1073"/>
      <c r="U783" s="1073"/>
      <c r="V783" s="1073"/>
      <c r="W783" s="1073"/>
      <c r="X783" s="1073"/>
      <c r="Y783" s="1073"/>
      <c r="Z783" s="1073"/>
    </row>
    <row r="784" spans="1:26" ht="12.75" customHeight="1">
      <c r="A784" s="1073"/>
      <c r="B784" s="1073"/>
      <c r="C784" s="1073"/>
      <c r="D784" s="1073"/>
      <c r="E784" s="1073"/>
      <c r="F784" s="1073"/>
      <c r="G784" s="1073"/>
      <c r="H784" s="1073"/>
      <c r="I784" s="1073"/>
      <c r="J784" s="1073"/>
      <c r="K784" s="1073"/>
      <c r="L784" s="1073"/>
      <c r="M784" s="1073"/>
      <c r="N784" s="1073"/>
      <c r="O784" s="1073"/>
      <c r="P784" s="1073"/>
      <c r="Q784" s="1073"/>
      <c r="R784" s="1073"/>
      <c r="S784" s="1073"/>
      <c r="T784" s="1073"/>
      <c r="U784" s="1073"/>
      <c r="V784" s="1073"/>
      <c r="W784" s="1073"/>
      <c r="X784" s="1073"/>
      <c r="Y784" s="1073"/>
      <c r="Z784" s="1073"/>
    </row>
    <row r="785" spans="1:26" ht="12.75" customHeight="1">
      <c r="A785" s="1073"/>
      <c r="B785" s="1073"/>
      <c r="C785" s="1073"/>
      <c r="D785" s="1073"/>
      <c r="E785" s="1073"/>
      <c r="F785" s="1073"/>
      <c r="G785" s="1073"/>
      <c r="H785" s="1073"/>
      <c r="I785" s="1073"/>
      <c r="J785" s="1073"/>
      <c r="K785" s="1073"/>
      <c r="L785" s="1073"/>
      <c r="M785" s="1073"/>
      <c r="N785" s="1073"/>
      <c r="O785" s="1073"/>
      <c r="P785" s="1073"/>
      <c r="Q785" s="1073"/>
      <c r="R785" s="1073"/>
      <c r="S785" s="1073"/>
      <c r="T785" s="1073"/>
      <c r="U785" s="1073"/>
      <c r="V785" s="1073"/>
      <c r="W785" s="1073"/>
      <c r="X785" s="1073"/>
      <c r="Y785" s="1073"/>
      <c r="Z785" s="1073"/>
    </row>
    <row r="786" spans="1:26" ht="12.75" customHeight="1">
      <c r="A786" s="1073"/>
      <c r="B786" s="1073"/>
      <c r="C786" s="1073"/>
      <c r="D786" s="1073"/>
      <c r="E786" s="1073"/>
      <c r="F786" s="1073"/>
      <c r="G786" s="1073"/>
      <c r="H786" s="1073"/>
      <c r="I786" s="1073"/>
      <c r="J786" s="1073"/>
      <c r="K786" s="1073"/>
      <c r="L786" s="1073"/>
      <c r="M786" s="1073"/>
      <c r="N786" s="1073"/>
      <c r="O786" s="1073"/>
      <c r="P786" s="1073"/>
      <c r="Q786" s="1073"/>
      <c r="R786" s="1073"/>
      <c r="S786" s="1073"/>
      <c r="T786" s="1073"/>
      <c r="U786" s="1073"/>
      <c r="V786" s="1073"/>
      <c r="W786" s="1073"/>
      <c r="X786" s="1073"/>
      <c r="Y786" s="1073"/>
      <c r="Z786" s="1073"/>
    </row>
    <row r="787" spans="1:26" ht="12.75" customHeight="1">
      <c r="A787" s="1073"/>
      <c r="B787" s="1073"/>
      <c r="C787" s="1073"/>
      <c r="D787" s="1073"/>
      <c r="E787" s="1073"/>
      <c r="F787" s="1073"/>
      <c r="G787" s="1073"/>
      <c r="H787" s="1073"/>
      <c r="I787" s="1073"/>
      <c r="J787" s="1073"/>
      <c r="K787" s="1073"/>
      <c r="L787" s="1073"/>
      <c r="M787" s="1073"/>
      <c r="N787" s="1073"/>
      <c r="O787" s="1073"/>
      <c r="P787" s="1073"/>
      <c r="Q787" s="1073"/>
      <c r="R787" s="1073"/>
      <c r="S787" s="1073"/>
      <c r="T787" s="1073"/>
      <c r="U787" s="1073"/>
      <c r="V787" s="1073"/>
      <c r="W787" s="1073"/>
      <c r="X787" s="1073"/>
      <c r="Y787" s="1073"/>
      <c r="Z787" s="1073"/>
    </row>
    <row r="788" spans="1:26" ht="12.75" customHeight="1">
      <c r="A788" s="1073"/>
      <c r="B788" s="1073"/>
      <c r="C788" s="1073"/>
      <c r="D788" s="1073"/>
      <c r="E788" s="1073"/>
      <c r="F788" s="1073"/>
      <c r="G788" s="1073"/>
      <c r="H788" s="1073"/>
      <c r="I788" s="1073"/>
      <c r="J788" s="1073"/>
      <c r="K788" s="1073"/>
      <c r="L788" s="1073"/>
      <c r="M788" s="1073"/>
      <c r="N788" s="1073"/>
      <c r="O788" s="1073"/>
      <c r="P788" s="1073"/>
      <c r="Q788" s="1073"/>
      <c r="R788" s="1073"/>
      <c r="S788" s="1073"/>
      <c r="T788" s="1073"/>
      <c r="U788" s="1073"/>
      <c r="V788" s="1073"/>
      <c r="W788" s="1073"/>
      <c r="X788" s="1073"/>
      <c r="Y788" s="1073"/>
      <c r="Z788" s="1073"/>
    </row>
    <row r="789" spans="1:26" ht="12.75" customHeight="1">
      <c r="A789" s="1073"/>
      <c r="B789" s="1073"/>
      <c r="C789" s="1073"/>
      <c r="D789" s="1073"/>
      <c r="E789" s="1073"/>
      <c r="F789" s="1073"/>
      <c r="G789" s="1073"/>
      <c r="H789" s="1073"/>
      <c r="I789" s="1073"/>
      <c r="J789" s="1073"/>
      <c r="K789" s="1073"/>
      <c r="L789" s="1073"/>
      <c r="M789" s="1073"/>
      <c r="N789" s="1073"/>
      <c r="O789" s="1073"/>
      <c r="P789" s="1073"/>
      <c r="Q789" s="1073"/>
      <c r="R789" s="1073"/>
      <c r="S789" s="1073"/>
      <c r="T789" s="1073"/>
      <c r="U789" s="1073"/>
      <c r="V789" s="1073"/>
      <c r="W789" s="1073"/>
      <c r="X789" s="1073"/>
      <c r="Y789" s="1073"/>
      <c r="Z789" s="1073"/>
    </row>
    <row r="790" spans="1:26" ht="12.75" customHeight="1">
      <c r="A790" s="1073"/>
      <c r="B790" s="1073"/>
      <c r="C790" s="1073"/>
      <c r="D790" s="1073"/>
      <c r="E790" s="1073"/>
      <c r="F790" s="1073"/>
      <c r="G790" s="1073"/>
      <c r="H790" s="1073"/>
      <c r="I790" s="1073"/>
      <c r="J790" s="1073"/>
      <c r="K790" s="1073"/>
      <c r="L790" s="1073"/>
      <c r="M790" s="1073"/>
      <c r="N790" s="1073"/>
      <c r="O790" s="1073"/>
      <c r="P790" s="1073"/>
      <c r="Q790" s="1073"/>
      <c r="R790" s="1073"/>
      <c r="S790" s="1073"/>
      <c r="T790" s="1073"/>
      <c r="U790" s="1073"/>
      <c r="V790" s="1073"/>
      <c r="W790" s="1073"/>
      <c r="X790" s="1073"/>
      <c r="Y790" s="1073"/>
      <c r="Z790" s="1073"/>
    </row>
    <row r="791" spans="1:26" ht="12.75" customHeight="1">
      <c r="A791" s="1073"/>
      <c r="B791" s="1073"/>
      <c r="C791" s="1073"/>
      <c r="D791" s="1073"/>
      <c r="E791" s="1073"/>
      <c r="F791" s="1073"/>
      <c r="G791" s="1073"/>
      <c r="H791" s="1073"/>
      <c r="I791" s="1073"/>
      <c r="J791" s="1073"/>
      <c r="K791" s="1073"/>
      <c r="L791" s="1073"/>
      <c r="M791" s="1073"/>
      <c r="N791" s="1073"/>
      <c r="O791" s="1073"/>
      <c r="P791" s="1073"/>
      <c r="Q791" s="1073"/>
      <c r="R791" s="1073"/>
      <c r="S791" s="1073"/>
      <c r="T791" s="1073"/>
      <c r="U791" s="1073"/>
      <c r="V791" s="1073"/>
      <c r="W791" s="1073"/>
      <c r="X791" s="1073"/>
      <c r="Y791" s="1073"/>
      <c r="Z791" s="1073"/>
    </row>
    <row r="792" spans="1:26" ht="12.75" customHeight="1">
      <c r="A792" s="1073"/>
      <c r="B792" s="1073"/>
      <c r="C792" s="1073"/>
      <c r="D792" s="1073"/>
      <c r="E792" s="1073"/>
      <c r="F792" s="1073"/>
      <c r="G792" s="1073"/>
      <c r="H792" s="1073"/>
      <c r="I792" s="1073"/>
      <c r="J792" s="1073"/>
      <c r="K792" s="1073"/>
      <c r="L792" s="1073"/>
      <c r="M792" s="1073"/>
      <c r="N792" s="1073"/>
      <c r="O792" s="1073"/>
      <c r="P792" s="1073"/>
      <c r="Q792" s="1073"/>
      <c r="R792" s="1073"/>
      <c r="S792" s="1073"/>
      <c r="T792" s="1073"/>
      <c r="U792" s="1073"/>
      <c r="V792" s="1073"/>
      <c r="W792" s="1073"/>
      <c r="X792" s="1073"/>
      <c r="Y792" s="1073"/>
      <c r="Z792" s="1073"/>
    </row>
    <row r="793" spans="1:26" ht="12.75" customHeight="1">
      <c r="A793" s="1073"/>
      <c r="B793" s="1073"/>
      <c r="C793" s="1073"/>
      <c r="D793" s="1073"/>
      <c r="E793" s="1073"/>
      <c r="F793" s="1073"/>
      <c r="G793" s="1073"/>
      <c r="H793" s="1073"/>
      <c r="I793" s="1073"/>
      <c r="J793" s="1073"/>
      <c r="K793" s="1073"/>
      <c r="L793" s="1073"/>
      <c r="M793" s="1073"/>
      <c r="N793" s="1073"/>
      <c r="O793" s="1073"/>
      <c r="P793" s="1073"/>
      <c r="Q793" s="1073"/>
      <c r="R793" s="1073"/>
      <c r="S793" s="1073"/>
      <c r="T793" s="1073"/>
      <c r="U793" s="1073"/>
      <c r="V793" s="1073"/>
      <c r="W793" s="1073"/>
      <c r="X793" s="1073"/>
      <c r="Y793" s="1073"/>
      <c r="Z793" s="1073"/>
    </row>
    <row r="794" spans="1:26" ht="12.75" customHeight="1">
      <c r="A794" s="1073"/>
      <c r="B794" s="1073"/>
      <c r="C794" s="1073"/>
      <c r="D794" s="1073"/>
      <c r="E794" s="1073"/>
      <c r="F794" s="1073"/>
      <c r="G794" s="1073"/>
      <c r="H794" s="1073"/>
      <c r="I794" s="1073"/>
      <c r="J794" s="1073"/>
      <c r="K794" s="1073"/>
      <c r="L794" s="1073"/>
      <c r="M794" s="1073"/>
      <c r="N794" s="1073"/>
      <c r="O794" s="1073"/>
      <c r="P794" s="1073"/>
      <c r="Q794" s="1073"/>
      <c r="R794" s="1073"/>
      <c r="S794" s="1073"/>
      <c r="T794" s="1073"/>
      <c r="U794" s="1073"/>
      <c r="V794" s="1073"/>
      <c r="W794" s="1073"/>
      <c r="X794" s="1073"/>
      <c r="Y794" s="1073"/>
      <c r="Z794" s="1073"/>
    </row>
    <row r="795" spans="1:26" ht="12.75" customHeight="1">
      <c r="A795" s="1073"/>
      <c r="B795" s="1073"/>
      <c r="C795" s="1073"/>
      <c r="D795" s="1073"/>
      <c r="E795" s="1073"/>
      <c r="F795" s="1073"/>
      <c r="G795" s="1073"/>
      <c r="H795" s="1073"/>
      <c r="I795" s="1073"/>
      <c r="J795" s="1073"/>
      <c r="K795" s="1073"/>
      <c r="L795" s="1073"/>
      <c r="M795" s="1073"/>
      <c r="N795" s="1073"/>
      <c r="O795" s="1073"/>
      <c r="P795" s="1073"/>
      <c r="Q795" s="1073"/>
      <c r="R795" s="1073"/>
      <c r="S795" s="1073"/>
      <c r="T795" s="1073"/>
      <c r="U795" s="1073"/>
      <c r="V795" s="1073"/>
      <c r="W795" s="1073"/>
      <c r="X795" s="1073"/>
      <c r="Y795" s="1073"/>
      <c r="Z795" s="1073"/>
    </row>
    <row r="796" spans="1:26" ht="12.75" customHeight="1">
      <c r="A796" s="1073"/>
      <c r="B796" s="1073"/>
      <c r="C796" s="1073"/>
      <c r="D796" s="1073"/>
      <c r="E796" s="1073"/>
      <c r="F796" s="1073"/>
      <c r="G796" s="1073"/>
      <c r="H796" s="1073"/>
      <c r="I796" s="1073"/>
      <c r="J796" s="1073"/>
      <c r="K796" s="1073"/>
      <c r="L796" s="1073"/>
      <c r="M796" s="1073"/>
      <c r="N796" s="1073"/>
      <c r="O796" s="1073"/>
      <c r="P796" s="1073"/>
      <c r="Q796" s="1073"/>
      <c r="R796" s="1073"/>
      <c r="S796" s="1073"/>
      <c r="T796" s="1073"/>
      <c r="U796" s="1073"/>
      <c r="V796" s="1073"/>
      <c r="W796" s="1073"/>
      <c r="X796" s="1073"/>
      <c r="Y796" s="1073"/>
      <c r="Z796" s="1073"/>
    </row>
    <row r="797" spans="1:26" ht="12.75" customHeight="1">
      <c r="A797" s="1073"/>
      <c r="B797" s="1073"/>
      <c r="C797" s="1073"/>
      <c r="D797" s="1073"/>
      <c r="E797" s="1073"/>
      <c r="F797" s="1073"/>
      <c r="G797" s="1073"/>
      <c r="H797" s="1073"/>
      <c r="I797" s="1073"/>
      <c r="J797" s="1073"/>
      <c r="K797" s="1073"/>
      <c r="L797" s="1073"/>
      <c r="M797" s="1073"/>
      <c r="N797" s="1073"/>
      <c r="O797" s="1073"/>
      <c r="P797" s="1073"/>
      <c r="Q797" s="1073"/>
      <c r="R797" s="1073"/>
      <c r="S797" s="1073"/>
      <c r="T797" s="1073"/>
      <c r="U797" s="1073"/>
      <c r="V797" s="1073"/>
      <c r="W797" s="1073"/>
      <c r="X797" s="1073"/>
      <c r="Y797" s="1073"/>
      <c r="Z797" s="1073"/>
    </row>
    <row r="798" spans="1:26" ht="12.75" customHeight="1">
      <c r="A798" s="1073"/>
      <c r="B798" s="1073"/>
      <c r="C798" s="1073"/>
      <c r="D798" s="1073"/>
      <c r="E798" s="1073"/>
      <c r="F798" s="1073"/>
      <c r="G798" s="1073"/>
      <c r="H798" s="1073"/>
      <c r="I798" s="1073"/>
      <c r="J798" s="1073"/>
      <c r="K798" s="1073"/>
      <c r="L798" s="1073"/>
      <c r="M798" s="1073"/>
      <c r="N798" s="1073"/>
      <c r="O798" s="1073"/>
      <c r="P798" s="1073"/>
      <c r="Q798" s="1073"/>
      <c r="R798" s="1073"/>
      <c r="S798" s="1073"/>
      <c r="T798" s="1073"/>
      <c r="U798" s="1073"/>
      <c r="V798" s="1073"/>
      <c r="W798" s="1073"/>
      <c r="X798" s="1073"/>
      <c r="Y798" s="1073"/>
      <c r="Z798" s="1073"/>
    </row>
    <row r="799" spans="1:26" ht="12.75" customHeight="1">
      <c r="A799" s="1073"/>
      <c r="B799" s="1073"/>
      <c r="C799" s="1073"/>
      <c r="D799" s="1073"/>
      <c r="E799" s="1073"/>
      <c r="F799" s="1073"/>
      <c r="G799" s="1073"/>
      <c r="H799" s="1073"/>
      <c r="I799" s="1073"/>
      <c r="J799" s="1073"/>
      <c r="K799" s="1073"/>
      <c r="L799" s="1073"/>
      <c r="M799" s="1073"/>
      <c r="N799" s="1073"/>
      <c r="O799" s="1073"/>
      <c r="P799" s="1073"/>
      <c r="Q799" s="1073"/>
      <c r="R799" s="1073"/>
      <c r="S799" s="1073"/>
      <c r="T799" s="1073"/>
      <c r="U799" s="1073"/>
      <c r="V799" s="1073"/>
      <c r="W799" s="1073"/>
      <c r="X799" s="1073"/>
      <c r="Y799" s="1073"/>
      <c r="Z799" s="1073"/>
    </row>
    <row r="800" spans="1:26" ht="12.75" customHeight="1">
      <c r="A800" s="1073"/>
      <c r="B800" s="1073"/>
      <c r="C800" s="1073"/>
      <c r="D800" s="1073"/>
      <c r="E800" s="1073"/>
      <c r="F800" s="1073"/>
      <c r="G800" s="1073"/>
      <c r="H800" s="1073"/>
      <c r="I800" s="1073"/>
      <c r="J800" s="1073"/>
      <c r="K800" s="1073"/>
      <c r="L800" s="1073"/>
      <c r="M800" s="1073"/>
      <c r="N800" s="1073"/>
      <c r="O800" s="1073"/>
      <c r="P800" s="1073"/>
      <c r="Q800" s="1073"/>
      <c r="R800" s="1073"/>
      <c r="S800" s="1073"/>
      <c r="T800" s="1073"/>
      <c r="U800" s="1073"/>
      <c r="V800" s="1073"/>
      <c r="W800" s="1073"/>
      <c r="X800" s="1073"/>
      <c r="Y800" s="1073"/>
      <c r="Z800" s="1073"/>
    </row>
    <row r="801" spans="1:26" ht="12.75" customHeight="1">
      <c r="A801" s="1073"/>
      <c r="B801" s="1073"/>
      <c r="C801" s="1073"/>
      <c r="D801" s="1073"/>
      <c r="E801" s="1073"/>
      <c r="F801" s="1073"/>
      <c r="G801" s="1073"/>
      <c r="H801" s="1073"/>
      <c r="I801" s="1073"/>
      <c r="J801" s="1073"/>
      <c r="K801" s="1073"/>
      <c r="L801" s="1073"/>
      <c r="M801" s="1073"/>
      <c r="N801" s="1073"/>
      <c r="O801" s="1073"/>
      <c r="P801" s="1073"/>
      <c r="Q801" s="1073"/>
      <c r="R801" s="1073"/>
      <c r="S801" s="1073"/>
      <c r="T801" s="1073"/>
      <c r="U801" s="1073"/>
      <c r="V801" s="1073"/>
      <c r="W801" s="1073"/>
      <c r="X801" s="1073"/>
      <c r="Y801" s="1073"/>
      <c r="Z801" s="1073"/>
    </row>
    <row r="802" spans="1:26" ht="12.75" customHeight="1">
      <c r="A802" s="1073"/>
      <c r="B802" s="1073"/>
      <c r="C802" s="1073"/>
      <c r="D802" s="1073"/>
      <c r="E802" s="1073"/>
      <c r="F802" s="1073"/>
      <c r="G802" s="1073"/>
      <c r="H802" s="1073"/>
      <c r="I802" s="1073"/>
      <c r="J802" s="1073"/>
      <c r="K802" s="1073"/>
      <c r="L802" s="1073"/>
      <c r="M802" s="1073"/>
      <c r="N802" s="1073"/>
      <c r="O802" s="1073"/>
      <c r="P802" s="1073"/>
      <c r="Q802" s="1073"/>
      <c r="R802" s="1073"/>
      <c r="S802" s="1073"/>
      <c r="T802" s="1073"/>
      <c r="U802" s="1073"/>
      <c r="V802" s="1073"/>
      <c r="W802" s="1073"/>
      <c r="X802" s="1073"/>
      <c r="Y802" s="1073"/>
      <c r="Z802" s="1073"/>
    </row>
    <row r="803" spans="1:26" ht="12.75" customHeight="1">
      <c r="A803" s="1073"/>
      <c r="B803" s="1073"/>
      <c r="C803" s="1073"/>
      <c r="D803" s="1073"/>
      <c r="E803" s="1073"/>
      <c r="F803" s="1073"/>
      <c r="G803" s="1073"/>
      <c r="H803" s="1073"/>
      <c r="I803" s="1073"/>
      <c r="J803" s="1073"/>
      <c r="K803" s="1073"/>
      <c r="L803" s="1073"/>
      <c r="M803" s="1073"/>
      <c r="N803" s="1073"/>
      <c r="O803" s="1073"/>
      <c r="P803" s="1073"/>
      <c r="Q803" s="1073"/>
      <c r="R803" s="1073"/>
      <c r="S803" s="1073"/>
      <c r="T803" s="1073"/>
      <c r="U803" s="1073"/>
      <c r="V803" s="1073"/>
      <c r="W803" s="1073"/>
      <c r="X803" s="1073"/>
      <c r="Y803" s="1073"/>
      <c r="Z803" s="1073"/>
    </row>
    <row r="804" spans="1:26" ht="12.75" customHeight="1">
      <c r="A804" s="1073"/>
      <c r="B804" s="1073"/>
      <c r="C804" s="1073"/>
      <c r="D804" s="1073"/>
      <c r="E804" s="1073"/>
      <c r="F804" s="1073"/>
      <c r="G804" s="1073"/>
      <c r="H804" s="1073"/>
      <c r="I804" s="1073"/>
      <c r="J804" s="1073"/>
      <c r="K804" s="1073"/>
      <c r="L804" s="1073"/>
      <c r="M804" s="1073"/>
      <c r="N804" s="1073"/>
      <c r="O804" s="1073"/>
      <c r="P804" s="1073"/>
      <c r="Q804" s="1073"/>
      <c r="R804" s="1073"/>
      <c r="S804" s="1073"/>
      <c r="T804" s="1073"/>
      <c r="U804" s="1073"/>
      <c r="V804" s="1073"/>
      <c r="W804" s="1073"/>
      <c r="X804" s="1073"/>
      <c r="Y804" s="1073"/>
      <c r="Z804" s="1073"/>
    </row>
    <row r="805" spans="1:26" ht="12.75" customHeight="1">
      <c r="A805" s="1073"/>
      <c r="B805" s="1073"/>
      <c r="C805" s="1073"/>
      <c r="D805" s="1073"/>
      <c r="E805" s="1073"/>
      <c r="F805" s="1073"/>
      <c r="G805" s="1073"/>
      <c r="H805" s="1073"/>
      <c r="I805" s="1073"/>
      <c r="J805" s="1073"/>
      <c r="K805" s="1073"/>
      <c r="L805" s="1073"/>
      <c r="M805" s="1073"/>
      <c r="N805" s="1073"/>
      <c r="O805" s="1073"/>
      <c r="P805" s="1073"/>
      <c r="Q805" s="1073"/>
      <c r="R805" s="1073"/>
      <c r="S805" s="1073"/>
      <c r="T805" s="1073"/>
      <c r="U805" s="1073"/>
      <c r="V805" s="1073"/>
      <c r="W805" s="1073"/>
      <c r="X805" s="1073"/>
      <c r="Y805" s="1073"/>
      <c r="Z805" s="1073"/>
    </row>
    <row r="806" spans="1:26" ht="12.75" customHeight="1">
      <c r="A806" s="1073"/>
      <c r="B806" s="1073"/>
      <c r="C806" s="1073"/>
      <c r="D806" s="1073"/>
      <c r="E806" s="1073"/>
      <c r="F806" s="1073"/>
      <c r="G806" s="1073"/>
      <c r="H806" s="1073"/>
      <c r="I806" s="1073"/>
      <c r="J806" s="1073"/>
      <c r="K806" s="1073"/>
      <c r="L806" s="1073"/>
      <c r="M806" s="1073"/>
      <c r="N806" s="1073"/>
      <c r="O806" s="1073"/>
      <c r="P806" s="1073"/>
      <c r="Q806" s="1073"/>
      <c r="R806" s="1073"/>
      <c r="S806" s="1073"/>
      <c r="T806" s="1073"/>
      <c r="U806" s="1073"/>
      <c r="V806" s="1073"/>
      <c r="W806" s="1073"/>
      <c r="X806" s="1073"/>
      <c r="Y806" s="1073"/>
      <c r="Z806" s="1073"/>
    </row>
    <row r="807" spans="1:26" ht="12.75" customHeight="1">
      <c r="A807" s="1073"/>
      <c r="B807" s="1073"/>
      <c r="C807" s="1073"/>
      <c r="D807" s="1073"/>
      <c r="E807" s="1073"/>
      <c r="F807" s="1073"/>
      <c r="G807" s="1073"/>
      <c r="H807" s="1073"/>
      <c r="I807" s="1073"/>
      <c r="J807" s="1073"/>
      <c r="K807" s="1073"/>
      <c r="L807" s="1073"/>
      <c r="M807" s="1073"/>
      <c r="N807" s="1073"/>
      <c r="O807" s="1073"/>
      <c r="P807" s="1073"/>
      <c r="Q807" s="1073"/>
      <c r="R807" s="1073"/>
      <c r="S807" s="1073"/>
      <c r="T807" s="1073"/>
      <c r="U807" s="1073"/>
      <c r="V807" s="1073"/>
      <c r="W807" s="1073"/>
      <c r="X807" s="1073"/>
      <c r="Y807" s="1073"/>
      <c r="Z807" s="1073"/>
    </row>
    <row r="808" spans="1:26" ht="12.75" customHeight="1">
      <c r="A808" s="1073"/>
      <c r="B808" s="1073"/>
      <c r="C808" s="1073"/>
      <c r="D808" s="1073"/>
      <c r="E808" s="1073"/>
      <c r="F808" s="1073"/>
      <c r="G808" s="1073"/>
      <c r="H808" s="1073"/>
      <c r="I808" s="1073"/>
      <c r="J808" s="1073"/>
      <c r="K808" s="1073"/>
      <c r="L808" s="1073"/>
      <c r="M808" s="1073"/>
      <c r="N808" s="1073"/>
      <c r="O808" s="1073"/>
      <c r="P808" s="1073"/>
      <c r="Q808" s="1073"/>
      <c r="R808" s="1073"/>
      <c r="S808" s="1073"/>
      <c r="T808" s="1073"/>
      <c r="U808" s="1073"/>
      <c r="V808" s="1073"/>
      <c r="W808" s="1073"/>
      <c r="X808" s="1073"/>
      <c r="Y808" s="1073"/>
      <c r="Z808" s="1073"/>
    </row>
    <row r="809" spans="1:26" ht="12.75" customHeight="1">
      <c r="A809" s="1073"/>
      <c r="B809" s="1073"/>
      <c r="C809" s="1073"/>
      <c r="D809" s="1073"/>
      <c r="E809" s="1073"/>
      <c r="F809" s="1073"/>
      <c r="G809" s="1073"/>
      <c r="H809" s="1073"/>
      <c r="I809" s="1073"/>
      <c r="J809" s="1073"/>
      <c r="K809" s="1073"/>
      <c r="L809" s="1073"/>
      <c r="M809" s="1073"/>
      <c r="N809" s="1073"/>
      <c r="O809" s="1073"/>
      <c r="P809" s="1073"/>
      <c r="Q809" s="1073"/>
      <c r="R809" s="1073"/>
      <c r="S809" s="1073"/>
      <c r="T809" s="1073"/>
      <c r="U809" s="1073"/>
      <c r="V809" s="1073"/>
      <c r="W809" s="1073"/>
      <c r="X809" s="1073"/>
      <c r="Y809" s="1073"/>
      <c r="Z809" s="1073"/>
    </row>
    <row r="810" spans="1:26" ht="12.75" customHeight="1">
      <c r="A810" s="1073"/>
      <c r="B810" s="1073"/>
      <c r="C810" s="1073"/>
      <c r="D810" s="1073"/>
      <c r="E810" s="1073"/>
      <c r="F810" s="1073"/>
      <c r="G810" s="1073"/>
      <c r="H810" s="1073"/>
      <c r="I810" s="1073"/>
      <c r="J810" s="1073"/>
      <c r="K810" s="1073"/>
      <c r="L810" s="1073"/>
      <c r="M810" s="1073"/>
      <c r="N810" s="1073"/>
      <c r="O810" s="1073"/>
      <c r="P810" s="1073"/>
      <c r="Q810" s="1073"/>
      <c r="R810" s="1073"/>
      <c r="S810" s="1073"/>
      <c r="T810" s="1073"/>
      <c r="U810" s="1073"/>
      <c r="V810" s="1073"/>
      <c r="W810" s="1073"/>
      <c r="X810" s="1073"/>
      <c r="Y810" s="1073"/>
      <c r="Z810" s="1073"/>
    </row>
    <row r="811" spans="1:26" ht="12.75" customHeight="1">
      <c r="A811" s="1073"/>
      <c r="B811" s="1073"/>
      <c r="C811" s="1073"/>
      <c r="D811" s="1073"/>
      <c r="E811" s="1073"/>
      <c r="F811" s="1073"/>
      <c r="G811" s="1073"/>
      <c r="H811" s="1073"/>
      <c r="I811" s="1073"/>
      <c r="J811" s="1073"/>
      <c r="K811" s="1073"/>
      <c r="L811" s="1073"/>
      <c r="M811" s="1073"/>
      <c r="N811" s="1073"/>
      <c r="O811" s="1073"/>
      <c r="P811" s="1073"/>
      <c r="Q811" s="1073"/>
      <c r="R811" s="1073"/>
      <c r="S811" s="1073"/>
      <c r="T811" s="1073"/>
      <c r="U811" s="1073"/>
      <c r="V811" s="1073"/>
      <c r="W811" s="1073"/>
      <c r="X811" s="1073"/>
      <c r="Y811" s="1073"/>
      <c r="Z811" s="1073"/>
    </row>
    <row r="812" spans="1:26" ht="12.75" customHeight="1">
      <c r="A812" s="1073"/>
      <c r="B812" s="1073"/>
      <c r="C812" s="1073"/>
      <c r="D812" s="1073"/>
      <c r="E812" s="1073"/>
      <c r="F812" s="1073"/>
      <c r="G812" s="1073"/>
      <c r="H812" s="1073"/>
      <c r="I812" s="1073"/>
      <c r="J812" s="1073"/>
      <c r="K812" s="1073"/>
      <c r="L812" s="1073"/>
      <c r="M812" s="1073"/>
      <c r="N812" s="1073"/>
      <c r="O812" s="1073"/>
      <c r="P812" s="1073"/>
      <c r="Q812" s="1073"/>
      <c r="R812" s="1073"/>
      <c r="S812" s="1073"/>
      <c r="T812" s="1073"/>
      <c r="U812" s="1073"/>
      <c r="V812" s="1073"/>
      <c r="W812" s="1073"/>
      <c r="X812" s="1073"/>
      <c r="Y812" s="1073"/>
      <c r="Z812" s="1073"/>
    </row>
    <row r="813" spans="1:26" ht="12.75" customHeight="1">
      <c r="A813" s="1073"/>
      <c r="B813" s="1073"/>
      <c r="C813" s="1073"/>
      <c r="D813" s="1073"/>
      <c r="E813" s="1073"/>
      <c r="F813" s="1073"/>
      <c r="G813" s="1073"/>
      <c r="H813" s="1073"/>
      <c r="I813" s="1073"/>
      <c r="J813" s="1073"/>
      <c r="K813" s="1073"/>
      <c r="L813" s="1073"/>
      <c r="M813" s="1073"/>
      <c r="N813" s="1073"/>
      <c r="O813" s="1073"/>
      <c r="P813" s="1073"/>
      <c r="Q813" s="1073"/>
      <c r="R813" s="1073"/>
      <c r="S813" s="1073"/>
      <c r="T813" s="1073"/>
      <c r="U813" s="1073"/>
      <c r="V813" s="1073"/>
      <c r="W813" s="1073"/>
      <c r="X813" s="1073"/>
      <c r="Y813" s="1073"/>
      <c r="Z813" s="1073"/>
    </row>
    <row r="814" spans="1:26" ht="12.75" customHeight="1">
      <c r="A814" s="1073"/>
      <c r="B814" s="1073"/>
      <c r="C814" s="1073"/>
      <c r="D814" s="1073"/>
      <c r="E814" s="1073"/>
      <c r="F814" s="1073"/>
      <c r="G814" s="1073"/>
      <c r="H814" s="1073"/>
      <c r="I814" s="1073"/>
      <c r="J814" s="1073"/>
      <c r="K814" s="1073"/>
      <c r="L814" s="1073"/>
      <c r="M814" s="1073"/>
      <c r="N814" s="1073"/>
      <c r="O814" s="1073"/>
      <c r="P814" s="1073"/>
      <c r="Q814" s="1073"/>
      <c r="R814" s="1073"/>
      <c r="S814" s="1073"/>
      <c r="T814" s="1073"/>
      <c r="U814" s="1073"/>
      <c r="V814" s="1073"/>
      <c r="W814" s="1073"/>
      <c r="X814" s="1073"/>
      <c r="Y814" s="1073"/>
      <c r="Z814" s="1073"/>
    </row>
    <row r="815" spans="1:26" ht="12.75" customHeight="1">
      <c r="A815" s="1073"/>
      <c r="B815" s="1073"/>
      <c r="C815" s="1073"/>
      <c r="D815" s="1073"/>
      <c r="E815" s="1073"/>
      <c r="F815" s="1073"/>
      <c r="G815" s="1073"/>
      <c r="H815" s="1073"/>
      <c r="I815" s="1073"/>
      <c r="J815" s="1073"/>
      <c r="K815" s="1073"/>
      <c r="L815" s="1073"/>
      <c r="M815" s="1073"/>
      <c r="N815" s="1073"/>
      <c r="O815" s="1073"/>
      <c r="P815" s="1073"/>
      <c r="Q815" s="1073"/>
      <c r="R815" s="1073"/>
      <c r="S815" s="1073"/>
      <c r="T815" s="1073"/>
      <c r="U815" s="1073"/>
      <c r="V815" s="1073"/>
      <c r="W815" s="1073"/>
      <c r="X815" s="1073"/>
      <c r="Y815" s="1073"/>
      <c r="Z815" s="1073"/>
    </row>
    <row r="816" spans="1:26" ht="12.75" customHeight="1">
      <c r="A816" s="1073"/>
      <c r="B816" s="1073"/>
      <c r="C816" s="1073"/>
      <c r="D816" s="1073"/>
      <c r="E816" s="1073"/>
      <c r="F816" s="1073"/>
      <c r="G816" s="1073"/>
      <c r="H816" s="1073"/>
      <c r="I816" s="1073"/>
      <c r="J816" s="1073"/>
      <c r="K816" s="1073"/>
      <c r="L816" s="1073"/>
      <c r="M816" s="1073"/>
      <c r="N816" s="1073"/>
      <c r="O816" s="1073"/>
      <c r="P816" s="1073"/>
      <c r="Q816" s="1073"/>
      <c r="R816" s="1073"/>
      <c r="S816" s="1073"/>
      <c r="T816" s="1073"/>
      <c r="U816" s="1073"/>
      <c r="V816" s="1073"/>
      <c r="W816" s="1073"/>
      <c r="X816" s="1073"/>
      <c r="Y816" s="1073"/>
      <c r="Z816" s="1073"/>
    </row>
    <row r="817" spans="1:26" ht="12.75" customHeight="1">
      <c r="A817" s="1073"/>
      <c r="B817" s="1073"/>
      <c r="C817" s="1073"/>
      <c r="D817" s="1073"/>
      <c r="E817" s="1073"/>
      <c r="F817" s="1073"/>
      <c r="G817" s="1073"/>
      <c r="H817" s="1073"/>
      <c r="I817" s="1073"/>
      <c r="J817" s="1073"/>
      <c r="K817" s="1073"/>
      <c r="L817" s="1073"/>
      <c r="M817" s="1073"/>
      <c r="N817" s="1073"/>
      <c r="O817" s="1073"/>
      <c r="P817" s="1073"/>
      <c r="Q817" s="1073"/>
      <c r="R817" s="1073"/>
      <c r="S817" s="1073"/>
      <c r="T817" s="1073"/>
      <c r="U817" s="1073"/>
      <c r="V817" s="1073"/>
      <c r="W817" s="1073"/>
      <c r="X817" s="1073"/>
      <c r="Y817" s="1073"/>
      <c r="Z817" s="1073"/>
    </row>
    <row r="818" spans="1:26" ht="12.75" customHeight="1">
      <c r="A818" s="1073"/>
      <c r="B818" s="1073"/>
      <c r="C818" s="1073"/>
      <c r="D818" s="1073"/>
      <c r="E818" s="1073"/>
      <c r="F818" s="1073"/>
      <c r="G818" s="1073"/>
      <c r="H818" s="1073"/>
      <c r="I818" s="1073"/>
      <c r="J818" s="1073"/>
      <c r="K818" s="1073"/>
      <c r="L818" s="1073"/>
      <c r="M818" s="1073"/>
      <c r="N818" s="1073"/>
      <c r="O818" s="1073"/>
      <c r="P818" s="1073"/>
      <c r="Q818" s="1073"/>
      <c r="R818" s="1073"/>
      <c r="S818" s="1073"/>
      <c r="T818" s="1073"/>
      <c r="U818" s="1073"/>
      <c r="V818" s="1073"/>
      <c r="W818" s="1073"/>
      <c r="X818" s="1073"/>
      <c r="Y818" s="1073"/>
      <c r="Z818" s="1073"/>
    </row>
    <row r="819" spans="1:26" ht="12.75" customHeight="1">
      <c r="A819" s="1073"/>
      <c r="B819" s="1073"/>
      <c r="C819" s="1073"/>
      <c r="D819" s="1073"/>
      <c r="E819" s="1073"/>
      <c r="F819" s="1073"/>
      <c r="G819" s="1073"/>
      <c r="H819" s="1073"/>
      <c r="I819" s="1073"/>
      <c r="J819" s="1073"/>
      <c r="K819" s="1073"/>
      <c r="L819" s="1073"/>
      <c r="M819" s="1073"/>
      <c r="N819" s="1073"/>
      <c r="O819" s="1073"/>
      <c r="P819" s="1073"/>
      <c r="Q819" s="1073"/>
      <c r="R819" s="1073"/>
      <c r="S819" s="1073"/>
      <c r="T819" s="1073"/>
      <c r="U819" s="1073"/>
      <c r="V819" s="1073"/>
      <c r="W819" s="1073"/>
      <c r="X819" s="1073"/>
      <c r="Y819" s="1073"/>
      <c r="Z819" s="1073"/>
    </row>
    <row r="820" spans="1:26" ht="12.75" customHeight="1">
      <c r="A820" s="1073"/>
      <c r="B820" s="1073"/>
      <c r="C820" s="1073"/>
      <c r="D820" s="1073"/>
      <c r="E820" s="1073"/>
      <c r="F820" s="1073"/>
      <c r="G820" s="1073"/>
      <c r="H820" s="1073"/>
      <c r="I820" s="1073"/>
      <c r="J820" s="1073"/>
      <c r="K820" s="1073"/>
      <c r="L820" s="1073"/>
      <c r="M820" s="1073"/>
      <c r="N820" s="1073"/>
      <c r="O820" s="1073"/>
      <c r="P820" s="1073"/>
      <c r="Q820" s="1073"/>
      <c r="R820" s="1073"/>
      <c r="S820" s="1073"/>
      <c r="T820" s="1073"/>
      <c r="U820" s="1073"/>
      <c r="V820" s="1073"/>
      <c r="W820" s="1073"/>
      <c r="X820" s="1073"/>
      <c r="Y820" s="1073"/>
      <c r="Z820" s="1073"/>
    </row>
    <row r="821" spans="1:26" ht="12.75" customHeight="1">
      <c r="A821" s="1073"/>
      <c r="B821" s="1073"/>
      <c r="C821" s="1073"/>
      <c r="D821" s="1073"/>
      <c r="E821" s="1073"/>
      <c r="F821" s="1073"/>
      <c r="G821" s="1073"/>
      <c r="H821" s="1073"/>
      <c r="I821" s="1073"/>
      <c r="J821" s="1073"/>
      <c r="K821" s="1073"/>
      <c r="L821" s="1073"/>
      <c r="M821" s="1073"/>
      <c r="N821" s="1073"/>
      <c r="O821" s="1073"/>
      <c r="P821" s="1073"/>
      <c r="Q821" s="1073"/>
      <c r="R821" s="1073"/>
      <c r="S821" s="1073"/>
      <c r="T821" s="1073"/>
      <c r="U821" s="1073"/>
      <c r="V821" s="1073"/>
      <c r="W821" s="1073"/>
      <c r="X821" s="1073"/>
      <c r="Y821" s="1073"/>
      <c r="Z821" s="1073"/>
    </row>
    <row r="822" spans="1:26" ht="12.75" customHeight="1">
      <c r="A822" s="1073"/>
      <c r="B822" s="1073"/>
      <c r="C822" s="1073"/>
      <c r="D822" s="1073"/>
      <c r="E822" s="1073"/>
      <c r="F822" s="1073"/>
      <c r="G822" s="1073"/>
      <c r="H822" s="1073"/>
      <c r="I822" s="1073"/>
      <c r="J822" s="1073"/>
      <c r="K822" s="1073"/>
      <c r="L822" s="1073"/>
      <c r="M822" s="1073"/>
      <c r="N822" s="1073"/>
      <c r="O822" s="1073"/>
      <c r="P822" s="1073"/>
      <c r="Q822" s="1073"/>
      <c r="R822" s="1073"/>
      <c r="S822" s="1073"/>
      <c r="T822" s="1073"/>
      <c r="U822" s="1073"/>
      <c r="V822" s="1073"/>
      <c r="W822" s="1073"/>
      <c r="X822" s="1073"/>
      <c r="Y822" s="1073"/>
      <c r="Z822" s="1073"/>
    </row>
    <row r="823" spans="1:26" ht="12.75" customHeight="1">
      <c r="A823" s="1073"/>
      <c r="B823" s="1073"/>
      <c r="C823" s="1073"/>
      <c r="D823" s="1073"/>
      <c r="E823" s="1073"/>
      <c r="F823" s="1073"/>
      <c r="G823" s="1073"/>
      <c r="H823" s="1073"/>
      <c r="I823" s="1073"/>
      <c r="J823" s="1073"/>
      <c r="K823" s="1073"/>
      <c r="L823" s="1073"/>
      <c r="M823" s="1073"/>
      <c r="N823" s="1073"/>
      <c r="O823" s="1073"/>
      <c r="P823" s="1073"/>
      <c r="Q823" s="1073"/>
      <c r="R823" s="1073"/>
      <c r="S823" s="1073"/>
      <c r="T823" s="1073"/>
      <c r="U823" s="1073"/>
      <c r="V823" s="1073"/>
      <c r="W823" s="1073"/>
      <c r="X823" s="1073"/>
      <c r="Y823" s="1073"/>
      <c r="Z823" s="1073"/>
    </row>
    <row r="824" spans="1:26" ht="12.75" customHeight="1">
      <c r="A824" s="1073"/>
      <c r="B824" s="1073"/>
      <c r="C824" s="1073"/>
      <c r="D824" s="1073"/>
      <c r="E824" s="1073"/>
      <c r="F824" s="1073"/>
      <c r="G824" s="1073"/>
      <c r="H824" s="1073"/>
      <c r="I824" s="1073"/>
      <c r="J824" s="1073"/>
      <c r="K824" s="1073"/>
      <c r="L824" s="1073"/>
      <c r="M824" s="1073"/>
      <c r="N824" s="1073"/>
      <c r="O824" s="1073"/>
      <c r="P824" s="1073"/>
      <c r="Q824" s="1073"/>
      <c r="R824" s="1073"/>
      <c r="S824" s="1073"/>
      <c r="T824" s="1073"/>
      <c r="U824" s="1073"/>
      <c r="V824" s="1073"/>
      <c r="W824" s="1073"/>
      <c r="X824" s="1073"/>
      <c r="Y824" s="1073"/>
      <c r="Z824" s="1073"/>
    </row>
    <row r="825" spans="1:26" ht="12.75" customHeight="1">
      <c r="A825" s="1073"/>
      <c r="B825" s="1073"/>
      <c r="C825" s="1073"/>
      <c r="D825" s="1073"/>
      <c r="E825" s="1073"/>
      <c r="F825" s="1073"/>
      <c r="G825" s="1073"/>
      <c r="H825" s="1073"/>
      <c r="I825" s="1073"/>
      <c r="J825" s="1073"/>
      <c r="K825" s="1073"/>
      <c r="L825" s="1073"/>
      <c r="M825" s="1073"/>
      <c r="N825" s="1073"/>
      <c r="O825" s="1073"/>
      <c r="P825" s="1073"/>
      <c r="Q825" s="1073"/>
      <c r="R825" s="1073"/>
      <c r="S825" s="1073"/>
      <c r="T825" s="1073"/>
      <c r="U825" s="1073"/>
      <c r="V825" s="1073"/>
      <c r="W825" s="1073"/>
      <c r="X825" s="1073"/>
      <c r="Y825" s="1073"/>
      <c r="Z825" s="1073"/>
    </row>
    <row r="826" spans="1:26" ht="12.75" customHeight="1">
      <c r="A826" s="1073"/>
      <c r="B826" s="1073"/>
      <c r="C826" s="1073"/>
      <c r="D826" s="1073"/>
      <c r="E826" s="1073"/>
      <c r="F826" s="1073"/>
      <c r="G826" s="1073"/>
      <c r="H826" s="1073"/>
      <c r="I826" s="1073"/>
      <c r="J826" s="1073"/>
      <c r="K826" s="1073"/>
      <c r="L826" s="1073"/>
      <c r="M826" s="1073"/>
      <c r="N826" s="1073"/>
      <c r="O826" s="1073"/>
      <c r="P826" s="1073"/>
      <c r="Q826" s="1073"/>
      <c r="R826" s="1073"/>
      <c r="S826" s="1073"/>
      <c r="T826" s="1073"/>
      <c r="U826" s="1073"/>
      <c r="V826" s="1073"/>
      <c r="W826" s="1073"/>
      <c r="X826" s="1073"/>
      <c r="Y826" s="1073"/>
      <c r="Z826" s="1073"/>
    </row>
    <row r="827" spans="1:26" ht="12.75" customHeight="1">
      <c r="A827" s="1073"/>
      <c r="B827" s="1073"/>
      <c r="C827" s="1073"/>
      <c r="D827" s="1073"/>
      <c r="E827" s="1073"/>
      <c r="F827" s="1073"/>
      <c r="G827" s="1073"/>
      <c r="H827" s="1073"/>
      <c r="I827" s="1073"/>
      <c r="J827" s="1073"/>
      <c r="K827" s="1073"/>
      <c r="L827" s="1073"/>
      <c r="M827" s="1073"/>
      <c r="N827" s="1073"/>
      <c r="O827" s="1073"/>
      <c r="P827" s="1073"/>
      <c r="Q827" s="1073"/>
      <c r="R827" s="1073"/>
      <c r="S827" s="1073"/>
      <c r="T827" s="1073"/>
      <c r="U827" s="1073"/>
      <c r="V827" s="1073"/>
      <c r="W827" s="1073"/>
      <c r="X827" s="1073"/>
      <c r="Y827" s="1073"/>
      <c r="Z827" s="1073"/>
    </row>
    <row r="828" spans="1:26" ht="12.75" customHeight="1">
      <c r="A828" s="1073"/>
      <c r="B828" s="1073"/>
      <c r="C828" s="1073"/>
      <c r="D828" s="1073"/>
      <c r="E828" s="1073"/>
      <c r="F828" s="1073"/>
      <c r="G828" s="1073"/>
      <c r="H828" s="1073"/>
      <c r="I828" s="1073"/>
      <c r="J828" s="1073"/>
      <c r="K828" s="1073"/>
      <c r="L828" s="1073"/>
      <c r="M828" s="1073"/>
      <c r="N828" s="1073"/>
      <c r="O828" s="1073"/>
      <c r="P828" s="1073"/>
      <c r="Q828" s="1073"/>
      <c r="R828" s="1073"/>
      <c r="S828" s="1073"/>
      <c r="T828" s="1073"/>
      <c r="U828" s="1073"/>
      <c r="V828" s="1073"/>
      <c r="W828" s="1073"/>
      <c r="X828" s="1073"/>
      <c r="Y828" s="1073"/>
      <c r="Z828" s="1073"/>
    </row>
    <row r="829" spans="1:26" ht="12.75" customHeight="1">
      <c r="A829" s="1073"/>
      <c r="B829" s="1073"/>
      <c r="C829" s="1073"/>
      <c r="D829" s="1073"/>
      <c r="E829" s="1073"/>
      <c r="F829" s="1073"/>
      <c r="G829" s="1073"/>
      <c r="H829" s="1073"/>
      <c r="I829" s="1073"/>
      <c r="J829" s="1073"/>
      <c r="K829" s="1073"/>
      <c r="L829" s="1073"/>
      <c r="M829" s="1073"/>
      <c r="N829" s="1073"/>
      <c r="O829" s="1073"/>
      <c r="P829" s="1073"/>
      <c r="Q829" s="1073"/>
      <c r="R829" s="1073"/>
      <c r="S829" s="1073"/>
      <c r="T829" s="1073"/>
      <c r="U829" s="1073"/>
      <c r="V829" s="1073"/>
      <c r="W829" s="1073"/>
      <c r="X829" s="1073"/>
      <c r="Y829" s="1073"/>
      <c r="Z829" s="1073"/>
    </row>
    <row r="830" spans="1:26" ht="12.75" customHeight="1">
      <c r="A830" s="1073"/>
      <c r="B830" s="1073"/>
      <c r="C830" s="1073"/>
      <c r="D830" s="1073"/>
      <c r="E830" s="1073"/>
      <c r="F830" s="1073"/>
      <c r="G830" s="1073"/>
      <c r="H830" s="1073"/>
      <c r="I830" s="1073"/>
      <c r="J830" s="1073"/>
      <c r="K830" s="1073"/>
      <c r="L830" s="1073"/>
      <c r="M830" s="1073"/>
      <c r="N830" s="1073"/>
      <c r="O830" s="1073"/>
      <c r="P830" s="1073"/>
      <c r="Q830" s="1073"/>
      <c r="R830" s="1073"/>
      <c r="S830" s="1073"/>
      <c r="T830" s="1073"/>
      <c r="U830" s="1073"/>
      <c r="V830" s="1073"/>
      <c r="W830" s="1073"/>
      <c r="X830" s="1073"/>
      <c r="Y830" s="1073"/>
      <c r="Z830" s="1073"/>
    </row>
    <row r="831" spans="1:26" ht="12.75" customHeight="1">
      <c r="A831" s="1073"/>
      <c r="B831" s="1073"/>
      <c r="C831" s="1073"/>
      <c r="D831" s="1073"/>
      <c r="E831" s="1073"/>
      <c r="F831" s="1073"/>
      <c r="G831" s="1073"/>
      <c r="H831" s="1073"/>
      <c r="I831" s="1073"/>
      <c r="J831" s="1073"/>
      <c r="K831" s="1073"/>
      <c r="L831" s="1073"/>
      <c r="M831" s="1073"/>
      <c r="N831" s="1073"/>
      <c r="O831" s="1073"/>
      <c r="P831" s="1073"/>
      <c r="Q831" s="1073"/>
      <c r="R831" s="1073"/>
      <c r="S831" s="1073"/>
      <c r="T831" s="1073"/>
      <c r="U831" s="1073"/>
      <c r="V831" s="1073"/>
      <c r="W831" s="1073"/>
      <c r="X831" s="1073"/>
      <c r="Y831" s="1073"/>
      <c r="Z831" s="1073"/>
    </row>
    <row r="832" spans="1:26" ht="12.75" customHeight="1">
      <c r="A832" s="1073"/>
      <c r="B832" s="1073"/>
      <c r="C832" s="1073"/>
      <c r="D832" s="1073"/>
      <c r="E832" s="1073"/>
      <c r="F832" s="1073"/>
      <c r="G832" s="1073"/>
      <c r="H832" s="1073"/>
      <c r="I832" s="1073"/>
      <c r="J832" s="1073"/>
      <c r="K832" s="1073"/>
      <c r="L832" s="1073"/>
      <c r="M832" s="1073"/>
      <c r="N832" s="1073"/>
      <c r="O832" s="1073"/>
      <c r="P832" s="1073"/>
      <c r="Q832" s="1073"/>
      <c r="R832" s="1073"/>
      <c r="S832" s="1073"/>
      <c r="T832" s="1073"/>
      <c r="U832" s="1073"/>
      <c r="V832" s="1073"/>
      <c r="W832" s="1073"/>
      <c r="X832" s="1073"/>
      <c r="Y832" s="1073"/>
      <c r="Z832" s="1073"/>
    </row>
    <row r="833" spans="1:26" ht="12.75" customHeight="1">
      <c r="A833" s="1073"/>
      <c r="B833" s="1073"/>
      <c r="C833" s="1073"/>
      <c r="D833" s="1073"/>
      <c r="E833" s="1073"/>
      <c r="F833" s="1073"/>
      <c r="G833" s="1073"/>
      <c r="H833" s="1073"/>
      <c r="I833" s="1073"/>
      <c r="J833" s="1073"/>
      <c r="K833" s="1073"/>
      <c r="L833" s="1073"/>
      <c r="M833" s="1073"/>
      <c r="N833" s="1073"/>
      <c r="O833" s="1073"/>
      <c r="P833" s="1073"/>
      <c r="Q833" s="1073"/>
      <c r="R833" s="1073"/>
      <c r="S833" s="1073"/>
      <c r="T833" s="1073"/>
      <c r="U833" s="1073"/>
      <c r="V833" s="1073"/>
      <c r="W833" s="1073"/>
      <c r="X833" s="1073"/>
      <c r="Y833" s="1073"/>
      <c r="Z833" s="1073"/>
    </row>
    <row r="834" spans="1:26" ht="12.75" customHeight="1">
      <c r="A834" s="1073"/>
      <c r="B834" s="1073"/>
      <c r="C834" s="1073"/>
      <c r="D834" s="1073"/>
      <c r="E834" s="1073"/>
      <c r="F834" s="1073"/>
      <c r="G834" s="1073"/>
      <c r="H834" s="1073"/>
      <c r="I834" s="1073"/>
      <c r="J834" s="1073"/>
      <c r="K834" s="1073"/>
      <c r="L834" s="1073"/>
      <c r="M834" s="1073"/>
      <c r="N834" s="1073"/>
      <c r="O834" s="1073"/>
      <c r="P834" s="1073"/>
      <c r="Q834" s="1073"/>
      <c r="R834" s="1073"/>
      <c r="S834" s="1073"/>
      <c r="T834" s="1073"/>
      <c r="U834" s="1073"/>
      <c r="V834" s="1073"/>
      <c r="W834" s="1073"/>
      <c r="X834" s="1073"/>
      <c r="Y834" s="1073"/>
      <c r="Z834" s="1073"/>
    </row>
    <row r="835" spans="1:26" ht="12.75" customHeight="1">
      <c r="A835" s="1073"/>
      <c r="B835" s="1073"/>
      <c r="C835" s="1073"/>
      <c r="D835" s="1073"/>
      <c r="E835" s="1073"/>
      <c r="F835" s="1073"/>
      <c r="G835" s="1073"/>
      <c r="H835" s="1073"/>
      <c r="I835" s="1073"/>
      <c r="J835" s="1073"/>
      <c r="K835" s="1073"/>
      <c r="L835" s="1073"/>
      <c r="M835" s="1073"/>
      <c r="N835" s="1073"/>
      <c r="O835" s="1073"/>
      <c r="P835" s="1073"/>
      <c r="Q835" s="1073"/>
      <c r="R835" s="1073"/>
      <c r="S835" s="1073"/>
      <c r="T835" s="1073"/>
      <c r="U835" s="1073"/>
      <c r="V835" s="1073"/>
      <c r="W835" s="1073"/>
      <c r="X835" s="1073"/>
      <c r="Y835" s="1073"/>
      <c r="Z835" s="1073"/>
    </row>
    <row r="836" spans="1:26" ht="12.75" customHeight="1">
      <c r="A836" s="1073"/>
      <c r="B836" s="1073"/>
      <c r="C836" s="1073"/>
      <c r="D836" s="1073"/>
      <c r="E836" s="1073"/>
      <c r="F836" s="1073"/>
      <c r="G836" s="1073"/>
      <c r="H836" s="1073"/>
      <c r="I836" s="1073"/>
      <c r="J836" s="1073"/>
      <c r="K836" s="1073"/>
      <c r="L836" s="1073"/>
      <c r="M836" s="1073"/>
      <c r="N836" s="1073"/>
      <c r="O836" s="1073"/>
      <c r="P836" s="1073"/>
      <c r="Q836" s="1073"/>
      <c r="R836" s="1073"/>
      <c r="S836" s="1073"/>
      <c r="T836" s="1073"/>
      <c r="U836" s="1073"/>
      <c r="V836" s="1073"/>
      <c r="W836" s="1073"/>
      <c r="X836" s="1073"/>
      <c r="Y836" s="1073"/>
      <c r="Z836" s="1073"/>
    </row>
    <row r="837" spans="1:26" ht="12.75" customHeight="1">
      <c r="A837" s="1073"/>
      <c r="B837" s="1073"/>
      <c r="C837" s="1073"/>
      <c r="D837" s="1073"/>
      <c r="E837" s="1073"/>
      <c r="F837" s="1073"/>
      <c r="G837" s="1073"/>
      <c r="H837" s="1073"/>
      <c r="I837" s="1073"/>
      <c r="J837" s="1073"/>
      <c r="K837" s="1073"/>
      <c r="L837" s="1073"/>
      <c r="M837" s="1073"/>
      <c r="N837" s="1073"/>
      <c r="O837" s="1073"/>
      <c r="P837" s="1073"/>
      <c r="Q837" s="1073"/>
      <c r="R837" s="1073"/>
      <c r="S837" s="1073"/>
      <c r="T837" s="1073"/>
      <c r="U837" s="1073"/>
      <c r="V837" s="1073"/>
      <c r="W837" s="1073"/>
      <c r="X837" s="1073"/>
      <c r="Y837" s="1073"/>
      <c r="Z837" s="1073"/>
    </row>
    <row r="838" spans="1:26" ht="12.75" customHeight="1">
      <c r="A838" s="1073"/>
      <c r="B838" s="1073"/>
      <c r="C838" s="1073"/>
      <c r="D838" s="1073"/>
      <c r="E838" s="1073"/>
      <c r="F838" s="1073"/>
      <c r="G838" s="1073"/>
      <c r="H838" s="1073"/>
      <c r="I838" s="1073"/>
      <c r="J838" s="1073"/>
      <c r="K838" s="1073"/>
      <c r="L838" s="1073"/>
      <c r="M838" s="1073"/>
      <c r="N838" s="1073"/>
      <c r="O838" s="1073"/>
      <c r="P838" s="1073"/>
      <c r="Q838" s="1073"/>
      <c r="R838" s="1073"/>
      <c r="S838" s="1073"/>
      <c r="T838" s="1073"/>
      <c r="U838" s="1073"/>
      <c r="V838" s="1073"/>
      <c r="W838" s="1073"/>
      <c r="X838" s="1073"/>
      <c r="Y838" s="1073"/>
      <c r="Z838" s="1073"/>
    </row>
    <row r="839" spans="1:26" ht="12.75" customHeight="1">
      <c r="A839" s="1073"/>
      <c r="B839" s="1073"/>
      <c r="C839" s="1073"/>
      <c r="D839" s="1073"/>
      <c r="E839" s="1073"/>
      <c r="F839" s="1073"/>
      <c r="G839" s="1073"/>
      <c r="H839" s="1073"/>
      <c r="I839" s="1073"/>
      <c r="J839" s="1073"/>
      <c r="K839" s="1073"/>
      <c r="L839" s="1073"/>
      <c r="M839" s="1073"/>
      <c r="N839" s="1073"/>
      <c r="O839" s="1073"/>
      <c r="P839" s="1073"/>
      <c r="Q839" s="1073"/>
      <c r="R839" s="1073"/>
      <c r="S839" s="1073"/>
      <c r="T839" s="1073"/>
      <c r="U839" s="1073"/>
      <c r="V839" s="1073"/>
      <c r="W839" s="1073"/>
      <c r="X839" s="1073"/>
      <c r="Y839" s="1073"/>
      <c r="Z839" s="1073"/>
    </row>
    <row r="840" spans="1:26" ht="12.75" customHeight="1">
      <c r="A840" s="1073"/>
      <c r="B840" s="1073"/>
      <c r="C840" s="1073"/>
      <c r="D840" s="1073"/>
      <c r="E840" s="1073"/>
      <c r="F840" s="1073"/>
      <c r="G840" s="1073"/>
      <c r="H840" s="1073"/>
      <c r="I840" s="1073"/>
      <c r="J840" s="1073"/>
      <c r="K840" s="1073"/>
      <c r="L840" s="1073"/>
      <c r="M840" s="1073"/>
      <c r="N840" s="1073"/>
      <c r="O840" s="1073"/>
      <c r="P840" s="1073"/>
      <c r="Q840" s="1073"/>
      <c r="R840" s="1073"/>
      <c r="S840" s="1073"/>
      <c r="T840" s="1073"/>
      <c r="U840" s="1073"/>
      <c r="V840" s="1073"/>
      <c r="W840" s="1073"/>
      <c r="X840" s="1073"/>
      <c r="Y840" s="1073"/>
      <c r="Z840" s="1073"/>
    </row>
    <row r="841" spans="1:26" ht="12.75" customHeight="1">
      <c r="A841" s="1073"/>
      <c r="B841" s="1073"/>
      <c r="C841" s="1073"/>
      <c r="D841" s="1073"/>
      <c r="E841" s="1073"/>
      <c r="F841" s="1073"/>
      <c r="G841" s="1073"/>
      <c r="H841" s="1073"/>
      <c r="I841" s="1073"/>
      <c r="J841" s="1073"/>
      <c r="K841" s="1073"/>
      <c r="L841" s="1073"/>
      <c r="M841" s="1073"/>
      <c r="N841" s="1073"/>
      <c r="O841" s="1073"/>
      <c r="P841" s="1073"/>
      <c r="Q841" s="1073"/>
      <c r="R841" s="1073"/>
      <c r="S841" s="1073"/>
      <c r="T841" s="1073"/>
      <c r="U841" s="1073"/>
      <c r="V841" s="1073"/>
      <c r="W841" s="1073"/>
      <c r="X841" s="1073"/>
      <c r="Y841" s="1073"/>
      <c r="Z841" s="1073"/>
    </row>
    <row r="842" spans="1:26" ht="12.75" customHeight="1">
      <c r="A842" s="1073"/>
      <c r="B842" s="1073"/>
      <c r="C842" s="1073"/>
      <c r="D842" s="1073"/>
      <c r="E842" s="1073"/>
      <c r="F842" s="1073"/>
      <c r="G842" s="1073"/>
      <c r="H842" s="1073"/>
      <c r="I842" s="1073"/>
      <c r="J842" s="1073"/>
      <c r="K842" s="1073"/>
      <c r="L842" s="1073"/>
      <c r="M842" s="1073"/>
      <c r="N842" s="1073"/>
      <c r="O842" s="1073"/>
      <c r="P842" s="1073"/>
      <c r="Q842" s="1073"/>
      <c r="R842" s="1073"/>
      <c r="S842" s="1073"/>
      <c r="T842" s="1073"/>
      <c r="U842" s="1073"/>
      <c r="V842" s="1073"/>
      <c r="W842" s="1073"/>
      <c r="X842" s="1073"/>
      <c r="Y842" s="1073"/>
      <c r="Z842" s="1073"/>
    </row>
    <row r="843" spans="1:26" ht="12.75" customHeight="1">
      <c r="A843" s="1073"/>
      <c r="B843" s="1073"/>
      <c r="C843" s="1073"/>
      <c r="D843" s="1073"/>
      <c r="E843" s="1073"/>
      <c r="F843" s="1073"/>
      <c r="G843" s="1073"/>
      <c r="H843" s="1073"/>
      <c r="I843" s="1073"/>
      <c r="J843" s="1073"/>
      <c r="K843" s="1073"/>
      <c r="L843" s="1073"/>
      <c r="M843" s="1073"/>
      <c r="N843" s="1073"/>
      <c r="O843" s="1073"/>
      <c r="P843" s="1073"/>
      <c r="Q843" s="1073"/>
      <c r="R843" s="1073"/>
      <c r="S843" s="1073"/>
      <c r="T843" s="1073"/>
      <c r="U843" s="1073"/>
      <c r="V843" s="1073"/>
      <c r="W843" s="1073"/>
      <c r="X843" s="1073"/>
      <c r="Y843" s="1073"/>
      <c r="Z843" s="1073"/>
    </row>
    <row r="844" spans="1:26" ht="12.75" customHeight="1">
      <c r="A844" s="1073"/>
      <c r="B844" s="1073"/>
      <c r="C844" s="1073"/>
      <c r="D844" s="1073"/>
      <c r="E844" s="1073"/>
      <c r="F844" s="1073"/>
      <c r="G844" s="1073"/>
      <c r="H844" s="1073"/>
      <c r="I844" s="1073"/>
      <c r="J844" s="1073"/>
      <c r="K844" s="1073"/>
      <c r="L844" s="1073"/>
      <c r="M844" s="1073"/>
      <c r="N844" s="1073"/>
      <c r="O844" s="1073"/>
      <c r="P844" s="1073"/>
      <c r="Q844" s="1073"/>
      <c r="R844" s="1073"/>
      <c r="S844" s="1073"/>
      <c r="T844" s="1073"/>
      <c r="U844" s="1073"/>
      <c r="V844" s="1073"/>
      <c r="W844" s="1073"/>
      <c r="X844" s="1073"/>
      <c r="Y844" s="1073"/>
      <c r="Z844" s="1073"/>
    </row>
    <row r="845" spans="1:26" ht="12.75" customHeight="1">
      <c r="A845" s="1073"/>
      <c r="B845" s="1073"/>
      <c r="C845" s="1073"/>
      <c r="D845" s="1073"/>
      <c r="E845" s="1073"/>
      <c r="F845" s="1073"/>
      <c r="G845" s="1073"/>
      <c r="H845" s="1073"/>
      <c r="I845" s="1073"/>
      <c r="J845" s="1073"/>
      <c r="K845" s="1073"/>
      <c r="L845" s="1073"/>
      <c r="M845" s="1073"/>
      <c r="N845" s="1073"/>
      <c r="O845" s="1073"/>
      <c r="P845" s="1073"/>
      <c r="Q845" s="1073"/>
      <c r="R845" s="1073"/>
      <c r="S845" s="1073"/>
      <c r="T845" s="1073"/>
      <c r="U845" s="1073"/>
      <c r="V845" s="1073"/>
      <c r="W845" s="1073"/>
      <c r="X845" s="1073"/>
      <c r="Y845" s="1073"/>
      <c r="Z845" s="1073"/>
    </row>
    <row r="846" spans="1:26" ht="12.75" customHeight="1">
      <c r="A846" s="1073"/>
      <c r="B846" s="1073"/>
      <c r="C846" s="1073"/>
      <c r="D846" s="1073"/>
      <c r="E846" s="1073"/>
      <c r="F846" s="1073"/>
      <c r="G846" s="1073"/>
      <c r="H846" s="1073"/>
      <c r="I846" s="1073"/>
      <c r="J846" s="1073"/>
      <c r="K846" s="1073"/>
      <c r="L846" s="1073"/>
      <c r="M846" s="1073"/>
      <c r="N846" s="1073"/>
      <c r="O846" s="1073"/>
      <c r="P846" s="1073"/>
      <c r="Q846" s="1073"/>
      <c r="R846" s="1073"/>
      <c r="S846" s="1073"/>
      <c r="T846" s="1073"/>
      <c r="U846" s="1073"/>
      <c r="V846" s="1073"/>
      <c r="W846" s="1073"/>
      <c r="X846" s="1073"/>
      <c r="Y846" s="1073"/>
      <c r="Z846" s="1073"/>
    </row>
    <row r="847" spans="1:26" ht="12.75" customHeight="1">
      <c r="A847" s="1073"/>
      <c r="B847" s="1073"/>
      <c r="C847" s="1073"/>
      <c r="D847" s="1073"/>
      <c r="E847" s="1073"/>
      <c r="F847" s="1073"/>
      <c r="G847" s="1073"/>
      <c r="H847" s="1073"/>
      <c r="I847" s="1073"/>
      <c r="J847" s="1073"/>
      <c r="K847" s="1073"/>
      <c r="L847" s="1073"/>
      <c r="M847" s="1073"/>
      <c r="N847" s="1073"/>
      <c r="O847" s="1073"/>
      <c r="P847" s="1073"/>
      <c r="Q847" s="1073"/>
      <c r="R847" s="1073"/>
      <c r="S847" s="1073"/>
      <c r="T847" s="1073"/>
      <c r="U847" s="1073"/>
      <c r="V847" s="1073"/>
      <c r="W847" s="1073"/>
      <c r="X847" s="1073"/>
      <c r="Y847" s="1073"/>
      <c r="Z847" s="1073"/>
    </row>
    <row r="848" spans="1:26" ht="12.75" customHeight="1">
      <c r="A848" s="1073"/>
      <c r="B848" s="1073"/>
      <c r="C848" s="1073"/>
      <c r="D848" s="1073"/>
      <c r="E848" s="1073"/>
      <c r="F848" s="1073"/>
      <c r="G848" s="1073"/>
      <c r="H848" s="1073"/>
      <c r="I848" s="1073"/>
      <c r="J848" s="1073"/>
      <c r="K848" s="1073"/>
      <c r="L848" s="1073"/>
      <c r="M848" s="1073"/>
      <c r="N848" s="1073"/>
      <c r="O848" s="1073"/>
      <c r="P848" s="1073"/>
      <c r="Q848" s="1073"/>
      <c r="R848" s="1073"/>
      <c r="S848" s="1073"/>
      <c r="T848" s="1073"/>
      <c r="U848" s="1073"/>
      <c r="V848" s="1073"/>
      <c r="W848" s="1073"/>
      <c r="X848" s="1073"/>
      <c r="Y848" s="1073"/>
      <c r="Z848" s="1073"/>
    </row>
    <row r="849" spans="1:26" ht="12.75" customHeight="1">
      <c r="A849" s="1073"/>
      <c r="B849" s="1073"/>
      <c r="C849" s="1073"/>
      <c r="D849" s="1073"/>
      <c r="E849" s="1073"/>
      <c r="F849" s="1073"/>
      <c r="G849" s="1073"/>
      <c r="H849" s="1073"/>
      <c r="I849" s="1073"/>
      <c r="J849" s="1073"/>
      <c r="K849" s="1073"/>
      <c r="L849" s="1073"/>
      <c r="M849" s="1073"/>
      <c r="N849" s="1073"/>
      <c r="O849" s="1073"/>
      <c r="P849" s="1073"/>
      <c r="Q849" s="1073"/>
      <c r="R849" s="1073"/>
      <c r="S849" s="1073"/>
      <c r="T849" s="1073"/>
      <c r="U849" s="1073"/>
      <c r="V849" s="1073"/>
      <c r="W849" s="1073"/>
      <c r="X849" s="1073"/>
      <c r="Y849" s="1073"/>
      <c r="Z849" s="1073"/>
    </row>
    <row r="850" spans="1:26" ht="12.75" customHeight="1">
      <c r="A850" s="1073"/>
      <c r="B850" s="1073"/>
      <c r="C850" s="1073"/>
      <c r="D850" s="1073"/>
      <c r="E850" s="1073"/>
      <c r="F850" s="1073"/>
      <c r="G850" s="1073"/>
      <c r="H850" s="1073"/>
      <c r="I850" s="1073"/>
      <c r="J850" s="1073"/>
      <c r="K850" s="1073"/>
      <c r="L850" s="1073"/>
      <c r="M850" s="1073"/>
      <c r="N850" s="1073"/>
      <c r="O850" s="1073"/>
      <c r="P850" s="1073"/>
      <c r="Q850" s="1073"/>
      <c r="R850" s="1073"/>
      <c r="S850" s="1073"/>
      <c r="T850" s="1073"/>
      <c r="U850" s="1073"/>
      <c r="V850" s="1073"/>
      <c r="W850" s="1073"/>
      <c r="X850" s="1073"/>
      <c r="Y850" s="1073"/>
      <c r="Z850" s="1073"/>
    </row>
    <row r="851" spans="1:26" ht="12.75" customHeight="1">
      <c r="A851" s="1073"/>
      <c r="B851" s="1073"/>
      <c r="C851" s="1073"/>
      <c r="D851" s="1073"/>
      <c r="E851" s="1073"/>
      <c r="F851" s="1073"/>
      <c r="G851" s="1073"/>
      <c r="H851" s="1073"/>
      <c r="I851" s="1073"/>
      <c r="J851" s="1073"/>
      <c r="K851" s="1073"/>
      <c r="L851" s="1073"/>
      <c r="M851" s="1073"/>
      <c r="N851" s="1073"/>
      <c r="O851" s="1073"/>
      <c r="P851" s="1073"/>
      <c r="Q851" s="1073"/>
      <c r="R851" s="1073"/>
      <c r="S851" s="1073"/>
      <c r="T851" s="1073"/>
      <c r="U851" s="1073"/>
      <c r="V851" s="1073"/>
      <c r="W851" s="1073"/>
      <c r="X851" s="1073"/>
      <c r="Y851" s="1073"/>
      <c r="Z851" s="1073"/>
    </row>
    <row r="852" spans="1:26" ht="12.75" customHeight="1">
      <c r="A852" s="1073"/>
      <c r="B852" s="1073"/>
      <c r="C852" s="1073"/>
      <c r="D852" s="1073"/>
      <c r="E852" s="1073"/>
      <c r="F852" s="1073"/>
      <c r="G852" s="1073"/>
      <c r="H852" s="1073"/>
      <c r="I852" s="1073"/>
      <c r="J852" s="1073"/>
      <c r="K852" s="1073"/>
      <c r="L852" s="1073"/>
      <c r="M852" s="1073"/>
      <c r="N852" s="1073"/>
      <c r="O852" s="1073"/>
      <c r="P852" s="1073"/>
      <c r="Q852" s="1073"/>
      <c r="R852" s="1073"/>
      <c r="S852" s="1073"/>
      <c r="T852" s="1073"/>
      <c r="U852" s="1073"/>
      <c r="V852" s="1073"/>
      <c r="W852" s="1073"/>
      <c r="X852" s="1073"/>
      <c r="Y852" s="1073"/>
      <c r="Z852" s="1073"/>
    </row>
    <row r="853" spans="1:26" ht="12.75" customHeight="1">
      <c r="A853" s="1073"/>
      <c r="B853" s="1073"/>
      <c r="C853" s="1073"/>
      <c r="D853" s="1073"/>
      <c r="E853" s="1073"/>
      <c r="F853" s="1073"/>
      <c r="G853" s="1073"/>
      <c r="H853" s="1073"/>
      <c r="I853" s="1073"/>
      <c r="J853" s="1073"/>
      <c r="K853" s="1073"/>
      <c r="L853" s="1073"/>
      <c r="M853" s="1073"/>
      <c r="N853" s="1073"/>
      <c r="O853" s="1073"/>
      <c r="P853" s="1073"/>
      <c r="Q853" s="1073"/>
      <c r="R853" s="1073"/>
      <c r="S853" s="1073"/>
      <c r="T853" s="1073"/>
      <c r="U853" s="1073"/>
      <c r="V853" s="1073"/>
      <c r="W853" s="1073"/>
      <c r="X853" s="1073"/>
      <c r="Y853" s="1073"/>
      <c r="Z853" s="1073"/>
    </row>
    <row r="854" spans="1:26" ht="12.75" customHeight="1">
      <c r="A854" s="1073"/>
      <c r="B854" s="1073"/>
      <c r="C854" s="1073"/>
      <c r="D854" s="1073"/>
      <c r="E854" s="1073"/>
      <c r="F854" s="1073"/>
      <c r="G854" s="1073"/>
      <c r="H854" s="1073"/>
      <c r="I854" s="1073"/>
      <c r="J854" s="1073"/>
      <c r="K854" s="1073"/>
      <c r="L854" s="1073"/>
      <c r="M854" s="1073"/>
      <c r="N854" s="1073"/>
      <c r="O854" s="1073"/>
      <c r="P854" s="1073"/>
      <c r="Q854" s="1073"/>
      <c r="R854" s="1073"/>
      <c r="S854" s="1073"/>
      <c r="T854" s="1073"/>
      <c r="U854" s="1073"/>
      <c r="V854" s="1073"/>
      <c r="W854" s="1073"/>
      <c r="X854" s="1073"/>
      <c r="Y854" s="1073"/>
      <c r="Z854" s="1073"/>
    </row>
    <row r="855" spans="1:26" ht="12.75" customHeight="1">
      <c r="A855" s="1073"/>
      <c r="B855" s="1073"/>
      <c r="C855" s="1073"/>
      <c r="D855" s="1073"/>
      <c r="E855" s="1073"/>
      <c r="F855" s="1073"/>
      <c r="G855" s="1073"/>
      <c r="H855" s="1073"/>
      <c r="I855" s="1073"/>
      <c r="J855" s="1073"/>
      <c r="K855" s="1073"/>
      <c r="L855" s="1073"/>
      <c r="M855" s="1073"/>
      <c r="N855" s="1073"/>
      <c r="O855" s="1073"/>
      <c r="P855" s="1073"/>
      <c r="Q855" s="1073"/>
      <c r="R855" s="1073"/>
      <c r="S855" s="1073"/>
      <c r="T855" s="1073"/>
      <c r="U855" s="1073"/>
      <c r="V855" s="1073"/>
      <c r="W855" s="1073"/>
      <c r="X855" s="1073"/>
      <c r="Y855" s="1073"/>
      <c r="Z855" s="1073"/>
    </row>
    <row r="856" spans="1:26" ht="12.75" customHeight="1">
      <c r="A856" s="1073"/>
      <c r="B856" s="1073"/>
      <c r="C856" s="1073"/>
      <c r="D856" s="1073"/>
      <c r="E856" s="1073"/>
      <c r="F856" s="1073"/>
      <c r="G856" s="1073"/>
      <c r="H856" s="1073"/>
      <c r="I856" s="1073"/>
      <c r="J856" s="1073"/>
      <c r="K856" s="1073"/>
      <c r="L856" s="1073"/>
      <c r="M856" s="1073"/>
      <c r="N856" s="1073"/>
      <c r="O856" s="1073"/>
      <c r="P856" s="1073"/>
      <c r="Q856" s="1073"/>
      <c r="R856" s="1073"/>
      <c r="S856" s="1073"/>
      <c r="T856" s="1073"/>
      <c r="U856" s="1073"/>
      <c r="V856" s="1073"/>
      <c r="W856" s="1073"/>
      <c r="X856" s="1073"/>
      <c r="Y856" s="1073"/>
      <c r="Z856" s="1073"/>
    </row>
    <row r="857" spans="1:26" ht="12.75" customHeight="1">
      <c r="A857" s="1073"/>
      <c r="B857" s="1073"/>
      <c r="C857" s="1073"/>
      <c r="D857" s="1073"/>
      <c r="E857" s="1073"/>
      <c r="F857" s="1073"/>
      <c r="G857" s="1073"/>
      <c r="H857" s="1073"/>
      <c r="I857" s="1073"/>
      <c r="J857" s="1073"/>
      <c r="K857" s="1073"/>
      <c r="L857" s="1073"/>
      <c r="M857" s="1073"/>
      <c r="N857" s="1073"/>
      <c r="O857" s="1073"/>
      <c r="P857" s="1073"/>
      <c r="Q857" s="1073"/>
      <c r="R857" s="1073"/>
      <c r="S857" s="1073"/>
      <c r="T857" s="1073"/>
      <c r="U857" s="1073"/>
      <c r="V857" s="1073"/>
      <c r="W857" s="1073"/>
      <c r="X857" s="1073"/>
      <c r="Y857" s="1073"/>
      <c r="Z857" s="1073"/>
    </row>
    <row r="858" spans="1:26" ht="12.75" customHeight="1">
      <c r="A858" s="1073"/>
      <c r="B858" s="1073"/>
      <c r="C858" s="1073"/>
      <c r="D858" s="1073"/>
      <c r="E858" s="1073"/>
      <c r="F858" s="1073"/>
      <c r="G858" s="1073"/>
      <c r="H858" s="1073"/>
      <c r="I858" s="1073"/>
      <c r="J858" s="1073"/>
      <c r="K858" s="1073"/>
      <c r="L858" s="1073"/>
      <c r="M858" s="1073"/>
      <c r="N858" s="1073"/>
      <c r="O858" s="1073"/>
      <c r="P858" s="1073"/>
      <c r="Q858" s="1073"/>
      <c r="R858" s="1073"/>
      <c r="S858" s="1073"/>
      <c r="T858" s="1073"/>
      <c r="U858" s="1073"/>
      <c r="V858" s="1073"/>
      <c r="W858" s="1073"/>
      <c r="X858" s="1073"/>
      <c r="Y858" s="1073"/>
      <c r="Z858" s="1073"/>
    </row>
    <row r="859" spans="1:26" ht="12.75" customHeight="1">
      <c r="A859" s="1073"/>
      <c r="B859" s="1073"/>
      <c r="C859" s="1073"/>
      <c r="D859" s="1073"/>
      <c r="E859" s="1073"/>
      <c r="F859" s="1073"/>
      <c r="G859" s="1073"/>
      <c r="H859" s="1073"/>
      <c r="I859" s="1073"/>
      <c r="J859" s="1073"/>
      <c r="K859" s="1073"/>
      <c r="L859" s="1073"/>
      <c r="M859" s="1073"/>
      <c r="N859" s="1073"/>
      <c r="O859" s="1073"/>
      <c r="P859" s="1073"/>
      <c r="Q859" s="1073"/>
      <c r="R859" s="1073"/>
      <c r="S859" s="1073"/>
      <c r="T859" s="1073"/>
      <c r="U859" s="1073"/>
      <c r="V859" s="1073"/>
      <c r="W859" s="1073"/>
      <c r="X859" s="1073"/>
      <c r="Y859" s="1073"/>
      <c r="Z859" s="1073"/>
    </row>
    <row r="860" spans="1:26" ht="12.75" customHeight="1">
      <c r="A860" s="1073"/>
      <c r="B860" s="1073"/>
      <c r="C860" s="1073"/>
      <c r="D860" s="1073"/>
      <c r="E860" s="1073"/>
      <c r="F860" s="1073"/>
      <c r="G860" s="1073"/>
      <c r="H860" s="1073"/>
      <c r="I860" s="1073"/>
      <c r="J860" s="1073"/>
      <c r="K860" s="1073"/>
      <c r="L860" s="1073"/>
      <c r="M860" s="1073"/>
      <c r="N860" s="1073"/>
      <c r="O860" s="1073"/>
      <c r="P860" s="1073"/>
      <c r="Q860" s="1073"/>
      <c r="R860" s="1073"/>
      <c r="S860" s="1073"/>
      <c r="T860" s="1073"/>
      <c r="U860" s="1073"/>
      <c r="V860" s="1073"/>
      <c r="W860" s="1073"/>
      <c r="X860" s="1073"/>
      <c r="Y860" s="1073"/>
      <c r="Z860" s="1073"/>
    </row>
    <row r="861" spans="1:26" ht="12.75" customHeight="1">
      <c r="A861" s="1073"/>
      <c r="B861" s="1073"/>
      <c r="C861" s="1073"/>
      <c r="D861" s="1073"/>
      <c r="E861" s="1073"/>
      <c r="F861" s="1073"/>
      <c r="G861" s="1073"/>
      <c r="H861" s="1073"/>
      <c r="I861" s="1073"/>
      <c r="J861" s="1073"/>
      <c r="K861" s="1073"/>
      <c r="L861" s="1073"/>
      <c r="M861" s="1073"/>
      <c r="N861" s="1073"/>
      <c r="O861" s="1073"/>
      <c r="P861" s="1073"/>
      <c r="Q861" s="1073"/>
      <c r="R861" s="1073"/>
      <c r="S861" s="1073"/>
      <c r="T861" s="1073"/>
      <c r="U861" s="1073"/>
      <c r="V861" s="1073"/>
      <c r="W861" s="1073"/>
      <c r="X861" s="1073"/>
      <c r="Y861" s="1073"/>
      <c r="Z861" s="1073"/>
    </row>
    <row r="862" spans="1:26" ht="12.75" customHeight="1">
      <c r="A862" s="1073"/>
      <c r="B862" s="1073"/>
      <c r="C862" s="1073"/>
      <c r="D862" s="1073"/>
      <c r="E862" s="1073"/>
      <c r="F862" s="1073"/>
      <c r="G862" s="1073"/>
      <c r="H862" s="1073"/>
      <c r="I862" s="1073"/>
      <c r="J862" s="1073"/>
      <c r="K862" s="1073"/>
      <c r="L862" s="1073"/>
      <c r="M862" s="1073"/>
      <c r="N862" s="1073"/>
      <c r="O862" s="1073"/>
      <c r="P862" s="1073"/>
      <c r="Q862" s="1073"/>
      <c r="R862" s="1073"/>
      <c r="S862" s="1073"/>
      <c r="T862" s="1073"/>
      <c r="U862" s="1073"/>
      <c r="V862" s="1073"/>
      <c r="W862" s="1073"/>
      <c r="X862" s="1073"/>
      <c r="Y862" s="1073"/>
      <c r="Z862" s="1073"/>
    </row>
    <row r="863" spans="1:26" ht="12.75" customHeight="1">
      <c r="A863" s="1073"/>
      <c r="B863" s="1073"/>
      <c r="C863" s="1073"/>
      <c r="D863" s="1073"/>
      <c r="E863" s="1073"/>
      <c r="F863" s="1073"/>
      <c r="G863" s="1073"/>
      <c r="H863" s="1073"/>
      <c r="I863" s="1073"/>
      <c r="J863" s="1073"/>
      <c r="K863" s="1073"/>
      <c r="L863" s="1073"/>
      <c r="M863" s="1073"/>
      <c r="N863" s="1073"/>
      <c r="O863" s="1073"/>
      <c r="P863" s="1073"/>
      <c r="Q863" s="1073"/>
      <c r="R863" s="1073"/>
      <c r="S863" s="1073"/>
      <c r="T863" s="1073"/>
      <c r="U863" s="1073"/>
      <c r="V863" s="1073"/>
      <c r="W863" s="1073"/>
      <c r="X863" s="1073"/>
      <c r="Y863" s="1073"/>
      <c r="Z863" s="1073"/>
    </row>
    <row r="864" spans="1:26" ht="12.75" customHeight="1">
      <c r="A864" s="1073"/>
      <c r="B864" s="1073"/>
      <c r="C864" s="1073"/>
      <c r="D864" s="1073"/>
      <c r="E864" s="1073"/>
      <c r="F864" s="1073"/>
      <c r="G864" s="1073"/>
      <c r="H864" s="1073"/>
      <c r="I864" s="1073"/>
      <c r="J864" s="1073"/>
      <c r="K864" s="1073"/>
      <c r="L864" s="1073"/>
      <c r="M864" s="1073"/>
      <c r="N864" s="1073"/>
      <c r="O864" s="1073"/>
      <c r="P864" s="1073"/>
      <c r="Q864" s="1073"/>
      <c r="R864" s="1073"/>
      <c r="S864" s="1073"/>
      <c r="T864" s="1073"/>
      <c r="U864" s="1073"/>
      <c r="V864" s="1073"/>
      <c r="W864" s="1073"/>
      <c r="X864" s="1073"/>
      <c r="Y864" s="1073"/>
      <c r="Z864" s="1073"/>
    </row>
    <row r="865" spans="1:26" ht="12.75" customHeight="1">
      <c r="A865" s="1073"/>
      <c r="B865" s="1073"/>
      <c r="C865" s="1073"/>
      <c r="D865" s="1073"/>
      <c r="E865" s="1073"/>
      <c r="F865" s="1073"/>
      <c r="G865" s="1073"/>
      <c r="H865" s="1073"/>
      <c r="I865" s="1073"/>
      <c r="J865" s="1073"/>
      <c r="K865" s="1073"/>
      <c r="L865" s="1073"/>
      <c r="M865" s="1073"/>
      <c r="N865" s="1073"/>
      <c r="O865" s="1073"/>
      <c r="P865" s="1073"/>
      <c r="Q865" s="1073"/>
      <c r="R865" s="1073"/>
      <c r="S865" s="1073"/>
      <c r="T865" s="1073"/>
      <c r="U865" s="1073"/>
      <c r="V865" s="1073"/>
      <c r="W865" s="1073"/>
      <c r="X865" s="1073"/>
      <c r="Y865" s="1073"/>
      <c r="Z865" s="1073"/>
    </row>
    <row r="866" spans="1:26" ht="12.75" customHeight="1">
      <c r="A866" s="1073"/>
      <c r="B866" s="1073"/>
      <c r="C866" s="1073"/>
      <c r="D866" s="1073"/>
      <c r="E866" s="1073"/>
      <c r="F866" s="1073"/>
      <c r="G866" s="1073"/>
      <c r="H866" s="1073"/>
      <c r="I866" s="1073"/>
      <c r="J866" s="1073"/>
      <c r="K866" s="1073"/>
      <c r="L866" s="1073"/>
      <c r="M866" s="1073"/>
      <c r="N866" s="1073"/>
      <c r="O866" s="1073"/>
      <c r="P866" s="1073"/>
      <c r="Q866" s="1073"/>
      <c r="R866" s="1073"/>
      <c r="S866" s="1073"/>
      <c r="T866" s="1073"/>
      <c r="U866" s="1073"/>
      <c r="V866" s="1073"/>
      <c r="W866" s="1073"/>
      <c r="X866" s="1073"/>
      <c r="Y866" s="1073"/>
      <c r="Z866" s="1073"/>
    </row>
    <row r="867" spans="1:26" ht="12.75" customHeight="1">
      <c r="A867" s="1073"/>
      <c r="B867" s="1073"/>
      <c r="C867" s="1073"/>
      <c r="D867" s="1073"/>
      <c r="E867" s="1073"/>
      <c r="F867" s="1073"/>
      <c r="G867" s="1073"/>
      <c r="H867" s="1073"/>
      <c r="I867" s="1073"/>
      <c r="J867" s="1073"/>
      <c r="K867" s="1073"/>
      <c r="L867" s="1073"/>
      <c r="M867" s="1073"/>
      <c r="N867" s="1073"/>
      <c r="O867" s="1073"/>
      <c r="P867" s="1073"/>
      <c r="Q867" s="1073"/>
      <c r="R867" s="1073"/>
      <c r="S867" s="1073"/>
      <c r="T867" s="1073"/>
      <c r="U867" s="1073"/>
      <c r="V867" s="1073"/>
      <c r="W867" s="1073"/>
      <c r="X867" s="1073"/>
      <c r="Y867" s="1073"/>
      <c r="Z867" s="1073"/>
    </row>
    <row r="868" spans="1:26" ht="12.75" customHeight="1">
      <c r="A868" s="1073"/>
      <c r="B868" s="1073"/>
      <c r="C868" s="1073"/>
      <c r="D868" s="1073"/>
      <c r="E868" s="1073"/>
      <c r="F868" s="1073"/>
      <c r="G868" s="1073"/>
      <c r="H868" s="1073"/>
      <c r="I868" s="1073"/>
      <c r="J868" s="1073"/>
      <c r="K868" s="1073"/>
      <c r="L868" s="1073"/>
      <c r="M868" s="1073"/>
      <c r="N868" s="1073"/>
      <c r="O868" s="1073"/>
      <c r="P868" s="1073"/>
      <c r="Q868" s="1073"/>
      <c r="R868" s="1073"/>
      <c r="S868" s="1073"/>
      <c r="T868" s="1073"/>
      <c r="U868" s="1073"/>
      <c r="V868" s="1073"/>
      <c r="W868" s="1073"/>
      <c r="X868" s="1073"/>
      <c r="Y868" s="1073"/>
      <c r="Z868" s="1073"/>
    </row>
    <row r="869" spans="1:26" ht="12.75" customHeight="1">
      <c r="A869" s="1073"/>
      <c r="B869" s="1073"/>
      <c r="C869" s="1073"/>
      <c r="D869" s="1073"/>
      <c r="E869" s="1073"/>
      <c r="F869" s="1073"/>
      <c r="G869" s="1073"/>
      <c r="H869" s="1073"/>
      <c r="I869" s="1073"/>
      <c r="J869" s="1073"/>
      <c r="K869" s="1073"/>
      <c r="L869" s="1073"/>
      <c r="M869" s="1073"/>
      <c r="N869" s="1073"/>
      <c r="O869" s="1073"/>
      <c r="P869" s="1073"/>
      <c r="Q869" s="1073"/>
      <c r="R869" s="1073"/>
      <c r="S869" s="1073"/>
      <c r="T869" s="1073"/>
      <c r="U869" s="1073"/>
      <c r="V869" s="1073"/>
      <c r="W869" s="1073"/>
      <c r="X869" s="1073"/>
      <c r="Y869" s="1073"/>
      <c r="Z869" s="1073"/>
    </row>
    <row r="870" spans="1:26" ht="12.75" customHeight="1">
      <c r="A870" s="1073"/>
      <c r="B870" s="1073"/>
      <c r="C870" s="1073"/>
      <c r="D870" s="1073"/>
      <c r="E870" s="1073"/>
      <c r="F870" s="1073"/>
      <c r="G870" s="1073"/>
      <c r="H870" s="1073"/>
      <c r="I870" s="1073"/>
      <c r="J870" s="1073"/>
      <c r="K870" s="1073"/>
      <c r="L870" s="1073"/>
      <c r="M870" s="1073"/>
      <c r="N870" s="1073"/>
      <c r="O870" s="1073"/>
      <c r="P870" s="1073"/>
      <c r="Q870" s="1073"/>
      <c r="R870" s="1073"/>
      <c r="S870" s="1073"/>
      <c r="T870" s="1073"/>
      <c r="U870" s="1073"/>
      <c r="V870" s="1073"/>
      <c r="W870" s="1073"/>
      <c r="X870" s="1073"/>
      <c r="Y870" s="1073"/>
      <c r="Z870" s="1073"/>
    </row>
    <row r="871" spans="1:26" ht="12.75" customHeight="1">
      <c r="A871" s="1073"/>
      <c r="B871" s="1073"/>
      <c r="C871" s="1073"/>
      <c r="D871" s="1073"/>
      <c r="E871" s="1073"/>
      <c r="F871" s="1073"/>
      <c r="G871" s="1073"/>
      <c r="H871" s="1073"/>
      <c r="I871" s="1073"/>
      <c r="J871" s="1073"/>
      <c r="K871" s="1073"/>
      <c r="L871" s="1073"/>
      <c r="M871" s="1073"/>
      <c r="N871" s="1073"/>
      <c r="O871" s="1073"/>
      <c r="P871" s="1073"/>
      <c r="Q871" s="1073"/>
      <c r="R871" s="1073"/>
      <c r="S871" s="1073"/>
      <c r="T871" s="1073"/>
      <c r="U871" s="1073"/>
      <c r="V871" s="1073"/>
      <c r="W871" s="1073"/>
      <c r="X871" s="1073"/>
      <c r="Y871" s="1073"/>
      <c r="Z871" s="1073"/>
    </row>
    <row r="872" spans="1:26" ht="12.75" customHeight="1">
      <c r="A872" s="1073"/>
      <c r="B872" s="1073"/>
      <c r="C872" s="1073"/>
      <c r="D872" s="1073"/>
      <c r="E872" s="1073"/>
      <c r="F872" s="1073"/>
      <c r="G872" s="1073"/>
      <c r="H872" s="1073"/>
      <c r="I872" s="1073"/>
      <c r="J872" s="1073"/>
      <c r="K872" s="1073"/>
      <c r="L872" s="1073"/>
      <c r="M872" s="1073"/>
      <c r="N872" s="1073"/>
      <c r="O872" s="1073"/>
      <c r="P872" s="1073"/>
      <c r="Q872" s="1073"/>
      <c r="R872" s="1073"/>
      <c r="S872" s="1073"/>
      <c r="T872" s="1073"/>
      <c r="U872" s="1073"/>
      <c r="V872" s="1073"/>
      <c r="W872" s="1073"/>
      <c r="X872" s="1073"/>
      <c r="Y872" s="1073"/>
      <c r="Z872" s="1073"/>
    </row>
    <row r="873" spans="1:26" ht="12.75" customHeight="1">
      <c r="A873" s="1073"/>
      <c r="B873" s="1073"/>
      <c r="C873" s="1073"/>
      <c r="D873" s="1073"/>
      <c r="E873" s="1073"/>
      <c r="F873" s="1073"/>
      <c r="G873" s="1073"/>
      <c r="H873" s="1073"/>
      <c r="I873" s="1073"/>
      <c r="J873" s="1073"/>
      <c r="K873" s="1073"/>
      <c r="L873" s="1073"/>
      <c r="M873" s="1073"/>
      <c r="N873" s="1073"/>
      <c r="O873" s="1073"/>
      <c r="P873" s="1073"/>
      <c r="Q873" s="1073"/>
      <c r="R873" s="1073"/>
      <c r="S873" s="1073"/>
      <c r="T873" s="1073"/>
      <c r="U873" s="1073"/>
      <c r="V873" s="1073"/>
      <c r="W873" s="1073"/>
      <c r="X873" s="1073"/>
      <c r="Y873" s="1073"/>
      <c r="Z873" s="1073"/>
    </row>
    <row r="874" spans="1:26" ht="12.75" customHeight="1">
      <c r="A874" s="1073"/>
      <c r="B874" s="1073"/>
      <c r="C874" s="1073"/>
      <c r="D874" s="1073"/>
      <c r="E874" s="1073"/>
      <c r="F874" s="1073"/>
      <c r="G874" s="1073"/>
      <c r="H874" s="1073"/>
      <c r="I874" s="1073"/>
      <c r="J874" s="1073"/>
      <c r="K874" s="1073"/>
      <c r="L874" s="1073"/>
      <c r="M874" s="1073"/>
      <c r="N874" s="1073"/>
      <c r="O874" s="1073"/>
      <c r="P874" s="1073"/>
      <c r="Q874" s="1073"/>
      <c r="R874" s="1073"/>
      <c r="S874" s="1073"/>
      <c r="T874" s="1073"/>
      <c r="U874" s="1073"/>
      <c r="V874" s="1073"/>
      <c r="W874" s="1073"/>
      <c r="X874" s="1073"/>
      <c r="Y874" s="1073"/>
      <c r="Z874" s="1073"/>
    </row>
    <row r="875" spans="1:26" ht="12.75" customHeight="1">
      <c r="A875" s="1073"/>
      <c r="B875" s="1073"/>
      <c r="C875" s="1073"/>
      <c r="D875" s="1073"/>
      <c r="E875" s="1073"/>
      <c r="F875" s="1073"/>
      <c r="G875" s="1073"/>
      <c r="H875" s="1073"/>
      <c r="I875" s="1073"/>
      <c r="J875" s="1073"/>
      <c r="K875" s="1073"/>
      <c r="L875" s="1073"/>
      <c r="M875" s="1073"/>
      <c r="N875" s="1073"/>
      <c r="O875" s="1073"/>
      <c r="P875" s="1073"/>
      <c r="Q875" s="1073"/>
      <c r="R875" s="1073"/>
      <c r="S875" s="1073"/>
      <c r="T875" s="1073"/>
      <c r="U875" s="1073"/>
      <c r="V875" s="1073"/>
      <c r="W875" s="1073"/>
      <c r="X875" s="1073"/>
      <c r="Y875" s="1073"/>
      <c r="Z875" s="1073"/>
    </row>
    <row r="876" spans="1:26" ht="12.75" customHeight="1">
      <c r="A876" s="1073"/>
      <c r="B876" s="1073"/>
      <c r="C876" s="1073"/>
      <c r="D876" s="1073"/>
      <c r="E876" s="1073"/>
      <c r="F876" s="1073"/>
      <c r="G876" s="1073"/>
      <c r="H876" s="1073"/>
      <c r="I876" s="1073"/>
      <c r="J876" s="1073"/>
      <c r="K876" s="1073"/>
      <c r="L876" s="1073"/>
      <c r="M876" s="1073"/>
      <c r="N876" s="1073"/>
      <c r="O876" s="1073"/>
      <c r="P876" s="1073"/>
      <c r="Q876" s="1073"/>
      <c r="R876" s="1073"/>
      <c r="S876" s="1073"/>
      <c r="T876" s="1073"/>
      <c r="U876" s="1073"/>
      <c r="V876" s="1073"/>
      <c r="W876" s="1073"/>
      <c r="X876" s="1073"/>
      <c r="Y876" s="1073"/>
      <c r="Z876" s="1073"/>
    </row>
    <row r="877" spans="1:26" ht="12.75" customHeight="1">
      <c r="A877" s="1073"/>
      <c r="B877" s="1073"/>
      <c r="C877" s="1073"/>
      <c r="D877" s="1073"/>
      <c r="E877" s="1073"/>
      <c r="F877" s="1073"/>
      <c r="G877" s="1073"/>
      <c r="H877" s="1073"/>
      <c r="I877" s="1073"/>
      <c r="J877" s="1073"/>
      <c r="K877" s="1073"/>
      <c r="L877" s="1073"/>
      <c r="M877" s="1073"/>
      <c r="N877" s="1073"/>
      <c r="O877" s="1073"/>
      <c r="P877" s="1073"/>
      <c r="Q877" s="1073"/>
      <c r="R877" s="1073"/>
      <c r="S877" s="1073"/>
      <c r="T877" s="1073"/>
      <c r="U877" s="1073"/>
      <c r="V877" s="1073"/>
      <c r="W877" s="1073"/>
      <c r="X877" s="1073"/>
      <c r="Y877" s="1073"/>
      <c r="Z877" s="1073"/>
    </row>
    <row r="878" spans="1:26" ht="12.75" customHeight="1">
      <c r="A878" s="1073"/>
      <c r="B878" s="1073"/>
      <c r="C878" s="1073"/>
      <c r="D878" s="1073"/>
      <c r="E878" s="1073"/>
      <c r="F878" s="1073"/>
      <c r="G878" s="1073"/>
      <c r="H878" s="1073"/>
      <c r="I878" s="1073"/>
      <c r="J878" s="1073"/>
      <c r="K878" s="1073"/>
      <c r="L878" s="1073"/>
      <c r="M878" s="1073"/>
      <c r="N878" s="1073"/>
      <c r="O878" s="1073"/>
      <c r="P878" s="1073"/>
      <c r="Q878" s="1073"/>
      <c r="R878" s="1073"/>
      <c r="S878" s="1073"/>
      <c r="T878" s="1073"/>
      <c r="U878" s="1073"/>
      <c r="V878" s="1073"/>
      <c r="W878" s="1073"/>
      <c r="X878" s="1073"/>
      <c r="Y878" s="1073"/>
      <c r="Z878" s="1073"/>
    </row>
    <row r="879" spans="1:26" ht="12.75" customHeight="1">
      <c r="A879" s="1073"/>
      <c r="B879" s="1073"/>
      <c r="C879" s="1073"/>
      <c r="D879" s="1073"/>
      <c r="E879" s="1073"/>
      <c r="F879" s="1073"/>
      <c r="G879" s="1073"/>
      <c r="H879" s="1073"/>
      <c r="I879" s="1073"/>
      <c r="J879" s="1073"/>
      <c r="K879" s="1073"/>
      <c r="L879" s="1073"/>
      <c r="M879" s="1073"/>
      <c r="N879" s="1073"/>
      <c r="O879" s="1073"/>
      <c r="P879" s="1073"/>
      <c r="Q879" s="1073"/>
      <c r="R879" s="1073"/>
      <c r="S879" s="1073"/>
      <c r="T879" s="1073"/>
      <c r="U879" s="1073"/>
      <c r="V879" s="1073"/>
      <c r="W879" s="1073"/>
      <c r="X879" s="1073"/>
      <c r="Y879" s="1073"/>
      <c r="Z879" s="1073"/>
    </row>
    <row r="880" spans="1:26" ht="12.75" customHeight="1">
      <c r="A880" s="1073"/>
      <c r="B880" s="1073"/>
      <c r="C880" s="1073"/>
      <c r="D880" s="1073"/>
      <c r="E880" s="1073"/>
      <c r="F880" s="1073"/>
      <c r="G880" s="1073"/>
      <c r="H880" s="1073"/>
      <c r="I880" s="1073"/>
      <c r="J880" s="1073"/>
      <c r="K880" s="1073"/>
      <c r="L880" s="1073"/>
      <c r="M880" s="1073"/>
      <c r="N880" s="1073"/>
      <c r="O880" s="1073"/>
      <c r="P880" s="1073"/>
      <c r="Q880" s="1073"/>
      <c r="R880" s="1073"/>
      <c r="S880" s="1073"/>
      <c r="T880" s="1073"/>
      <c r="U880" s="1073"/>
      <c r="V880" s="1073"/>
      <c r="W880" s="1073"/>
      <c r="X880" s="1073"/>
      <c r="Y880" s="1073"/>
      <c r="Z880" s="1073"/>
    </row>
    <row r="881" spans="1:26" ht="12.75" customHeight="1">
      <c r="A881" s="1073"/>
      <c r="B881" s="1073"/>
      <c r="C881" s="1073"/>
      <c r="D881" s="1073"/>
      <c r="E881" s="1073"/>
      <c r="F881" s="1073"/>
      <c r="G881" s="1073"/>
      <c r="H881" s="1073"/>
      <c r="I881" s="1073"/>
      <c r="J881" s="1073"/>
      <c r="K881" s="1073"/>
      <c r="L881" s="1073"/>
      <c r="M881" s="1073"/>
      <c r="N881" s="1073"/>
      <c r="O881" s="1073"/>
      <c r="P881" s="1073"/>
      <c r="Q881" s="1073"/>
      <c r="R881" s="1073"/>
      <c r="S881" s="1073"/>
      <c r="T881" s="1073"/>
      <c r="U881" s="1073"/>
      <c r="V881" s="1073"/>
      <c r="W881" s="1073"/>
      <c r="X881" s="1073"/>
      <c r="Y881" s="1073"/>
      <c r="Z881" s="1073"/>
    </row>
    <row r="882" spans="1:26" ht="12.75" customHeight="1">
      <c r="A882" s="1073"/>
      <c r="B882" s="1073"/>
      <c r="C882" s="1073"/>
      <c r="D882" s="1073"/>
      <c r="E882" s="1073"/>
      <c r="F882" s="1073"/>
      <c r="G882" s="1073"/>
      <c r="H882" s="1073"/>
      <c r="I882" s="1073"/>
      <c r="J882" s="1073"/>
      <c r="K882" s="1073"/>
      <c r="L882" s="1073"/>
      <c r="M882" s="1073"/>
      <c r="N882" s="1073"/>
      <c r="O882" s="1073"/>
      <c r="P882" s="1073"/>
      <c r="Q882" s="1073"/>
      <c r="R882" s="1073"/>
      <c r="S882" s="1073"/>
      <c r="T882" s="1073"/>
      <c r="U882" s="1073"/>
      <c r="V882" s="1073"/>
      <c r="W882" s="1073"/>
      <c r="X882" s="1073"/>
      <c r="Y882" s="1073"/>
      <c r="Z882" s="1073"/>
    </row>
    <row r="883" spans="1:26" ht="12.75" customHeight="1">
      <c r="A883" s="1073"/>
      <c r="B883" s="1073"/>
      <c r="C883" s="1073"/>
      <c r="D883" s="1073"/>
      <c r="E883" s="1073"/>
      <c r="F883" s="1073"/>
      <c r="G883" s="1073"/>
      <c r="H883" s="1073"/>
      <c r="I883" s="1073"/>
      <c r="J883" s="1073"/>
      <c r="K883" s="1073"/>
      <c r="L883" s="1073"/>
      <c r="M883" s="1073"/>
      <c r="N883" s="1073"/>
      <c r="O883" s="1073"/>
      <c r="P883" s="1073"/>
      <c r="Q883" s="1073"/>
      <c r="R883" s="1073"/>
      <c r="S883" s="1073"/>
      <c r="T883" s="1073"/>
      <c r="U883" s="1073"/>
      <c r="V883" s="1073"/>
      <c r="W883" s="1073"/>
      <c r="X883" s="1073"/>
      <c r="Y883" s="1073"/>
      <c r="Z883" s="1073"/>
    </row>
    <row r="884" spans="1:26" ht="12.75" customHeight="1">
      <c r="A884" s="1073"/>
      <c r="B884" s="1073"/>
      <c r="C884" s="1073"/>
      <c r="D884" s="1073"/>
      <c r="E884" s="1073"/>
      <c r="F884" s="1073"/>
      <c r="G884" s="1073"/>
      <c r="H884" s="1073"/>
      <c r="I884" s="1073"/>
      <c r="J884" s="1073"/>
      <c r="K884" s="1073"/>
      <c r="L884" s="1073"/>
      <c r="M884" s="1073"/>
      <c r="N884" s="1073"/>
      <c r="O884" s="1073"/>
      <c r="P884" s="1073"/>
      <c r="Q884" s="1073"/>
      <c r="R884" s="1073"/>
      <c r="S884" s="1073"/>
      <c r="T884" s="1073"/>
      <c r="U884" s="1073"/>
      <c r="V884" s="1073"/>
      <c r="W884" s="1073"/>
      <c r="X884" s="1073"/>
      <c r="Y884" s="1073"/>
      <c r="Z884" s="1073"/>
    </row>
    <row r="885" spans="1:26" ht="12.75" customHeight="1">
      <c r="A885" s="1073"/>
      <c r="B885" s="1073"/>
      <c r="C885" s="1073"/>
      <c r="D885" s="1073"/>
      <c r="E885" s="1073"/>
      <c r="F885" s="1073"/>
      <c r="G885" s="1073"/>
      <c r="H885" s="1073"/>
      <c r="I885" s="1073"/>
      <c r="J885" s="1073"/>
      <c r="K885" s="1073"/>
      <c r="L885" s="1073"/>
      <c r="M885" s="1073"/>
      <c r="N885" s="1073"/>
      <c r="O885" s="1073"/>
      <c r="P885" s="1073"/>
      <c r="Q885" s="1073"/>
      <c r="R885" s="1073"/>
      <c r="S885" s="1073"/>
      <c r="T885" s="1073"/>
      <c r="U885" s="1073"/>
      <c r="V885" s="1073"/>
      <c r="W885" s="1073"/>
      <c r="X885" s="1073"/>
      <c r="Y885" s="1073"/>
      <c r="Z885" s="1073"/>
    </row>
    <row r="886" spans="1:26" ht="12.75" customHeight="1">
      <c r="A886" s="1073"/>
      <c r="B886" s="1073"/>
      <c r="C886" s="1073"/>
      <c r="D886" s="1073"/>
      <c r="E886" s="1073"/>
      <c r="F886" s="1073"/>
      <c r="G886" s="1073"/>
      <c r="H886" s="1073"/>
      <c r="I886" s="1073"/>
      <c r="J886" s="1073"/>
      <c r="K886" s="1073"/>
      <c r="L886" s="1073"/>
      <c r="M886" s="1073"/>
      <c r="N886" s="1073"/>
      <c r="O886" s="1073"/>
      <c r="P886" s="1073"/>
      <c r="Q886" s="1073"/>
      <c r="R886" s="1073"/>
      <c r="S886" s="1073"/>
      <c r="T886" s="1073"/>
      <c r="U886" s="1073"/>
      <c r="V886" s="1073"/>
      <c r="W886" s="1073"/>
      <c r="X886" s="1073"/>
      <c r="Y886" s="1073"/>
      <c r="Z886" s="1073"/>
    </row>
    <row r="887" spans="1:26" ht="12.75" customHeight="1">
      <c r="A887" s="1073"/>
      <c r="B887" s="1073"/>
      <c r="C887" s="1073"/>
      <c r="D887" s="1073"/>
      <c r="E887" s="1073"/>
      <c r="F887" s="1073"/>
      <c r="G887" s="1073"/>
      <c r="H887" s="1073"/>
      <c r="I887" s="1073"/>
      <c r="J887" s="1073"/>
      <c r="K887" s="1073"/>
      <c r="L887" s="1073"/>
      <c r="M887" s="1073"/>
      <c r="N887" s="1073"/>
      <c r="O887" s="1073"/>
      <c r="P887" s="1073"/>
      <c r="Q887" s="1073"/>
      <c r="R887" s="1073"/>
      <c r="S887" s="1073"/>
      <c r="T887" s="1073"/>
      <c r="U887" s="1073"/>
      <c r="V887" s="1073"/>
      <c r="W887" s="1073"/>
      <c r="X887" s="1073"/>
      <c r="Y887" s="1073"/>
      <c r="Z887" s="1073"/>
    </row>
    <row r="888" spans="1:26" ht="12.75" customHeight="1">
      <c r="A888" s="1073"/>
      <c r="B888" s="1073"/>
      <c r="C888" s="1073"/>
      <c r="D888" s="1073"/>
      <c r="E888" s="1073"/>
      <c r="F888" s="1073"/>
      <c r="G888" s="1073"/>
      <c r="H888" s="1073"/>
      <c r="I888" s="1073"/>
      <c r="J888" s="1073"/>
      <c r="K888" s="1073"/>
      <c r="L888" s="1073"/>
      <c r="M888" s="1073"/>
      <c r="N888" s="1073"/>
      <c r="O888" s="1073"/>
      <c r="P888" s="1073"/>
      <c r="Q888" s="1073"/>
      <c r="R888" s="1073"/>
      <c r="S888" s="1073"/>
      <c r="T888" s="1073"/>
      <c r="U888" s="1073"/>
      <c r="V888" s="1073"/>
      <c r="W888" s="1073"/>
      <c r="X888" s="1073"/>
      <c r="Y888" s="1073"/>
      <c r="Z888" s="1073"/>
    </row>
    <row r="889" spans="1:26" ht="12.75" customHeight="1">
      <c r="A889" s="1073"/>
      <c r="B889" s="1073"/>
      <c r="C889" s="1073"/>
      <c r="D889" s="1073"/>
      <c r="E889" s="1073"/>
      <c r="F889" s="1073"/>
      <c r="G889" s="1073"/>
      <c r="H889" s="1073"/>
      <c r="I889" s="1073"/>
      <c r="J889" s="1073"/>
      <c r="K889" s="1073"/>
      <c r="L889" s="1073"/>
      <c r="M889" s="1073"/>
      <c r="N889" s="1073"/>
      <c r="O889" s="1073"/>
      <c r="P889" s="1073"/>
      <c r="Q889" s="1073"/>
      <c r="R889" s="1073"/>
      <c r="S889" s="1073"/>
      <c r="T889" s="1073"/>
      <c r="U889" s="1073"/>
      <c r="V889" s="1073"/>
      <c r="W889" s="1073"/>
      <c r="X889" s="1073"/>
      <c r="Y889" s="1073"/>
      <c r="Z889" s="1073"/>
    </row>
    <row r="890" spans="1:26" ht="12.75" customHeight="1">
      <c r="A890" s="1073"/>
      <c r="B890" s="1073"/>
      <c r="C890" s="1073"/>
      <c r="D890" s="1073"/>
      <c r="E890" s="1073"/>
      <c r="F890" s="1073"/>
      <c r="G890" s="1073"/>
      <c r="H890" s="1073"/>
      <c r="I890" s="1073"/>
      <c r="J890" s="1073"/>
      <c r="K890" s="1073"/>
      <c r="L890" s="1073"/>
      <c r="M890" s="1073"/>
      <c r="N890" s="1073"/>
      <c r="O890" s="1073"/>
      <c r="P890" s="1073"/>
      <c r="Q890" s="1073"/>
      <c r="R890" s="1073"/>
      <c r="S890" s="1073"/>
      <c r="T890" s="1073"/>
      <c r="U890" s="1073"/>
      <c r="V890" s="1073"/>
      <c r="W890" s="1073"/>
      <c r="X890" s="1073"/>
      <c r="Y890" s="1073"/>
      <c r="Z890" s="1073"/>
    </row>
    <row r="891" spans="1:26" ht="12.75" customHeight="1">
      <c r="A891" s="1073"/>
      <c r="B891" s="1073"/>
      <c r="C891" s="1073"/>
      <c r="D891" s="1073"/>
      <c r="E891" s="1073"/>
      <c r="F891" s="1073"/>
      <c r="G891" s="1073"/>
      <c r="H891" s="1073"/>
      <c r="I891" s="1073"/>
      <c r="J891" s="1073"/>
      <c r="K891" s="1073"/>
      <c r="L891" s="1073"/>
      <c r="M891" s="1073"/>
      <c r="N891" s="1073"/>
      <c r="O891" s="1073"/>
      <c r="P891" s="1073"/>
      <c r="Q891" s="1073"/>
      <c r="R891" s="1073"/>
      <c r="S891" s="1073"/>
      <c r="T891" s="1073"/>
      <c r="U891" s="1073"/>
      <c r="V891" s="1073"/>
      <c r="W891" s="1073"/>
      <c r="X891" s="1073"/>
      <c r="Y891" s="1073"/>
      <c r="Z891" s="1073"/>
    </row>
    <row r="892" spans="1:26" ht="12.75" customHeight="1">
      <c r="A892" s="1073"/>
      <c r="B892" s="1073"/>
      <c r="C892" s="1073"/>
      <c r="D892" s="1073"/>
      <c r="E892" s="1073"/>
      <c r="F892" s="1073"/>
      <c r="G892" s="1073"/>
      <c r="H892" s="1073"/>
      <c r="I892" s="1073"/>
      <c r="J892" s="1073"/>
      <c r="K892" s="1073"/>
      <c r="L892" s="1073"/>
      <c r="M892" s="1073"/>
      <c r="N892" s="1073"/>
      <c r="O892" s="1073"/>
      <c r="P892" s="1073"/>
      <c r="Q892" s="1073"/>
      <c r="R892" s="1073"/>
      <c r="S892" s="1073"/>
      <c r="T892" s="1073"/>
      <c r="U892" s="1073"/>
      <c r="V892" s="1073"/>
      <c r="W892" s="1073"/>
      <c r="X892" s="1073"/>
      <c r="Y892" s="1073"/>
      <c r="Z892" s="1073"/>
    </row>
    <row r="893" spans="1:26" ht="12.75" customHeight="1">
      <c r="A893" s="1073"/>
      <c r="B893" s="1073"/>
      <c r="C893" s="1073"/>
      <c r="D893" s="1073"/>
      <c r="E893" s="1073"/>
      <c r="F893" s="1073"/>
      <c r="G893" s="1073"/>
      <c r="H893" s="1073"/>
      <c r="I893" s="1073"/>
      <c r="J893" s="1073"/>
      <c r="K893" s="1073"/>
      <c r="L893" s="1073"/>
      <c r="M893" s="1073"/>
      <c r="N893" s="1073"/>
      <c r="O893" s="1073"/>
      <c r="P893" s="1073"/>
      <c r="Q893" s="1073"/>
      <c r="R893" s="1073"/>
      <c r="S893" s="1073"/>
      <c r="T893" s="1073"/>
      <c r="U893" s="1073"/>
      <c r="V893" s="1073"/>
      <c r="W893" s="1073"/>
      <c r="X893" s="1073"/>
      <c r="Y893" s="1073"/>
      <c r="Z893" s="1073"/>
    </row>
    <row r="894" spans="1:26" ht="12.75" customHeight="1">
      <c r="A894" s="1073"/>
      <c r="B894" s="1073"/>
      <c r="C894" s="1073"/>
      <c r="D894" s="1073"/>
      <c r="E894" s="1073"/>
      <c r="F894" s="1073"/>
      <c r="G894" s="1073"/>
      <c r="H894" s="1073"/>
      <c r="I894" s="1073"/>
      <c r="J894" s="1073"/>
      <c r="K894" s="1073"/>
      <c r="L894" s="1073"/>
      <c r="M894" s="1073"/>
      <c r="N894" s="1073"/>
      <c r="O894" s="1073"/>
      <c r="P894" s="1073"/>
      <c r="Q894" s="1073"/>
      <c r="R894" s="1073"/>
      <c r="S894" s="1073"/>
      <c r="T894" s="1073"/>
      <c r="U894" s="1073"/>
      <c r="V894" s="1073"/>
      <c r="W894" s="1073"/>
      <c r="X894" s="1073"/>
      <c r="Y894" s="1073"/>
      <c r="Z894" s="1073"/>
    </row>
    <row r="895" spans="1:26" ht="12.75" customHeight="1">
      <c r="A895" s="1073"/>
      <c r="B895" s="1073"/>
      <c r="C895" s="1073"/>
      <c r="D895" s="1073"/>
      <c r="E895" s="1073"/>
      <c r="F895" s="1073"/>
      <c r="G895" s="1073"/>
      <c r="H895" s="1073"/>
      <c r="I895" s="1073"/>
      <c r="J895" s="1073"/>
      <c r="K895" s="1073"/>
      <c r="L895" s="1073"/>
      <c r="M895" s="1073"/>
      <c r="N895" s="1073"/>
      <c r="O895" s="1073"/>
      <c r="P895" s="1073"/>
      <c r="Q895" s="1073"/>
      <c r="R895" s="1073"/>
      <c r="S895" s="1073"/>
      <c r="T895" s="1073"/>
      <c r="U895" s="1073"/>
      <c r="V895" s="1073"/>
      <c r="W895" s="1073"/>
      <c r="X895" s="1073"/>
      <c r="Y895" s="1073"/>
      <c r="Z895" s="1073"/>
    </row>
    <row r="896" spans="1:26" ht="12.75" customHeight="1">
      <c r="A896" s="1073"/>
      <c r="B896" s="1073"/>
      <c r="C896" s="1073"/>
      <c r="D896" s="1073"/>
      <c r="E896" s="1073"/>
      <c r="F896" s="1073"/>
      <c r="G896" s="1073"/>
      <c r="H896" s="1073"/>
      <c r="I896" s="1073"/>
      <c r="J896" s="1073"/>
      <c r="K896" s="1073"/>
      <c r="L896" s="1073"/>
      <c r="M896" s="1073"/>
      <c r="N896" s="1073"/>
      <c r="O896" s="1073"/>
      <c r="P896" s="1073"/>
      <c r="Q896" s="1073"/>
      <c r="R896" s="1073"/>
      <c r="S896" s="1073"/>
      <c r="T896" s="1073"/>
      <c r="U896" s="1073"/>
      <c r="V896" s="1073"/>
      <c r="W896" s="1073"/>
      <c r="X896" s="1073"/>
      <c r="Y896" s="1073"/>
      <c r="Z896" s="1073"/>
    </row>
    <row r="897" spans="1:26" ht="12.75" customHeight="1">
      <c r="A897" s="1073"/>
      <c r="B897" s="1073"/>
      <c r="C897" s="1073"/>
      <c r="D897" s="1073"/>
      <c r="E897" s="1073"/>
      <c r="F897" s="1073"/>
      <c r="G897" s="1073"/>
      <c r="H897" s="1073"/>
      <c r="I897" s="1073"/>
      <c r="J897" s="1073"/>
      <c r="K897" s="1073"/>
      <c r="L897" s="1073"/>
      <c r="M897" s="1073"/>
      <c r="N897" s="1073"/>
      <c r="O897" s="1073"/>
      <c r="P897" s="1073"/>
      <c r="Q897" s="1073"/>
      <c r="R897" s="1073"/>
      <c r="S897" s="1073"/>
      <c r="T897" s="1073"/>
      <c r="U897" s="1073"/>
      <c r="V897" s="1073"/>
      <c r="W897" s="1073"/>
      <c r="X897" s="1073"/>
      <c r="Y897" s="1073"/>
      <c r="Z897" s="1073"/>
    </row>
    <row r="898" spans="1:26" ht="12.75" customHeight="1">
      <c r="A898" s="1073"/>
      <c r="B898" s="1073"/>
      <c r="C898" s="1073"/>
      <c r="D898" s="1073"/>
      <c r="E898" s="1073"/>
      <c r="F898" s="1073"/>
      <c r="G898" s="1073"/>
      <c r="H898" s="1073"/>
      <c r="I898" s="1073"/>
      <c r="J898" s="1073"/>
      <c r="K898" s="1073"/>
      <c r="L898" s="1073"/>
      <c r="M898" s="1073"/>
      <c r="N898" s="1073"/>
      <c r="O898" s="1073"/>
      <c r="P898" s="1073"/>
      <c r="Q898" s="1073"/>
      <c r="R898" s="1073"/>
      <c r="S898" s="1073"/>
      <c r="T898" s="1073"/>
      <c r="U898" s="1073"/>
      <c r="V898" s="1073"/>
      <c r="W898" s="1073"/>
      <c r="X898" s="1073"/>
      <c r="Y898" s="1073"/>
      <c r="Z898" s="1073"/>
    </row>
    <row r="899" spans="1:26" ht="12.75" customHeight="1">
      <c r="A899" s="1073"/>
      <c r="B899" s="1073"/>
      <c r="C899" s="1073"/>
      <c r="D899" s="1073"/>
      <c r="E899" s="1073"/>
      <c r="F899" s="1073"/>
      <c r="G899" s="1073"/>
      <c r="H899" s="1073"/>
      <c r="I899" s="1073"/>
      <c r="J899" s="1073"/>
      <c r="K899" s="1073"/>
      <c r="L899" s="1073"/>
      <c r="M899" s="1073"/>
      <c r="N899" s="1073"/>
      <c r="O899" s="1073"/>
      <c r="P899" s="1073"/>
      <c r="Q899" s="1073"/>
      <c r="R899" s="1073"/>
      <c r="S899" s="1073"/>
      <c r="T899" s="1073"/>
      <c r="U899" s="1073"/>
      <c r="V899" s="1073"/>
      <c r="W899" s="1073"/>
      <c r="X899" s="1073"/>
      <c r="Y899" s="1073"/>
      <c r="Z899" s="1073"/>
    </row>
    <row r="900" spans="1:26" ht="12.75" customHeight="1">
      <c r="A900" s="1073"/>
      <c r="B900" s="1073"/>
      <c r="C900" s="1073"/>
      <c r="D900" s="1073"/>
      <c r="E900" s="1073"/>
      <c r="F900" s="1073"/>
      <c r="G900" s="1073"/>
      <c r="H900" s="1073"/>
      <c r="I900" s="1073"/>
      <c r="J900" s="1073"/>
      <c r="K900" s="1073"/>
      <c r="L900" s="1073"/>
      <c r="M900" s="1073"/>
      <c r="N900" s="1073"/>
      <c r="O900" s="1073"/>
      <c r="P900" s="1073"/>
      <c r="Q900" s="1073"/>
      <c r="R900" s="1073"/>
      <c r="S900" s="1073"/>
      <c r="T900" s="1073"/>
      <c r="U900" s="1073"/>
      <c r="V900" s="1073"/>
      <c r="W900" s="1073"/>
      <c r="X900" s="1073"/>
      <c r="Y900" s="1073"/>
      <c r="Z900" s="1073"/>
    </row>
    <row r="901" spans="1:26" ht="12.75" customHeight="1">
      <c r="A901" s="1073"/>
      <c r="B901" s="1073"/>
      <c r="C901" s="1073"/>
      <c r="D901" s="1073"/>
      <c r="E901" s="1073"/>
      <c r="F901" s="1073"/>
      <c r="G901" s="1073"/>
      <c r="H901" s="1073"/>
      <c r="I901" s="1073"/>
      <c r="J901" s="1073"/>
      <c r="K901" s="1073"/>
      <c r="L901" s="1073"/>
      <c r="M901" s="1073"/>
      <c r="N901" s="1073"/>
      <c r="O901" s="1073"/>
      <c r="P901" s="1073"/>
      <c r="Q901" s="1073"/>
      <c r="R901" s="1073"/>
      <c r="S901" s="1073"/>
      <c r="T901" s="1073"/>
      <c r="U901" s="1073"/>
      <c r="V901" s="1073"/>
      <c r="W901" s="1073"/>
      <c r="X901" s="1073"/>
      <c r="Y901" s="1073"/>
      <c r="Z901" s="1073"/>
    </row>
    <row r="902" spans="1:26" ht="12.75" customHeight="1">
      <c r="A902" s="1073"/>
      <c r="B902" s="1073"/>
      <c r="C902" s="1073"/>
      <c r="D902" s="1073"/>
      <c r="E902" s="1073"/>
      <c r="F902" s="1073"/>
      <c r="G902" s="1073"/>
      <c r="H902" s="1073"/>
      <c r="I902" s="1073"/>
      <c r="J902" s="1073"/>
      <c r="K902" s="1073"/>
      <c r="L902" s="1073"/>
      <c r="M902" s="1073"/>
      <c r="N902" s="1073"/>
      <c r="O902" s="1073"/>
      <c r="P902" s="1073"/>
      <c r="Q902" s="1073"/>
      <c r="R902" s="1073"/>
      <c r="S902" s="1073"/>
      <c r="T902" s="1073"/>
      <c r="U902" s="1073"/>
      <c r="V902" s="1073"/>
      <c r="W902" s="1073"/>
      <c r="X902" s="1073"/>
      <c r="Y902" s="1073"/>
      <c r="Z902" s="1073"/>
    </row>
    <row r="903" spans="1:26" ht="12.75" customHeight="1">
      <c r="A903" s="1073"/>
      <c r="B903" s="1073"/>
      <c r="C903" s="1073"/>
      <c r="D903" s="1073"/>
      <c r="E903" s="1073"/>
      <c r="F903" s="1073"/>
      <c r="G903" s="1073"/>
      <c r="H903" s="1073"/>
      <c r="I903" s="1073"/>
      <c r="J903" s="1073"/>
      <c r="K903" s="1073"/>
      <c r="L903" s="1073"/>
      <c r="M903" s="1073"/>
      <c r="N903" s="1073"/>
      <c r="O903" s="1073"/>
      <c r="P903" s="1073"/>
      <c r="Q903" s="1073"/>
      <c r="R903" s="1073"/>
      <c r="S903" s="1073"/>
      <c r="T903" s="1073"/>
      <c r="U903" s="1073"/>
      <c r="V903" s="1073"/>
      <c r="W903" s="1073"/>
      <c r="X903" s="1073"/>
      <c r="Y903" s="1073"/>
      <c r="Z903" s="1073"/>
    </row>
    <row r="904" spans="1:26" ht="12.75" customHeight="1">
      <c r="A904" s="1073"/>
      <c r="B904" s="1073"/>
      <c r="C904" s="1073"/>
      <c r="D904" s="1073"/>
      <c r="E904" s="1073"/>
      <c r="F904" s="1073"/>
      <c r="G904" s="1073"/>
      <c r="H904" s="1073"/>
      <c r="I904" s="1073"/>
      <c r="J904" s="1073"/>
      <c r="K904" s="1073"/>
      <c r="L904" s="1073"/>
      <c r="M904" s="1073"/>
      <c r="N904" s="1073"/>
      <c r="O904" s="1073"/>
      <c r="P904" s="1073"/>
      <c r="Q904" s="1073"/>
      <c r="R904" s="1073"/>
      <c r="S904" s="1073"/>
      <c r="T904" s="1073"/>
      <c r="U904" s="1073"/>
      <c r="V904" s="1073"/>
      <c r="W904" s="1073"/>
      <c r="X904" s="1073"/>
      <c r="Y904" s="1073"/>
      <c r="Z904" s="1073"/>
    </row>
    <row r="905" spans="1:26" ht="12.75" customHeight="1">
      <c r="A905" s="1073"/>
      <c r="B905" s="1073"/>
      <c r="C905" s="1073"/>
      <c r="D905" s="1073"/>
      <c r="E905" s="1073"/>
      <c r="F905" s="1073"/>
      <c r="G905" s="1073"/>
      <c r="H905" s="1073"/>
      <c r="I905" s="1073"/>
      <c r="J905" s="1073"/>
      <c r="K905" s="1073"/>
      <c r="L905" s="1073"/>
      <c r="M905" s="1073"/>
      <c r="N905" s="1073"/>
      <c r="O905" s="1073"/>
      <c r="P905" s="1073"/>
      <c r="Q905" s="1073"/>
      <c r="R905" s="1073"/>
      <c r="S905" s="1073"/>
      <c r="T905" s="1073"/>
      <c r="U905" s="1073"/>
      <c r="V905" s="1073"/>
      <c r="W905" s="1073"/>
      <c r="X905" s="1073"/>
      <c r="Y905" s="1073"/>
      <c r="Z905" s="1073"/>
    </row>
    <row r="906" spans="1:26" ht="12.75" customHeight="1">
      <c r="A906" s="1073"/>
      <c r="B906" s="1073"/>
      <c r="C906" s="1073"/>
      <c r="D906" s="1073"/>
      <c r="E906" s="1073"/>
      <c r="F906" s="1073"/>
      <c r="G906" s="1073"/>
      <c r="H906" s="1073"/>
      <c r="I906" s="1073"/>
      <c r="J906" s="1073"/>
      <c r="K906" s="1073"/>
      <c r="L906" s="1073"/>
      <c r="M906" s="1073"/>
      <c r="N906" s="1073"/>
      <c r="O906" s="1073"/>
      <c r="P906" s="1073"/>
      <c r="Q906" s="1073"/>
      <c r="R906" s="1073"/>
      <c r="S906" s="1073"/>
      <c r="T906" s="1073"/>
      <c r="U906" s="1073"/>
      <c r="V906" s="1073"/>
      <c r="W906" s="1073"/>
      <c r="X906" s="1073"/>
      <c r="Y906" s="1073"/>
      <c r="Z906" s="1073"/>
    </row>
    <row r="907" spans="1:26" ht="12.75" customHeight="1">
      <c r="A907" s="1073"/>
      <c r="B907" s="1073"/>
      <c r="C907" s="1073"/>
      <c r="D907" s="1073"/>
      <c r="E907" s="1073"/>
      <c r="F907" s="1073"/>
      <c r="G907" s="1073"/>
      <c r="H907" s="1073"/>
      <c r="I907" s="1073"/>
      <c r="J907" s="1073"/>
      <c r="K907" s="1073"/>
      <c r="L907" s="1073"/>
      <c r="M907" s="1073"/>
      <c r="N907" s="1073"/>
      <c r="O907" s="1073"/>
      <c r="P907" s="1073"/>
      <c r="Q907" s="1073"/>
      <c r="R907" s="1073"/>
      <c r="S907" s="1073"/>
      <c r="T907" s="1073"/>
      <c r="U907" s="1073"/>
      <c r="V907" s="1073"/>
      <c r="W907" s="1073"/>
      <c r="X907" s="1073"/>
      <c r="Y907" s="1073"/>
      <c r="Z907" s="1073"/>
    </row>
    <row r="908" spans="1:26" ht="12.75" customHeight="1">
      <c r="A908" s="1073"/>
      <c r="B908" s="1073"/>
      <c r="C908" s="1073"/>
      <c r="D908" s="1073"/>
      <c r="E908" s="1073"/>
      <c r="F908" s="1073"/>
      <c r="G908" s="1073"/>
      <c r="H908" s="1073"/>
      <c r="I908" s="1073"/>
      <c r="J908" s="1073"/>
      <c r="K908" s="1073"/>
      <c r="L908" s="1073"/>
      <c r="M908" s="1073"/>
      <c r="N908" s="1073"/>
      <c r="O908" s="1073"/>
      <c r="P908" s="1073"/>
      <c r="Q908" s="1073"/>
      <c r="R908" s="1073"/>
      <c r="S908" s="1073"/>
      <c r="T908" s="1073"/>
      <c r="U908" s="1073"/>
      <c r="V908" s="1073"/>
      <c r="W908" s="1073"/>
      <c r="X908" s="1073"/>
      <c r="Y908" s="1073"/>
      <c r="Z908" s="1073"/>
    </row>
    <row r="909" spans="1:26" ht="12.75" customHeight="1">
      <c r="A909" s="1073"/>
      <c r="B909" s="1073"/>
      <c r="C909" s="1073"/>
      <c r="D909" s="1073"/>
      <c r="E909" s="1073"/>
      <c r="F909" s="1073"/>
      <c r="G909" s="1073"/>
      <c r="H909" s="1073"/>
      <c r="I909" s="1073"/>
      <c r="J909" s="1073"/>
      <c r="K909" s="1073"/>
      <c r="L909" s="1073"/>
      <c r="M909" s="1073"/>
      <c r="N909" s="1073"/>
      <c r="O909" s="1073"/>
      <c r="P909" s="1073"/>
      <c r="Q909" s="1073"/>
      <c r="R909" s="1073"/>
      <c r="S909" s="1073"/>
      <c r="T909" s="1073"/>
      <c r="U909" s="1073"/>
      <c r="V909" s="1073"/>
      <c r="W909" s="1073"/>
      <c r="X909" s="1073"/>
      <c r="Y909" s="1073"/>
      <c r="Z909" s="1073"/>
    </row>
    <row r="910" spans="1:26" ht="12.75" customHeight="1">
      <c r="A910" s="1073"/>
      <c r="B910" s="1073"/>
      <c r="C910" s="1073"/>
      <c r="D910" s="1073"/>
      <c r="E910" s="1073"/>
      <c r="F910" s="1073"/>
      <c r="G910" s="1073"/>
      <c r="H910" s="1073"/>
      <c r="I910" s="1073"/>
      <c r="J910" s="1073"/>
      <c r="K910" s="1073"/>
      <c r="L910" s="1073"/>
      <c r="M910" s="1073"/>
      <c r="N910" s="1073"/>
      <c r="O910" s="1073"/>
      <c r="P910" s="1073"/>
      <c r="Q910" s="1073"/>
      <c r="R910" s="1073"/>
      <c r="S910" s="1073"/>
      <c r="T910" s="1073"/>
      <c r="U910" s="1073"/>
      <c r="V910" s="1073"/>
      <c r="W910" s="1073"/>
      <c r="X910" s="1073"/>
      <c r="Y910" s="1073"/>
      <c r="Z910" s="1073"/>
    </row>
    <row r="911" spans="1:26" ht="12.75" customHeight="1">
      <c r="A911" s="1073"/>
      <c r="B911" s="1073"/>
      <c r="C911" s="1073"/>
      <c r="D911" s="1073"/>
      <c r="E911" s="1073"/>
      <c r="F911" s="1073"/>
      <c r="G911" s="1073"/>
      <c r="H911" s="1073"/>
      <c r="I911" s="1073"/>
      <c r="J911" s="1073"/>
      <c r="K911" s="1073"/>
      <c r="L911" s="1073"/>
      <c r="M911" s="1073"/>
      <c r="N911" s="1073"/>
      <c r="O911" s="1073"/>
      <c r="P911" s="1073"/>
      <c r="Q911" s="1073"/>
      <c r="R911" s="1073"/>
      <c r="S911" s="1073"/>
      <c r="T911" s="1073"/>
      <c r="U911" s="1073"/>
      <c r="V911" s="1073"/>
      <c r="W911" s="1073"/>
      <c r="X911" s="1073"/>
      <c r="Y911" s="1073"/>
      <c r="Z911" s="1073"/>
    </row>
    <row r="912" spans="1:26" ht="12.75" customHeight="1">
      <c r="A912" s="1073"/>
      <c r="B912" s="1073"/>
      <c r="C912" s="1073"/>
      <c r="D912" s="1073"/>
      <c r="E912" s="1073"/>
      <c r="F912" s="1073"/>
      <c r="G912" s="1073"/>
      <c r="H912" s="1073"/>
      <c r="I912" s="1073"/>
      <c r="J912" s="1073"/>
      <c r="K912" s="1073"/>
      <c r="L912" s="1073"/>
      <c r="M912" s="1073"/>
      <c r="N912" s="1073"/>
      <c r="O912" s="1073"/>
      <c r="P912" s="1073"/>
      <c r="Q912" s="1073"/>
      <c r="R912" s="1073"/>
      <c r="S912" s="1073"/>
      <c r="T912" s="1073"/>
      <c r="U912" s="1073"/>
      <c r="V912" s="1073"/>
      <c r="W912" s="1073"/>
      <c r="X912" s="1073"/>
      <c r="Y912" s="1073"/>
      <c r="Z912" s="1073"/>
    </row>
    <row r="913" spans="1:26" ht="12.75" customHeight="1">
      <c r="A913" s="1073"/>
      <c r="B913" s="1073"/>
      <c r="C913" s="1073"/>
      <c r="D913" s="1073"/>
      <c r="E913" s="1073"/>
      <c r="F913" s="1073"/>
      <c r="G913" s="1073"/>
      <c r="H913" s="1073"/>
      <c r="I913" s="1073"/>
      <c r="J913" s="1073"/>
      <c r="K913" s="1073"/>
      <c r="L913" s="1073"/>
      <c r="M913" s="1073"/>
      <c r="N913" s="1073"/>
      <c r="O913" s="1073"/>
      <c r="P913" s="1073"/>
      <c r="Q913" s="1073"/>
      <c r="R913" s="1073"/>
      <c r="S913" s="1073"/>
      <c r="T913" s="1073"/>
      <c r="U913" s="1073"/>
      <c r="V913" s="1073"/>
      <c r="W913" s="1073"/>
      <c r="X913" s="1073"/>
      <c r="Y913" s="1073"/>
      <c r="Z913" s="1073"/>
    </row>
    <row r="914" spans="1:26" ht="12.75" customHeight="1">
      <c r="A914" s="1073"/>
      <c r="B914" s="1073"/>
      <c r="C914" s="1073"/>
      <c r="D914" s="1073"/>
      <c r="E914" s="1073"/>
      <c r="F914" s="1073"/>
      <c r="G914" s="1073"/>
      <c r="H914" s="1073"/>
      <c r="I914" s="1073"/>
      <c r="J914" s="1073"/>
      <c r="K914" s="1073"/>
      <c r="L914" s="1073"/>
      <c r="M914" s="1073"/>
      <c r="N914" s="1073"/>
      <c r="O914" s="1073"/>
      <c r="P914" s="1073"/>
      <c r="Q914" s="1073"/>
      <c r="R914" s="1073"/>
      <c r="S914" s="1073"/>
      <c r="T914" s="1073"/>
      <c r="U914" s="1073"/>
      <c r="V914" s="1073"/>
      <c r="W914" s="1073"/>
      <c r="X914" s="1073"/>
      <c r="Y914" s="1073"/>
      <c r="Z914" s="1073"/>
    </row>
    <row r="915" spans="1:26" ht="12.75" customHeight="1">
      <c r="A915" s="1073"/>
      <c r="B915" s="1073"/>
      <c r="C915" s="1073"/>
      <c r="D915" s="1073"/>
      <c r="E915" s="1073"/>
      <c r="F915" s="1073"/>
      <c r="G915" s="1073"/>
      <c r="H915" s="1073"/>
      <c r="I915" s="1073"/>
      <c r="J915" s="1073"/>
      <c r="K915" s="1073"/>
      <c r="L915" s="1073"/>
      <c r="M915" s="1073"/>
      <c r="N915" s="1073"/>
      <c r="O915" s="1073"/>
      <c r="P915" s="1073"/>
      <c r="Q915" s="1073"/>
      <c r="R915" s="1073"/>
      <c r="S915" s="1073"/>
      <c r="T915" s="1073"/>
      <c r="U915" s="1073"/>
      <c r="V915" s="1073"/>
      <c r="W915" s="1073"/>
      <c r="X915" s="1073"/>
      <c r="Y915" s="1073"/>
      <c r="Z915" s="1073"/>
    </row>
    <row r="916" spans="1:26" ht="12.75" customHeight="1">
      <c r="A916" s="1073"/>
      <c r="B916" s="1073"/>
      <c r="C916" s="1073"/>
      <c r="D916" s="1073"/>
      <c r="E916" s="1073"/>
      <c r="F916" s="1073"/>
      <c r="G916" s="1073"/>
      <c r="H916" s="1073"/>
      <c r="I916" s="1073"/>
      <c r="J916" s="1073"/>
      <c r="K916" s="1073"/>
      <c r="L916" s="1073"/>
      <c r="M916" s="1073"/>
      <c r="N916" s="1073"/>
      <c r="O916" s="1073"/>
      <c r="P916" s="1073"/>
      <c r="Q916" s="1073"/>
      <c r="R916" s="1073"/>
      <c r="S916" s="1073"/>
      <c r="T916" s="1073"/>
      <c r="U916" s="1073"/>
      <c r="V916" s="1073"/>
      <c r="W916" s="1073"/>
      <c r="X916" s="1073"/>
      <c r="Y916" s="1073"/>
      <c r="Z916" s="1073"/>
    </row>
    <row r="917" spans="1:26" ht="12.75" customHeight="1">
      <c r="A917" s="1073"/>
      <c r="B917" s="1073"/>
      <c r="C917" s="1073"/>
      <c r="D917" s="1073"/>
      <c r="E917" s="1073"/>
      <c r="F917" s="1073"/>
      <c r="G917" s="1073"/>
      <c r="H917" s="1073"/>
      <c r="I917" s="1073"/>
      <c r="J917" s="1073"/>
      <c r="K917" s="1073"/>
      <c r="L917" s="1073"/>
      <c r="M917" s="1073"/>
      <c r="N917" s="1073"/>
      <c r="O917" s="1073"/>
      <c r="P917" s="1073"/>
      <c r="Q917" s="1073"/>
      <c r="R917" s="1073"/>
      <c r="S917" s="1073"/>
      <c r="T917" s="1073"/>
      <c r="U917" s="1073"/>
      <c r="V917" s="1073"/>
      <c r="W917" s="1073"/>
      <c r="X917" s="1073"/>
      <c r="Y917" s="1073"/>
      <c r="Z917" s="1073"/>
    </row>
    <row r="918" spans="1:26" ht="12.75" customHeight="1">
      <c r="A918" s="1073"/>
      <c r="B918" s="1073"/>
      <c r="C918" s="1073"/>
      <c r="D918" s="1073"/>
      <c r="E918" s="1073"/>
      <c r="F918" s="1073"/>
      <c r="G918" s="1073"/>
      <c r="H918" s="1073"/>
      <c r="I918" s="1073"/>
      <c r="J918" s="1073"/>
      <c r="K918" s="1073"/>
      <c r="L918" s="1073"/>
      <c r="M918" s="1073"/>
      <c r="N918" s="1073"/>
      <c r="O918" s="1073"/>
      <c r="P918" s="1073"/>
      <c r="Q918" s="1073"/>
      <c r="R918" s="1073"/>
      <c r="S918" s="1073"/>
      <c r="T918" s="1073"/>
      <c r="U918" s="1073"/>
      <c r="V918" s="1073"/>
      <c r="W918" s="1073"/>
      <c r="X918" s="1073"/>
      <c r="Y918" s="1073"/>
      <c r="Z918" s="1073"/>
    </row>
    <row r="919" spans="1:26" ht="12.75" customHeight="1">
      <c r="A919" s="1073"/>
      <c r="B919" s="1073"/>
      <c r="C919" s="1073"/>
      <c r="D919" s="1073"/>
      <c r="E919" s="1073"/>
      <c r="F919" s="1073"/>
      <c r="G919" s="1073"/>
      <c r="H919" s="1073"/>
      <c r="I919" s="1073"/>
      <c r="J919" s="1073"/>
      <c r="K919" s="1073"/>
      <c r="L919" s="1073"/>
      <c r="M919" s="1073"/>
      <c r="N919" s="1073"/>
      <c r="O919" s="1073"/>
      <c r="P919" s="1073"/>
      <c r="Q919" s="1073"/>
      <c r="R919" s="1073"/>
      <c r="S919" s="1073"/>
      <c r="T919" s="1073"/>
      <c r="U919" s="1073"/>
      <c r="V919" s="1073"/>
      <c r="W919" s="1073"/>
      <c r="X919" s="1073"/>
      <c r="Y919" s="1073"/>
      <c r="Z919" s="1073"/>
    </row>
    <row r="920" spans="1:26" ht="12.75" customHeight="1">
      <c r="A920" s="1073"/>
      <c r="B920" s="1073"/>
      <c r="C920" s="1073"/>
      <c r="D920" s="1073"/>
      <c r="E920" s="1073"/>
      <c r="F920" s="1073"/>
      <c r="G920" s="1073"/>
      <c r="H920" s="1073"/>
      <c r="I920" s="1073"/>
      <c r="J920" s="1073"/>
      <c r="K920" s="1073"/>
      <c r="L920" s="1073"/>
      <c r="M920" s="1073"/>
      <c r="N920" s="1073"/>
      <c r="O920" s="1073"/>
      <c r="P920" s="1073"/>
      <c r="Q920" s="1073"/>
      <c r="R920" s="1073"/>
      <c r="S920" s="1073"/>
      <c r="T920" s="1073"/>
      <c r="U920" s="1073"/>
      <c r="V920" s="1073"/>
      <c r="W920" s="1073"/>
      <c r="X920" s="1073"/>
      <c r="Y920" s="1073"/>
      <c r="Z920" s="1073"/>
    </row>
    <row r="921" spans="1:26" ht="12.75" customHeight="1">
      <c r="A921" s="1073"/>
      <c r="B921" s="1073"/>
      <c r="C921" s="1073"/>
      <c r="D921" s="1073"/>
      <c r="E921" s="1073"/>
      <c r="F921" s="1073"/>
      <c r="G921" s="1073"/>
      <c r="H921" s="1073"/>
      <c r="I921" s="1073"/>
      <c r="J921" s="1073"/>
      <c r="K921" s="1073"/>
      <c r="L921" s="1073"/>
      <c r="M921" s="1073"/>
      <c r="N921" s="1073"/>
      <c r="O921" s="1073"/>
      <c r="P921" s="1073"/>
      <c r="Q921" s="1073"/>
      <c r="R921" s="1073"/>
      <c r="S921" s="1073"/>
      <c r="T921" s="1073"/>
      <c r="U921" s="1073"/>
      <c r="V921" s="1073"/>
      <c r="W921" s="1073"/>
      <c r="X921" s="1073"/>
      <c r="Y921" s="1073"/>
      <c r="Z921" s="1073"/>
    </row>
    <row r="922" spans="1:26" ht="12.75" customHeight="1">
      <c r="A922" s="1073"/>
      <c r="B922" s="1073"/>
      <c r="C922" s="1073"/>
      <c r="D922" s="1073"/>
      <c r="E922" s="1073"/>
      <c r="F922" s="1073"/>
      <c r="G922" s="1073"/>
      <c r="H922" s="1073"/>
      <c r="I922" s="1073"/>
      <c r="J922" s="1073"/>
      <c r="K922" s="1073"/>
      <c r="L922" s="1073"/>
      <c r="M922" s="1073"/>
      <c r="N922" s="1073"/>
      <c r="O922" s="1073"/>
      <c r="P922" s="1073"/>
      <c r="Q922" s="1073"/>
      <c r="R922" s="1073"/>
      <c r="S922" s="1073"/>
      <c r="T922" s="1073"/>
      <c r="U922" s="1073"/>
      <c r="V922" s="1073"/>
      <c r="W922" s="1073"/>
      <c r="X922" s="1073"/>
      <c r="Y922" s="1073"/>
      <c r="Z922" s="1073"/>
    </row>
    <row r="923" spans="1:26" ht="12.75" customHeight="1">
      <c r="A923" s="1073"/>
      <c r="B923" s="1073"/>
      <c r="C923" s="1073"/>
      <c r="D923" s="1073"/>
      <c r="E923" s="1073"/>
      <c r="F923" s="1073"/>
      <c r="G923" s="1073"/>
      <c r="H923" s="1073"/>
      <c r="I923" s="1073"/>
      <c r="J923" s="1073"/>
      <c r="K923" s="1073"/>
      <c r="L923" s="1073"/>
      <c r="M923" s="1073"/>
      <c r="N923" s="1073"/>
      <c r="O923" s="1073"/>
      <c r="P923" s="1073"/>
      <c r="Q923" s="1073"/>
      <c r="R923" s="1073"/>
      <c r="S923" s="1073"/>
      <c r="T923" s="1073"/>
      <c r="U923" s="1073"/>
      <c r="V923" s="1073"/>
      <c r="W923" s="1073"/>
      <c r="X923" s="1073"/>
      <c r="Y923" s="1073"/>
      <c r="Z923" s="1073"/>
    </row>
    <row r="924" spans="1:26" ht="12.75" customHeight="1">
      <c r="A924" s="1073"/>
      <c r="B924" s="1073"/>
      <c r="C924" s="1073"/>
      <c r="D924" s="1073"/>
      <c r="E924" s="1073"/>
      <c r="F924" s="1073"/>
      <c r="G924" s="1073"/>
      <c r="H924" s="1073"/>
      <c r="I924" s="1073"/>
      <c r="J924" s="1073"/>
      <c r="K924" s="1073"/>
      <c r="L924" s="1073"/>
      <c r="M924" s="1073"/>
      <c r="N924" s="1073"/>
      <c r="O924" s="1073"/>
      <c r="P924" s="1073"/>
      <c r="Q924" s="1073"/>
      <c r="R924" s="1073"/>
      <c r="S924" s="1073"/>
      <c r="T924" s="1073"/>
      <c r="U924" s="1073"/>
      <c r="V924" s="1073"/>
      <c r="W924" s="1073"/>
      <c r="X924" s="1073"/>
      <c r="Y924" s="1073"/>
      <c r="Z924" s="1073"/>
    </row>
    <row r="925" spans="1:26" ht="12.75" customHeight="1">
      <c r="A925" s="1073"/>
      <c r="B925" s="1073"/>
      <c r="C925" s="1073"/>
      <c r="D925" s="1073"/>
      <c r="E925" s="1073"/>
      <c r="F925" s="1073"/>
      <c r="G925" s="1073"/>
      <c r="H925" s="1073"/>
      <c r="I925" s="1073"/>
      <c r="J925" s="1073"/>
      <c r="K925" s="1073"/>
      <c r="L925" s="1073"/>
      <c r="M925" s="1073"/>
      <c r="N925" s="1073"/>
      <c r="O925" s="1073"/>
      <c r="P925" s="1073"/>
      <c r="Q925" s="1073"/>
      <c r="R925" s="1073"/>
      <c r="S925" s="1073"/>
      <c r="T925" s="1073"/>
      <c r="U925" s="1073"/>
      <c r="V925" s="1073"/>
      <c r="W925" s="1073"/>
      <c r="X925" s="1073"/>
      <c r="Y925" s="1073"/>
      <c r="Z925" s="1073"/>
    </row>
    <row r="926" spans="1:26" ht="12.75" customHeight="1">
      <c r="A926" s="1073"/>
      <c r="B926" s="1073"/>
      <c r="C926" s="1073"/>
      <c r="D926" s="1073"/>
      <c r="E926" s="1073"/>
      <c r="F926" s="1073"/>
      <c r="G926" s="1073"/>
      <c r="H926" s="1073"/>
      <c r="I926" s="1073"/>
      <c r="J926" s="1073"/>
      <c r="K926" s="1073"/>
      <c r="L926" s="1073"/>
      <c r="M926" s="1073"/>
      <c r="N926" s="1073"/>
      <c r="O926" s="1073"/>
      <c r="P926" s="1073"/>
      <c r="Q926" s="1073"/>
      <c r="R926" s="1073"/>
      <c r="S926" s="1073"/>
      <c r="T926" s="1073"/>
      <c r="U926" s="1073"/>
      <c r="V926" s="1073"/>
      <c r="W926" s="1073"/>
      <c r="X926" s="1073"/>
      <c r="Y926" s="1073"/>
      <c r="Z926" s="1073"/>
    </row>
    <row r="927" spans="1:26" ht="12.75" customHeight="1">
      <c r="A927" s="1073"/>
      <c r="B927" s="1073"/>
      <c r="C927" s="1073"/>
      <c r="D927" s="1073"/>
      <c r="E927" s="1073"/>
      <c r="F927" s="1073"/>
      <c r="G927" s="1073"/>
      <c r="H927" s="1073"/>
      <c r="I927" s="1073"/>
      <c r="J927" s="1073"/>
      <c r="K927" s="1073"/>
      <c r="L927" s="1073"/>
      <c r="M927" s="1073"/>
      <c r="N927" s="1073"/>
      <c r="O927" s="1073"/>
      <c r="P927" s="1073"/>
      <c r="Q927" s="1073"/>
      <c r="R927" s="1073"/>
      <c r="S927" s="1073"/>
      <c r="T927" s="1073"/>
      <c r="U927" s="1073"/>
      <c r="V927" s="1073"/>
      <c r="W927" s="1073"/>
      <c r="X927" s="1073"/>
      <c r="Y927" s="1073"/>
      <c r="Z927" s="1073"/>
    </row>
    <row r="928" spans="1:26" ht="12.75" customHeight="1">
      <c r="A928" s="1073"/>
      <c r="B928" s="1073"/>
      <c r="C928" s="1073"/>
      <c r="D928" s="1073"/>
      <c r="E928" s="1073"/>
      <c r="F928" s="1073"/>
      <c r="G928" s="1073"/>
      <c r="H928" s="1073"/>
      <c r="I928" s="1073"/>
      <c r="J928" s="1073"/>
      <c r="K928" s="1073"/>
      <c r="L928" s="1073"/>
      <c r="M928" s="1073"/>
      <c r="N928" s="1073"/>
      <c r="O928" s="1073"/>
      <c r="P928" s="1073"/>
      <c r="Q928" s="1073"/>
      <c r="R928" s="1073"/>
      <c r="S928" s="1073"/>
      <c r="T928" s="1073"/>
      <c r="U928" s="1073"/>
      <c r="V928" s="1073"/>
      <c r="W928" s="1073"/>
      <c r="X928" s="1073"/>
      <c r="Y928" s="1073"/>
      <c r="Z928" s="1073"/>
    </row>
    <row r="929" spans="1:26" ht="12.75" customHeight="1">
      <c r="A929" s="1073"/>
      <c r="B929" s="1073"/>
      <c r="C929" s="1073"/>
      <c r="D929" s="1073"/>
      <c r="E929" s="1073"/>
      <c r="F929" s="1073"/>
      <c r="G929" s="1073"/>
      <c r="H929" s="1073"/>
      <c r="I929" s="1073"/>
      <c r="J929" s="1073"/>
      <c r="K929" s="1073"/>
      <c r="L929" s="1073"/>
      <c r="M929" s="1073"/>
      <c r="N929" s="1073"/>
      <c r="O929" s="1073"/>
      <c r="P929" s="1073"/>
      <c r="Q929" s="1073"/>
      <c r="R929" s="1073"/>
      <c r="S929" s="1073"/>
      <c r="T929" s="1073"/>
      <c r="U929" s="1073"/>
      <c r="V929" s="1073"/>
      <c r="W929" s="1073"/>
      <c r="X929" s="1073"/>
      <c r="Y929" s="1073"/>
      <c r="Z929" s="1073"/>
    </row>
    <row r="930" spans="1:26" ht="12.75" customHeight="1">
      <c r="A930" s="1073"/>
      <c r="B930" s="1073"/>
      <c r="C930" s="1073"/>
      <c r="D930" s="1073"/>
      <c r="E930" s="1073"/>
      <c r="F930" s="1073"/>
      <c r="G930" s="1073"/>
      <c r="H930" s="1073"/>
      <c r="I930" s="1073"/>
      <c r="J930" s="1073"/>
      <c r="K930" s="1073"/>
      <c r="L930" s="1073"/>
      <c r="M930" s="1073"/>
      <c r="N930" s="1073"/>
      <c r="O930" s="1073"/>
      <c r="P930" s="1073"/>
      <c r="Q930" s="1073"/>
      <c r="R930" s="1073"/>
      <c r="S930" s="1073"/>
      <c r="T930" s="1073"/>
      <c r="U930" s="1073"/>
      <c r="V930" s="1073"/>
      <c r="W930" s="1073"/>
      <c r="X930" s="1073"/>
      <c r="Y930" s="1073"/>
      <c r="Z930" s="1073"/>
    </row>
    <row r="931" spans="1:26" ht="12.75" customHeight="1">
      <c r="A931" s="1073"/>
      <c r="B931" s="1073"/>
      <c r="C931" s="1073"/>
      <c r="D931" s="1073"/>
      <c r="E931" s="1073"/>
      <c r="F931" s="1073"/>
      <c r="G931" s="1073"/>
      <c r="H931" s="1073"/>
      <c r="I931" s="1073"/>
      <c r="J931" s="1073"/>
      <c r="K931" s="1073"/>
      <c r="L931" s="1073"/>
      <c r="M931" s="1073"/>
      <c r="N931" s="1073"/>
      <c r="O931" s="1073"/>
      <c r="P931" s="1073"/>
      <c r="Q931" s="1073"/>
      <c r="R931" s="1073"/>
      <c r="S931" s="1073"/>
      <c r="T931" s="1073"/>
      <c r="U931" s="1073"/>
      <c r="V931" s="1073"/>
      <c r="W931" s="1073"/>
      <c r="X931" s="1073"/>
      <c r="Y931" s="1073"/>
      <c r="Z931" s="1073"/>
    </row>
    <row r="932" spans="1:26" ht="12.75" customHeight="1">
      <c r="A932" s="1073"/>
      <c r="B932" s="1073"/>
      <c r="C932" s="1073"/>
      <c r="D932" s="1073"/>
      <c r="E932" s="1073"/>
      <c r="F932" s="1073"/>
      <c r="G932" s="1073"/>
      <c r="H932" s="1073"/>
      <c r="I932" s="1073"/>
      <c r="J932" s="1073"/>
      <c r="K932" s="1073"/>
      <c r="L932" s="1073"/>
      <c r="M932" s="1073"/>
      <c r="N932" s="1073"/>
      <c r="O932" s="1073"/>
      <c r="P932" s="1073"/>
      <c r="Q932" s="1073"/>
      <c r="R932" s="1073"/>
      <c r="S932" s="1073"/>
      <c r="T932" s="1073"/>
      <c r="U932" s="1073"/>
      <c r="V932" s="1073"/>
      <c r="W932" s="1073"/>
      <c r="X932" s="1073"/>
      <c r="Y932" s="1073"/>
      <c r="Z932" s="1073"/>
    </row>
    <row r="933" spans="1:26" ht="12.75" customHeight="1">
      <c r="A933" s="1073"/>
      <c r="B933" s="1073"/>
      <c r="C933" s="1073"/>
      <c r="D933" s="1073"/>
      <c r="E933" s="1073"/>
      <c r="F933" s="1073"/>
      <c r="G933" s="1073"/>
      <c r="H933" s="1073"/>
      <c r="I933" s="1073"/>
      <c r="J933" s="1073"/>
      <c r="K933" s="1073"/>
      <c r="L933" s="1073"/>
      <c r="M933" s="1073"/>
      <c r="N933" s="1073"/>
      <c r="O933" s="1073"/>
      <c r="P933" s="1073"/>
      <c r="Q933" s="1073"/>
      <c r="R933" s="1073"/>
      <c r="S933" s="1073"/>
      <c r="T933" s="1073"/>
      <c r="U933" s="1073"/>
      <c r="V933" s="1073"/>
      <c r="W933" s="1073"/>
      <c r="X933" s="1073"/>
      <c r="Y933" s="1073"/>
      <c r="Z933" s="1073"/>
    </row>
    <row r="934" spans="1:26" ht="12.75" customHeight="1">
      <c r="A934" s="1073"/>
      <c r="B934" s="1073"/>
      <c r="C934" s="1073"/>
      <c r="D934" s="1073"/>
      <c r="E934" s="1073"/>
      <c r="F934" s="1073"/>
      <c r="G934" s="1073"/>
      <c r="H934" s="1073"/>
      <c r="I934" s="1073"/>
      <c r="J934" s="1073"/>
      <c r="K934" s="1073"/>
      <c r="L934" s="1073"/>
      <c r="M934" s="1073"/>
      <c r="N934" s="1073"/>
      <c r="O934" s="1073"/>
      <c r="P934" s="1073"/>
      <c r="Q934" s="1073"/>
      <c r="R934" s="1073"/>
      <c r="S934" s="1073"/>
      <c r="T934" s="1073"/>
      <c r="U934" s="1073"/>
      <c r="V934" s="1073"/>
      <c r="W934" s="1073"/>
      <c r="X934" s="1073"/>
      <c r="Y934" s="1073"/>
      <c r="Z934" s="1073"/>
    </row>
    <row r="935" spans="1:26" ht="12.75" customHeight="1">
      <c r="A935" s="1073"/>
      <c r="B935" s="1073"/>
      <c r="C935" s="1073"/>
      <c r="D935" s="1073"/>
      <c r="E935" s="1073"/>
      <c r="F935" s="1073"/>
      <c r="G935" s="1073"/>
      <c r="H935" s="1073"/>
      <c r="I935" s="1073"/>
      <c r="J935" s="1073"/>
      <c r="K935" s="1073"/>
      <c r="L935" s="1073"/>
      <c r="M935" s="1073"/>
      <c r="N935" s="1073"/>
      <c r="O935" s="1073"/>
      <c r="P935" s="1073"/>
      <c r="Q935" s="1073"/>
      <c r="R935" s="1073"/>
      <c r="S935" s="1073"/>
      <c r="T935" s="1073"/>
      <c r="U935" s="1073"/>
      <c r="V935" s="1073"/>
      <c r="W935" s="1073"/>
      <c r="X935" s="1073"/>
      <c r="Y935" s="1073"/>
      <c r="Z935" s="1073"/>
    </row>
    <row r="936" spans="1:26" ht="12.75" customHeight="1">
      <c r="A936" s="1073"/>
      <c r="B936" s="1073"/>
      <c r="C936" s="1073"/>
      <c r="D936" s="1073"/>
      <c r="E936" s="1073"/>
      <c r="F936" s="1073"/>
      <c r="G936" s="1073"/>
      <c r="H936" s="1073"/>
      <c r="I936" s="1073"/>
      <c r="J936" s="1073"/>
      <c r="K936" s="1073"/>
      <c r="L936" s="1073"/>
      <c r="M936" s="1073"/>
      <c r="N936" s="1073"/>
      <c r="O936" s="1073"/>
      <c r="P936" s="1073"/>
      <c r="Q936" s="1073"/>
      <c r="R936" s="1073"/>
      <c r="S936" s="1073"/>
      <c r="T936" s="1073"/>
      <c r="U936" s="1073"/>
      <c r="V936" s="1073"/>
      <c r="W936" s="1073"/>
      <c r="X936" s="1073"/>
      <c r="Y936" s="1073"/>
      <c r="Z936" s="1073"/>
    </row>
    <row r="937" spans="1:26" ht="12.75" customHeight="1">
      <c r="A937" s="1073"/>
      <c r="B937" s="1073"/>
      <c r="C937" s="1073"/>
      <c r="D937" s="1073"/>
      <c r="E937" s="1073"/>
      <c r="F937" s="1073"/>
      <c r="G937" s="1073"/>
      <c r="H937" s="1073"/>
      <c r="I937" s="1073"/>
      <c r="J937" s="1073"/>
      <c r="K937" s="1073"/>
      <c r="L937" s="1073"/>
      <c r="M937" s="1073"/>
      <c r="N937" s="1073"/>
      <c r="O937" s="1073"/>
      <c r="P937" s="1073"/>
      <c r="Q937" s="1073"/>
      <c r="R937" s="1073"/>
      <c r="S937" s="1073"/>
      <c r="T937" s="1073"/>
      <c r="U937" s="1073"/>
      <c r="V937" s="1073"/>
      <c r="W937" s="1073"/>
      <c r="X937" s="1073"/>
      <c r="Y937" s="1073"/>
      <c r="Z937" s="1073"/>
    </row>
    <row r="938" spans="1:26" ht="12.75" customHeight="1">
      <c r="A938" s="1073"/>
      <c r="B938" s="1073"/>
      <c r="C938" s="1073"/>
      <c r="D938" s="1073"/>
      <c r="E938" s="1073"/>
      <c r="F938" s="1073"/>
      <c r="G938" s="1073"/>
      <c r="H938" s="1073"/>
      <c r="I938" s="1073"/>
      <c r="J938" s="1073"/>
      <c r="K938" s="1073"/>
      <c r="L938" s="1073"/>
      <c r="M938" s="1073"/>
      <c r="N938" s="1073"/>
      <c r="O938" s="1073"/>
      <c r="P938" s="1073"/>
      <c r="Q938" s="1073"/>
      <c r="R938" s="1073"/>
      <c r="S938" s="1073"/>
      <c r="T938" s="1073"/>
      <c r="U938" s="1073"/>
      <c r="V938" s="1073"/>
      <c r="W938" s="1073"/>
      <c r="X938" s="1073"/>
      <c r="Y938" s="1073"/>
      <c r="Z938" s="1073"/>
    </row>
    <row r="939" spans="1:26" ht="12.75" customHeight="1">
      <c r="A939" s="1073"/>
      <c r="B939" s="1073"/>
      <c r="C939" s="1073"/>
      <c r="D939" s="1073"/>
      <c r="E939" s="1073"/>
      <c r="F939" s="1073"/>
      <c r="G939" s="1073"/>
      <c r="H939" s="1073"/>
      <c r="I939" s="1073"/>
      <c r="J939" s="1073"/>
      <c r="K939" s="1073"/>
      <c r="L939" s="1073"/>
      <c r="M939" s="1073"/>
      <c r="N939" s="1073"/>
      <c r="O939" s="1073"/>
      <c r="P939" s="1073"/>
      <c r="Q939" s="1073"/>
      <c r="R939" s="1073"/>
      <c r="S939" s="1073"/>
      <c r="T939" s="1073"/>
      <c r="U939" s="1073"/>
      <c r="V939" s="1073"/>
      <c r="W939" s="1073"/>
      <c r="X939" s="1073"/>
      <c r="Y939" s="1073"/>
      <c r="Z939" s="1073"/>
    </row>
    <row r="940" spans="1:26" ht="12.75" customHeight="1">
      <c r="A940" s="1073"/>
      <c r="B940" s="1073"/>
      <c r="C940" s="1073"/>
      <c r="D940" s="1073"/>
      <c r="E940" s="1073"/>
      <c r="F940" s="1073"/>
      <c r="G940" s="1073"/>
      <c r="H940" s="1073"/>
      <c r="I940" s="1073"/>
      <c r="J940" s="1073"/>
      <c r="K940" s="1073"/>
      <c r="L940" s="1073"/>
      <c r="M940" s="1073"/>
      <c r="N940" s="1073"/>
      <c r="O940" s="1073"/>
      <c r="P940" s="1073"/>
      <c r="Q940" s="1073"/>
      <c r="R940" s="1073"/>
      <c r="S940" s="1073"/>
      <c r="T940" s="1073"/>
      <c r="U940" s="1073"/>
      <c r="V940" s="1073"/>
      <c r="W940" s="1073"/>
      <c r="X940" s="1073"/>
      <c r="Y940" s="1073"/>
      <c r="Z940" s="1073"/>
    </row>
    <row r="941" spans="1:26" ht="12.75" customHeight="1">
      <c r="A941" s="1073"/>
      <c r="B941" s="1073"/>
      <c r="C941" s="1073"/>
      <c r="D941" s="1073"/>
      <c r="E941" s="1073"/>
      <c r="F941" s="1073"/>
      <c r="G941" s="1073"/>
      <c r="H941" s="1073"/>
      <c r="I941" s="1073"/>
      <c r="J941" s="1073"/>
      <c r="K941" s="1073"/>
      <c r="L941" s="1073"/>
      <c r="M941" s="1073"/>
      <c r="N941" s="1073"/>
      <c r="O941" s="1073"/>
      <c r="P941" s="1073"/>
      <c r="Q941" s="1073"/>
      <c r="R941" s="1073"/>
      <c r="S941" s="1073"/>
      <c r="T941" s="1073"/>
      <c r="U941" s="1073"/>
      <c r="V941" s="1073"/>
      <c r="W941" s="1073"/>
      <c r="X941" s="1073"/>
      <c r="Y941" s="1073"/>
      <c r="Z941" s="1073"/>
    </row>
    <row r="942" spans="1:26" ht="12.75" customHeight="1">
      <c r="A942" s="1073"/>
      <c r="B942" s="1073"/>
      <c r="C942" s="1073"/>
      <c r="D942" s="1073"/>
      <c r="E942" s="1073"/>
      <c r="F942" s="1073"/>
      <c r="G942" s="1073"/>
      <c r="H942" s="1073"/>
      <c r="I942" s="1073"/>
      <c r="J942" s="1073"/>
      <c r="K942" s="1073"/>
      <c r="L942" s="1073"/>
      <c r="M942" s="1073"/>
      <c r="N942" s="1073"/>
      <c r="O942" s="1073"/>
      <c r="P942" s="1073"/>
      <c r="Q942" s="1073"/>
      <c r="R942" s="1073"/>
      <c r="S942" s="1073"/>
      <c r="T942" s="1073"/>
      <c r="U942" s="1073"/>
      <c r="V942" s="1073"/>
      <c r="W942" s="1073"/>
      <c r="X942" s="1073"/>
      <c r="Y942" s="1073"/>
      <c r="Z942" s="1073"/>
    </row>
    <row r="943" spans="1:26" ht="12.75" customHeight="1">
      <c r="A943" s="1073"/>
      <c r="B943" s="1073"/>
      <c r="C943" s="1073"/>
      <c r="D943" s="1073"/>
      <c r="E943" s="1073"/>
      <c r="F943" s="1073"/>
      <c r="G943" s="1073"/>
      <c r="H943" s="1073"/>
      <c r="I943" s="1073"/>
      <c r="J943" s="1073"/>
      <c r="K943" s="1073"/>
      <c r="L943" s="1073"/>
      <c r="M943" s="1073"/>
      <c r="N943" s="1073"/>
      <c r="O943" s="1073"/>
      <c r="P943" s="1073"/>
      <c r="Q943" s="1073"/>
      <c r="R943" s="1073"/>
      <c r="S943" s="1073"/>
      <c r="T943" s="1073"/>
      <c r="U943" s="1073"/>
      <c r="V943" s="1073"/>
      <c r="W943" s="1073"/>
      <c r="X943" s="1073"/>
      <c r="Y943" s="1073"/>
      <c r="Z943" s="1073"/>
    </row>
    <row r="944" spans="1:26" ht="12.75" customHeight="1">
      <c r="A944" s="1073"/>
      <c r="B944" s="1073"/>
      <c r="C944" s="1073"/>
      <c r="D944" s="1073"/>
      <c r="E944" s="1073"/>
      <c r="F944" s="1073"/>
      <c r="G944" s="1073"/>
      <c r="H944" s="1073"/>
      <c r="I944" s="1073"/>
      <c r="J944" s="1073"/>
      <c r="K944" s="1073"/>
      <c r="L944" s="1073"/>
      <c r="M944" s="1073"/>
      <c r="N944" s="1073"/>
      <c r="O944" s="1073"/>
      <c r="P944" s="1073"/>
      <c r="Q944" s="1073"/>
      <c r="R944" s="1073"/>
      <c r="S944" s="1073"/>
      <c r="T944" s="1073"/>
      <c r="U944" s="1073"/>
      <c r="V944" s="1073"/>
      <c r="W944" s="1073"/>
      <c r="X944" s="1073"/>
      <c r="Y944" s="1073"/>
      <c r="Z944" s="1073"/>
    </row>
    <row r="945" spans="1:26" ht="12.75" customHeight="1">
      <c r="A945" s="1073"/>
      <c r="B945" s="1073"/>
      <c r="C945" s="1073"/>
      <c r="D945" s="1073"/>
      <c r="E945" s="1073"/>
      <c r="F945" s="1073"/>
      <c r="G945" s="1073"/>
      <c r="H945" s="1073"/>
      <c r="I945" s="1073"/>
      <c r="J945" s="1073"/>
      <c r="K945" s="1073"/>
      <c r="L945" s="1073"/>
      <c r="M945" s="1073"/>
      <c r="N945" s="1073"/>
      <c r="O945" s="1073"/>
      <c r="P945" s="1073"/>
      <c r="Q945" s="1073"/>
      <c r="R945" s="1073"/>
      <c r="S945" s="1073"/>
      <c r="T945" s="1073"/>
      <c r="U945" s="1073"/>
      <c r="V945" s="1073"/>
      <c r="W945" s="1073"/>
      <c r="X945" s="1073"/>
      <c r="Y945" s="1073"/>
      <c r="Z945" s="1073"/>
    </row>
    <row r="946" spans="1:26" ht="12.75" customHeight="1">
      <c r="A946" s="1073"/>
      <c r="B946" s="1073"/>
      <c r="C946" s="1073"/>
      <c r="D946" s="1073"/>
      <c r="E946" s="1073"/>
      <c r="F946" s="1073"/>
      <c r="G946" s="1073"/>
      <c r="H946" s="1073"/>
      <c r="I946" s="1073"/>
      <c r="J946" s="1073"/>
      <c r="K946" s="1073"/>
      <c r="L946" s="1073"/>
      <c r="M946" s="1073"/>
      <c r="N946" s="1073"/>
      <c r="O946" s="1073"/>
      <c r="P946" s="1073"/>
      <c r="Q946" s="1073"/>
      <c r="R946" s="1073"/>
      <c r="S946" s="1073"/>
      <c r="T946" s="1073"/>
      <c r="U946" s="1073"/>
      <c r="V946" s="1073"/>
      <c r="W946" s="1073"/>
      <c r="X946" s="1073"/>
      <c r="Y946" s="1073"/>
      <c r="Z946" s="1073"/>
    </row>
    <row r="947" spans="1:26" ht="12.75" customHeight="1">
      <c r="A947" s="1073"/>
      <c r="B947" s="1073"/>
      <c r="C947" s="1073"/>
      <c r="D947" s="1073"/>
      <c r="E947" s="1073"/>
      <c r="F947" s="1073"/>
      <c r="G947" s="1073"/>
      <c r="H947" s="1073"/>
      <c r="I947" s="1073"/>
      <c r="J947" s="1073"/>
      <c r="K947" s="1073"/>
      <c r="L947" s="1073"/>
      <c r="M947" s="1073"/>
      <c r="N947" s="1073"/>
      <c r="O947" s="1073"/>
      <c r="P947" s="1073"/>
      <c r="Q947" s="1073"/>
      <c r="R947" s="1073"/>
      <c r="S947" s="1073"/>
      <c r="T947" s="1073"/>
      <c r="U947" s="1073"/>
      <c r="V947" s="1073"/>
      <c r="W947" s="1073"/>
      <c r="X947" s="1073"/>
      <c r="Y947" s="1073"/>
      <c r="Z947" s="1073"/>
    </row>
    <row r="948" spans="1:26" ht="12.75" customHeight="1">
      <c r="A948" s="1073"/>
      <c r="B948" s="1073"/>
      <c r="C948" s="1073"/>
      <c r="D948" s="1073"/>
      <c r="E948" s="1073"/>
      <c r="F948" s="1073"/>
      <c r="G948" s="1073"/>
      <c r="H948" s="1073"/>
      <c r="I948" s="1073"/>
      <c r="J948" s="1073"/>
      <c r="K948" s="1073"/>
      <c r="L948" s="1073"/>
      <c r="M948" s="1073"/>
      <c r="N948" s="1073"/>
      <c r="O948" s="1073"/>
      <c r="P948" s="1073"/>
      <c r="Q948" s="1073"/>
      <c r="R948" s="1073"/>
      <c r="S948" s="1073"/>
      <c r="T948" s="1073"/>
      <c r="U948" s="1073"/>
      <c r="V948" s="1073"/>
      <c r="W948" s="1073"/>
      <c r="X948" s="1073"/>
      <c r="Y948" s="1073"/>
      <c r="Z948" s="1073"/>
    </row>
    <row r="949" spans="1:26" ht="12.75" customHeight="1">
      <c r="A949" s="1073"/>
      <c r="B949" s="1073"/>
      <c r="C949" s="1073"/>
      <c r="D949" s="1073"/>
      <c r="E949" s="1073"/>
      <c r="F949" s="1073"/>
      <c r="G949" s="1073"/>
      <c r="H949" s="1073"/>
      <c r="I949" s="1073"/>
      <c r="J949" s="1073"/>
      <c r="K949" s="1073"/>
      <c r="L949" s="1073"/>
      <c r="M949" s="1073"/>
      <c r="N949" s="1073"/>
      <c r="O949" s="1073"/>
      <c r="P949" s="1073"/>
      <c r="Q949" s="1073"/>
      <c r="R949" s="1073"/>
      <c r="S949" s="1073"/>
      <c r="T949" s="1073"/>
      <c r="U949" s="1073"/>
      <c r="V949" s="1073"/>
      <c r="W949" s="1073"/>
      <c r="X949" s="1073"/>
      <c r="Y949" s="1073"/>
      <c r="Z949" s="1073"/>
    </row>
    <row r="950" spans="1:26" ht="12.75" customHeight="1">
      <c r="A950" s="1073"/>
      <c r="B950" s="1073"/>
      <c r="C950" s="1073"/>
      <c r="D950" s="1073"/>
      <c r="E950" s="1073"/>
      <c r="F950" s="1073"/>
      <c r="G950" s="1073"/>
      <c r="H950" s="1073"/>
      <c r="I950" s="1073"/>
      <c r="J950" s="1073"/>
      <c r="K950" s="1073"/>
      <c r="L950" s="1073"/>
      <c r="M950" s="1073"/>
      <c r="N950" s="1073"/>
      <c r="O950" s="1073"/>
      <c r="P950" s="1073"/>
      <c r="Q950" s="1073"/>
      <c r="R950" s="1073"/>
      <c r="S950" s="1073"/>
      <c r="T950" s="1073"/>
      <c r="U950" s="1073"/>
      <c r="V950" s="1073"/>
      <c r="W950" s="1073"/>
      <c r="X950" s="1073"/>
      <c r="Y950" s="1073"/>
      <c r="Z950" s="1073"/>
    </row>
    <row r="951" spans="1:26" ht="12.75" customHeight="1">
      <c r="A951" s="1073"/>
      <c r="B951" s="1073"/>
      <c r="C951" s="1073"/>
      <c r="D951" s="1073"/>
      <c r="E951" s="1073"/>
      <c r="F951" s="1073"/>
      <c r="G951" s="1073"/>
      <c r="H951" s="1073"/>
      <c r="I951" s="1073"/>
      <c r="J951" s="1073"/>
      <c r="K951" s="1073"/>
      <c r="L951" s="1073"/>
      <c r="M951" s="1073"/>
      <c r="N951" s="1073"/>
      <c r="O951" s="1073"/>
      <c r="P951" s="1073"/>
      <c r="Q951" s="1073"/>
      <c r="R951" s="1073"/>
      <c r="S951" s="1073"/>
      <c r="T951" s="1073"/>
      <c r="U951" s="1073"/>
      <c r="V951" s="1073"/>
      <c r="W951" s="1073"/>
      <c r="X951" s="1073"/>
      <c r="Y951" s="1073"/>
      <c r="Z951" s="1073"/>
    </row>
    <row r="952" spans="1:26" ht="12.75" customHeight="1">
      <c r="A952" s="1073"/>
      <c r="B952" s="1073"/>
      <c r="C952" s="1073"/>
      <c r="D952" s="1073"/>
      <c r="E952" s="1073"/>
      <c r="F952" s="1073"/>
      <c r="G952" s="1073"/>
      <c r="H952" s="1073"/>
      <c r="I952" s="1073"/>
      <c r="J952" s="1073"/>
      <c r="K952" s="1073"/>
      <c r="L952" s="1073"/>
      <c r="M952" s="1073"/>
      <c r="N952" s="1073"/>
      <c r="O952" s="1073"/>
      <c r="P952" s="1073"/>
      <c r="Q952" s="1073"/>
      <c r="R952" s="1073"/>
      <c r="S952" s="1073"/>
      <c r="T952" s="1073"/>
      <c r="U952" s="1073"/>
      <c r="V952" s="1073"/>
      <c r="W952" s="1073"/>
      <c r="X952" s="1073"/>
      <c r="Y952" s="1073"/>
      <c r="Z952" s="1073"/>
    </row>
    <row r="953" spans="1:26" ht="12.75" customHeight="1">
      <c r="A953" s="1073"/>
      <c r="B953" s="1073"/>
      <c r="C953" s="1073"/>
      <c r="D953" s="1073"/>
      <c r="E953" s="1073"/>
      <c r="F953" s="1073"/>
      <c r="G953" s="1073"/>
      <c r="H953" s="1073"/>
      <c r="I953" s="1073"/>
      <c r="J953" s="1073"/>
      <c r="K953" s="1073"/>
      <c r="L953" s="1073"/>
      <c r="M953" s="1073"/>
      <c r="N953" s="1073"/>
      <c r="O953" s="1073"/>
      <c r="P953" s="1073"/>
      <c r="Q953" s="1073"/>
      <c r="R953" s="1073"/>
      <c r="S953" s="1073"/>
      <c r="T953" s="1073"/>
      <c r="U953" s="1073"/>
      <c r="V953" s="1073"/>
      <c r="W953" s="1073"/>
      <c r="X953" s="1073"/>
      <c r="Y953" s="1073"/>
      <c r="Z953" s="1073"/>
    </row>
    <row r="954" spans="1:26" ht="12.75" customHeight="1">
      <c r="A954" s="1073"/>
      <c r="B954" s="1073"/>
      <c r="C954" s="1073"/>
      <c r="D954" s="1073"/>
      <c r="E954" s="1073"/>
      <c r="F954" s="1073"/>
      <c r="G954" s="1073"/>
      <c r="H954" s="1073"/>
      <c r="I954" s="1073"/>
      <c r="J954" s="1073"/>
      <c r="K954" s="1073"/>
      <c r="L954" s="1073"/>
      <c r="M954" s="1073"/>
      <c r="N954" s="1073"/>
      <c r="O954" s="1073"/>
      <c r="P954" s="1073"/>
      <c r="Q954" s="1073"/>
      <c r="R954" s="1073"/>
      <c r="S954" s="1073"/>
      <c r="T954" s="1073"/>
      <c r="U954" s="1073"/>
      <c r="V954" s="1073"/>
      <c r="W954" s="1073"/>
      <c r="X954" s="1073"/>
      <c r="Y954" s="1073"/>
      <c r="Z954" s="1073"/>
    </row>
    <row r="955" spans="1:26" ht="12.75" customHeight="1">
      <c r="A955" s="1073"/>
      <c r="B955" s="1073"/>
      <c r="C955" s="1073"/>
      <c r="D955" s="1073"/>
      <c r="E955" s="1073"/>
      <c r="F955" s="1073"/>
      <c r="G955" s="1073"/>
      <c r="H955" s="1073"/>
      <c r="I955" s="1073"/>
      <c r="J955" s="1073"/>
      <c r="K955" s="1073"/>
      <c r="L955" s="1073"/>
      <c r="M955" s="1073"/>
      <c r="N955" s="1073"/>
      <c r="O955" s="1073"/>
      <c r="P955" s="1073"/>
      <c r="Q955" s="1073"/>
      <c r="R955" s="1073"/>
      <c r="S955" s="1073"/>
      <c r="T955" s="1073"/>
      <c r="U955" s="1073"/>
      <c r="V955" s="1073"/>
      <c r="W955" s="1073"/>
      <c r="X955" s="1073"/>
      <c r="Y955" s="1073"/>
      <c r="Z955" s="1073"/>
    </row>
    <row r="956" spans="1:26" ht="12.75" customHeight="1">
      <c r="A956" s="1073"/>
      <c r="B956" s="1073"/>
      <c r="C956" s="1073"/>
      <c r="D956" s="1073"/>
      <c r="E956" s="1073"/>
      <c r="F956" s="1073"/>
      <c r="G956" s="1073"/>
      <c r="H956" s="1073"/>
      <c r="I956" s="1073"/>
      <c r="J956" s="1073"/>
      <c r="K956" s="1073"/>
      <c r="L956" s="1073"/>
      <c r="M956" s="1073"/>
      <c r="N956" s="1073"/>
      <c r="O956" s="1073"/>
      <c r="P956" s="1073"/>
      <c r="Q956" s="1073"/>
      <c r="R956" s="1073"/>
      <c r="S956" s="1073"/>
      <c r="T956" s="1073"/>
      <c r="U956" s="1073"/>
      <c r="V956" s="1073"/>
      <c r="W956" s="1073"/>
      <c r="X956" s="1073"/>
      <c r="Y956" s="1073"/>
      <c r="Z956" s="1073"/>
    </row>
    <row r="957" spans="1:26" ht="12.75" customHeight="1">
      <c r="A957" s="1073"/>
      <c r="B957" s="1073"/>
      <c r="C957" s="1073"/>
      <c r="D957" s="1073"/>
      <c r="E957" s="1073"/>
      <c r="F957" s="1073"/>
      <c r="G957" s="1073"/>
      <c r="H957" s="1073"/>
      <c r="I957" s="1073"/>
      <c r="J957" s="1073"/>
      <c r="K957" s="1073"/>
      <c r="L957" s="1073"/>
      <c r="M957" s="1073"/>
      <c r="N957" s="1073"/>
      <c r="O957" s="1073"/>
      <c r="P957" s="1073"/>
      <c r="Q957" s="1073"/>
      <c r="R957" s="1073"/>
      <c r="S957" s="1073"/>
      <c r="T957" s="1073"/>
      <c r="U957" s="1073"/>
      <c r="V957" s="1073"/>
      <c r="W957" s="1073"/>
      <c r="X957" s="1073"/>
      <c r="Y957" s="1073"/>
      <c r="Z957" s="1073"/>
    </row>
    <row r="958" spans="1:26" ht="12.75" customHeight="1">
      <c r="A958" s="1073"/>
      <c r="B958" s="1073"/>
      <c r="C958" s="1073"/>
      <c r="D958" s="1073"/>
      <c r="E958" s="1073"/>
      <c r="F958" s="1073"/>
      <c r="G958" s="1073"/>
      <c r="H958" s="1073"/>
      <c r="I958" s="1073"/>
      <c r="J958" s="1073"/>
      <c r="K958" s="1073"/>
      <c r="L958" s="1073"/>
      <c r="M958" s="1073"/>
      <c r="N958" s="1073"/>
      <c r="O958" s="1073"/>
      <c r="P958" s="1073"/>
      <c r="Q958" s="1073"/>
      <c r="R958" s="1073"/>
      <c r="S958" s="1073"/>
      <c r="T958" s="1073"/>
      <c r="U958" s="1073"/>
      <c r="V958" s="1073"/>
      <c r="W958" s="1073"/>
      <c r="X958" s="1073"/>
      <c r="Y958" s="1073"/>
      <c r="Z958" s="1073"/>
    </row>
    <row r="959" spans="1:26" ht="12.75" customHeight="1">
      <c r="A959" s="1073"/>
      <c r="B959" s="1073"/>
      <c r="C959" s="1073"/>
      <c r="D959" s="1073"/>
      <c r="E959" s="1073"/>
      <c r="F959" s="1073"/>
      <c r="G959" s="1073"/>
      <c r="H959" s="1073"/>
      <c r="I959" s="1073"/>
      <c r="J959" s="1073"/>
      <c r="K959" s="1073"/>
      <c r="L959" s="1073"/>
      <c r="M959" s="1073"/>
      <c r="N959" s="1073"/>
      <c r="O959" s="1073"/>
      <c r="P959" s="1073"/>
      <c r="Q959" s="1073"/>
      <c r="R959" s="1073"/>
      <c r="S959" s="1073"/>
      <c r="T959" s="1073"/>
      <c r="U959" s="1073"/>
      <c r="V959" s="1073"/>
      <c r="W959" s="1073"/>
      <c r="X959" s="1073"/>
      <c r="Y959" s="1073"/>
      <c r="Z959" s="1073"/>
    </row>
    <row r="960" spans="1:26" ht="12.75" customHeight="1">
      <c r="A960" s="1073"/>
      <c r="B960" s="1073"/>
      <c r="C960" s="1073"/>
      <c r="D960" s="1073"/>
      <c r="E960" s="1073"/>
      <c r="F960" s="1073"/>
      <c r="G960" s="1073"/>
      <c r="H960" s="1073"/>
      <c r="I960" s="1073"/>
      <c r="J960" s="1073"/>
      <c r="K960" s="1073"/>
      <c r="L960" s="1073"/>
      <c r="M960" s="1073"/>
      <c r="N960" s="1073"/>
      <c r="O960" s="1073"/>
      <c r="P960" s="1073"/>
      <c r="Q960" s="1073"/>
      <c r="R960" s="1073"/>
      <c r="S960" s="1073"/>
      <c r="T960" s="1073"/>
      <c r="U960" s="1073"/>
      <c r="V960" s="1073"/>
      <c r="W960" s="1073"/>
      <c r="X960" s="1073"/>
      <c r="Y960" s="1073"/>
      <c r="Z960" s="1073"/>
    </row>
    <row r="961" spans="1:26" ht="12.75" customHeight="1">
      <c r="A961" s="1073"/>
      <c r="B961" s="1073"/>
      <c r="C961" s="1073"/>
      <c r="D961" s="1073"/>
      <c r="E961" s="1073"/>
      <c r="F961" s="1073"/>
      <c r="G961" s="1073"/>
      <c r="H961" s="1073"/>
      <c r="I961" s="1073"/>
      <c r="J961" s="1073"/>
      <c r="K961" s="1073"/>
      <c r="L961" s="1073"/>
      <c r="M961" s="1073"/>
      <c r="N961" s="1073"/>
      <c r="O961" s="1073"/>
      <c r="P961" s="1073"/>
      <c r="Q961" s="1073"/>
      <c r="R961" s="1073"/>
      <c r="S961" s="1073"/>
      <c r="T961" s="1073"/>
      <c r="U961" s="1073"/>
      <c r="V961" s="1073"/>
      <c r="W961" s="1073"/>
      <c r="X961" s="1073"/>
      <c r="Y961" s="1073"/>
      <c r="Z961" s="1073"/>
    </row>
    <row r="962" spans="1:26" ht="12.75" customHeight="1">
      <c r="A962" s="1073"/>
      <c r="B962" s="1073"/>
      <c r="C962" s="1073"/>
      <c r="D962" s="1073"/>
      <c r="E962" s="1073"/>
      <c r="F962" s="1073"/>
      <c r="G962" s="1073"/>
      <c r="H962" s="1073"/>
      <c r="I962" s="1073"/>
      <c r="J962" s="1073"/>
      <c r="K962" s="1073"/>
      <c r="L962" s="1073"/>
      <c r="M962" s="1073"/>
      <c r="N962" s="1073"/>
      <c r="O962" s="1073"/>
      <c r="P962" s="1073"/>
      <c r="Q962" s="1073"/>
      <c r="R962" s="1073"/>
      <c r="S962" s="1073"/>
      <c r="T962" s="1073"/>
      <c r="U962" s="1073"/>
      <c r="V962" s="1073"/>
      <c r="W962" s="1073"/>
      <c r="X962" s="1073"/>
      <c r="Y962" s="1073"/>
      <c r="Z962" s="1073"/>
    </row>
    <row r="963" spans="1:26" ht="12.75" customHeight="1">
      <c r="A963" s="1073"/>
      <c r="B963" s="1073"/>
      <c r="C963" s="1073"/>
      <c r="D963" s="1073"/>
      <c r="E963" s="1073"/>
      <c r="F963" s="1073"/>
      <c r="G963" s="1073"/>
      <c r="H963" s="1073"/>
      <c r="I963" s="1073"/>
      <c r="J963" s="1073"/>
      <c r="K963" s="1073"/>
      <c r="L963" s="1073"/>
      <c r="M963" s="1073"/>
      <c r="N963" s="1073"/>
      <c r="O963" s="1073"/>
      <c r="P963" s="1073"/>
      <c r="Q963" s="1073"/>
      <c r="R963" s="1073"/>
      <c r="S963" s="1073"/>
      <c r="T963" s="1073"/>
      <c r="U963" s="1073"/>
      <c r="V963" s="1073"/>
      <c r="W963" s="1073"/>
      <c r="X963" s="1073"/>
      <c r="Y963" s="1073"/>
      <c r="Z963" s="1073"/>
    </row>
    <row r="964" spans="1:26" ht="12.75" customHeight="1">
      <c r="A964" s="1073"/>
      <c r="B964" s="1073"/>
      <c r="C964" s="1073"/>
      <c r="D964" s="1073"/>
      <c r="E964" s="1073"/>
      <c r="F964" s="1073"/>
      <c r="G964" s="1073"/>
      <c r="H964" s="1073"/>
      <c r="I964" s="1073"/>
      <c r="J964" s="1073"/>
      <c r="K964" s="1073"/>
      <c r="L964" s="1073"/>
      <c r="M964" s="1073"/>
      <c r="N964" s="1073"/>
      <c r="O964" s="1073"/>
      <c r="P964" s="1073"/>
      <c r="Q964" s="1073"/>
      <c r="R964" s="1073"/>
      <c r="S964" s="1073"/>
      <c r="T964" s="1073"/>
      <c r="U964" s="1073"/>
      <c r="V964" s="1073"/>
      <c r="W964" s="1073"/>
      <c r="X964" s="1073"/>
      <c r="Y964" s="1073"/>
      <c r="Z964" s="1073"/>
    </row>
    <row r="965" spans="1:26" ht="12.75" customHeight="1">
      <c r="A965" s="1073"/>
      <c r="B965" s="1073"/>
      <c r="C965" s="1073"/>
      <c r="D965" s="1073"/>
      <c r="E965" s="1073"/>
      <c r="F965" s="1073"/>
      <c r="G965" s="1073"/>
      <c r="H965" s="1073"/>
      <c r="I965" s="1073"/>
      <c r="J965" s="1073"/>
      <c r="K965" s="1073"/>
      <c r="L965" s="1073"/>
      <c r="M965" s="1073"/>
      <c r="N965" s="1073"/>
      <c r="O965" s="1073"/>
      <c r="P965" s="1073"/>
      <c r="Q965" s="1073"/>
      <c r="R965" s="1073"/>
      <c r="S965" s="1073"/>
      <c r="T965" s="1073"/>
      <c r="U965" s="1073"/>
      <c r="V965" s="1073"/>
      <c r="W965" s="1073"/>
      <c r="X965" s="1073"/>
      <c r="Y965" s="1073"/>
      <c r="Z965" s="1073"/>
    </row>
    <row r="966" spans="1:26" ht="12.75" customHeight="1">
      <c r="A966" s="1073"/>
      <c r="B966" s="1073"/>
      <c r="C966" s="1073"/>
      <c r="D966" s="1073"/>
      <c r="E966" s="1073"/>
      <c r="F966" s="1073"/>
      <c r="G966" s="1073"/>
      <c r="H966" s="1073"/>
      <c r="I966" s="1073"/>
      <c r="J966" s="1073"/>
      <c r="K966" s="1073"/>
      <c r="L966" s="1073"/>
      <c r="M966" s="1073"/>
      <c r="N966" s="1073"/>
      <c r="O966" s="1073"/>
      <c r="P966" s="1073"/>
      <c r="Q966" s="1073"/>
      <c r="R966" s="1073"/>
      <c r="S966" s="1073"/>
      <c r="T966" s="1073"/>
      <c r="U966" s="1073"/>
      <c r="V966" s="1073"/>
      <c r="W966" s="1073"/>
      <c r="X966" s="1073"/>
      <c r="Y966" s="1073"/>
      <c r="Z966" s="1073"/>
    </row>
    <row r="967" spans="1:26" ht="12.75" customHeight="1">
      <c r="A967" s="1073"/>
      <c r="B967" s="1073"/>
      <c r="C967" s="1073"/>
      <c r="D967" s="1073"/>
      <c r="E967" s="1073"/>
      <c r="F967" s="1073"/>
      <c r="G967" s="1073"/>
      <c r="H967" s="1073"/>
      <c r="I967" s="1073"/>
      <c r="J967" s="1073"/>
      <c r="K967" s="1073"/>
      <c r="L967" s="1073"/>
      <c r="M967" s="1073"/>
      <c r="N967" s="1073"/>
      <c r="O967" s="1073"/>
      <c r="P967" s="1073"/>
      <c r="Q967" s="1073"/>
      <c r="R967" s="1073"/>
      <c r="S967" s="1073"/>
      <c r="T967" s="1073"/>
      <c r="U967" s="1073"/>
      <c r="V967" s="1073"/>
      <c r="W967" s="1073"/>
      <c r="X967" s="1073"/>
      <c r="Y967" s="1073"/>
      <c r="Z967" s="1073"/>
    </row>
    <row r="968" spans="1:26" ht="12.75" customHeight="1">
      <c r="A968" s="1073"/>
      <c r="B968" s="1073"/>
      <c r="C968" s="1073"/>
      <c r="D968" s="1073"/>
      <c r="E968" s="1073"/>
      <c r="F968" s="1073"/>
      <c r="G968" s="1073"/>
      <c r="H968" s="1073"/>
      <c r="I968" s="1073"/>
      <c r="J968" s="1073"/>
      <c r="K968" s="1073"/>
      <c r="L968" s="1073"/>
      <c r="M968" s="1073"/>
      <c r="N968" s="1073"/>
      <c r="O968" s="1073"/>
      <c r="P968" s="1073"/>
      <c r="Q968" s="1073"/>
      <c r="R968" s="1073"/>
      <c r="S968" s="1073"/>
      <c r="T968" s="1073"/>
      <c r="U968" s="1073"/>
      <c r="V968" s="1073"/>
      <c r="W968" s="1073"/>
      <c r="X968" s="1073"/>
      <c r="Y968" s="1073"/>
      <c r="Z968" s="1073"/>
    </row>
    <row r="969" spans="1:26" ht="12.75" customHeight="1">
      <c r="A969" s="1073"/>
      <c r="B969" s="1073"/>
      <c r="C969" s="1073"/>
      <c r="D969" s="1073"/>
      <c r="E969" s="1073"/>
      <c r="F969" s="1073"/>
      <c r="G969" s="1073"/>
      <c r="H969" s="1073"/>
      <c r="I969" s="1073"/>
      <c r="J969" s="1073"/>
      <c r="K969" s="1073"/>
      <c r="L969" s="1073"/>
      <c r="M969" s="1073"/>
      <c r="N969" s="1073"/>
      <c r="O969" s="1073"/>
      <c r="P969" s="1073"/>
      <c r="Q969" s="1073"/>
      <c r="R969" s="1073"/>
      <c r="S969" s="1073"/>
      <c r="T969" s="1073"/>
      <c r="U969" s="1073"/>
      <c r="V969" s="1073"/>
      <c r="W969" s="1073"/>
      <c r="X969" s="1073"/>
      <c r="Y969" s="1073"/>
      <c r="Z969" s="1073"/>
    </row>
    <row r="970" spans="1:26" ht="12.75" customHeight="1">
      <c r="A970" s="1073"/>
      <c r="B970" s="1073"/>
      <c r="C970" s="1073"/>
      <c r="D970" s="1073"/>
      <c r="E970" s="1073"/>
      <c r="F970" s="1073"/>
      <c r="G970" s="1073"/>
      <c r="H970" s="1073"/>
      <c r="I970" s="1073"/>
      <c r="J970" s="1073"/>
      <c r="K970" s="1073"/>
      <c r="L970" s="1073"/>
      <c r="M970" s="1073"/>
      <c r="N970" s="1073"/>
      <c r="O970" s="1073"/>
      <c r="P970" s="1073"/>
      <c r="Q970" s="1073"/>
      <c r="R970" s="1073"/>
      <c r="S970" s="1073"/>
      <c r="T970" s="1073"/>
      <c r="U970" s="1073"/>
      <c r="V970" s="1073"/>
      <c r="W970" s="1073"/>
      <c r="X970" s="1073"/>
      <c r="Y970" s="1073"/>
      <c r="Z970" s="1073"/>
    </row>
    <row r="971" spans="1:26" ht="12.75" customHeight="1">
      <c r="A971" s="1073"/>
      <c r="B971" s="1073"/>
      <c r="C971" s="1073"/>
      <c r="D971" s="1073"/>
      <c r="E971" s="1073"/>
      <c r="F971" s="1073"/>
      <c r="G971" s="1073"/>
      <c r="H971" s="1073"/>
      <c r="I971" s="1073"/>
      <c r="J971" s="1073"/>
      <c r="K971" s="1073"/>
      <c r="L971" s="1073"/>
      <c r="M971" s="1073"/>
      <c r="N971" s="1073"/>
      <c r="O971" s="1073"/>
      <c r="P971" s="1073"/>
      <c r="Q971" s="1073"/>
      <c r="R971" s="1073"/>
      <c r="S971" s="1073"/>
      <c r="T971" s="1073"/>
      <c r="U971" s="1073"/>
      <c r="V971" s="1073"/>
      <c r="W971" s="1073"/>
      <c r="X971" s="1073"/>
      <c r="Y971" s="1073"/>
      <c r="Z971" s="1073"/>
    </row>
    <row r="972" spans="1:26" ht="12.75" customHeight="1">
      <c r="A972" s="1073"/>
      <c r="B972" s="1073"/>
      <c r="C972" s="1073"/>
      <c r="D972" s="1073"/>
      <c r="E972" s="1073"/>
      <c r="F972" s="1073"/>
      <c r="G972" s="1073"/>
      <c r="H972" s="1073"/>
      <c r="I972" s="1073"/>
      <c r="J972" s="1073"/>
      <c r="K972" s="1073"/>
      <c r="L972" s="1073"/>
      <c r="M972" s="1073"/>
      <c r="N972" s="1073"/>
      <c r="O972" s="1073"/>
      <c r="P972" s="1073"/>
      <c r="Q972" s="1073"/>
      <c r="R972" s="1073"/>
      <c r="S972" s="1073"/>
      <c r="T972" s="1073"/>
      <c r="U972" s="1073"/>
      <c r="V972" s="1073"/>
      <c r="W972" s="1073"/>
      <c r="X972" s="1073"/>
      <c r="Y972" s="1073"/>
      <c r="Z972" s="1073"/>
    </row>
    <row r="973" spans="1:26" ht="12.75" customHeight="1">
      <c r="A973" s="1073"/>
      <c r="B973" s="1073"/>
      <c r="C973" s="1073"/>
      <c r="D973" s="1073"/>
      <c r="E973" s="1073"/>
      <c r="F973" s="1073"/>
      <c r="G973" s="1073"/>
      <c r="H973" s="1073"/>
      <c r="I973" s="1073"/>
      <c r="J973" s="1073"/>
      <c r="K973" s="1073"/>
      <c r="L973" s="1073"/>
      <c r="M973" s="1073"/>
      <c r="N973" s="1073"/>
      <c r="O973" s="1073"/>
      <c r="P973" s="1073"/>
      <c r="Q973" s="1073"/>
      <c r="R973" s="1073"/>
      <c r="S973" s="1073"/>
      <c r="T973" s="1073"/>
      <c r="U973" s="1073"/>
      <c r="V973" s="1073"/>
      <c r="W973" s="1073"/>
      <c r="X973" s="1073"/>
      <c r="Y973" s="1073"/>
      <c r="Z973" s="1073"/>
    </row>
    <row r="974" spans="1:26" ht="12.75" customHeight="1">
      <c r="A974" s="1073"/>
      <c r="B974" s="1073"/>
      <c r="C974" s="1073"/>
      <c r="D974" s="1073"/>
      <c r="E974" s="1073"/>
      <c r="F974" s="1073"/>
      <c r="G974" s="1073"/>
      <c r="H974" s="1073"/>
      <c r="I974" s="1073"/>
      <c r="J974" s="1073"/>
      <c r="K974" s="1073"/>
      <c r="L974" s="1073"/>
      <c r="M974" s="1073"/>
      <c r="N974" s="1073"/>
      <c r="O974" s="1073"/>
      <c r="P974" s="1073"/>
      <c r="Q974" s="1073"/>
      <c r="R974" s="1073"/>
      <c r="S974" s="1073"/>
      <c r="T974" s="1073"/>
      <c r="U974" s="1073"/>
      <c r="V974" s="1073"/>
      <c r="W974" s="1073"/>
      <c r="X974" s="1073"/>
      <c r="Y974" s="1073"/>
      <c r="Z974" s="1073"/>
    </row>
    <row r="975" spans="1:26" ht="12.75" customHeight="1">
      <c r="A975" s="1073"/>
      <c r="B975" s="1073"/>
      <c r="C975" s="1073"/>
      <c r="D975" s="1073"/>
      <c r="E975" s="1073"/>
      <c r="F975" s="1073"/>
      <c r="G975" s="1073"/>
      <c r="H975" s="1073"/>
      <c r="I975" s="1073"/>
      <c r="J975" s="1073"/>
      <c r="K975" s="1073"/>
      <c r="L975" s="1073"/>
      <c r="M975" s="1073"/>
      <c r="N975" s="1073"/>
      <c r="O975" s="1073"/>
      <c r="P975" s="1073"/>
      <c r="Q975" s="1073"/>
      <c r="R975" s="1073"/>
      <c r="S975" s="1073"/>
      <c r="T975" s="1073"/>
      <c r="U975" s="1073"/>
      <c r="V975" s="1073"/>
      <c r="W975" s="1073"/>
      <c r="X975" s="1073"/>
      <c r="Y975" s="1073"/>
      <c r="Z975" s="1073"/>
    </row>
    <row r="976" spans="1:26" ht="12.75" customHeight="1">
      <c r="A976" s="1073"/>
      <c r="B976" s="1073"/>
      <c r="C976" s="1073"/>
      <c r="D976" s="1073"/>
      <c r="E976" s="1073"/>
      <c r="F976" s="1073"/>
      <c r="G976" s="1073"/>
      <c r="H976" s="1073"/>
      <c r="I976" s="1073"/>
      <c r="J976" s="1073"/>
      <c r="K976" s="1073"/>
      <c r="L976" s="1073"/>
      <c r="M976" s="1073"/>
      <c r="N976" s="1073"/>
      <c r="O976" s="1073"/>
      <c r="P976" s="1073"/>
      <c r="Q976" s="1073"/>
      <c r="R976" s="1073"/>
      <c r="S976" s="1073"/>
      <c r="T976" s="1073"/>
      <c r="U976" s="1073"/>
      <c r="V976" s="1073"/>
      <c r="W976" s="1073"/>
      <c r="X976" s="1073"/>
      <c r="Y976" s="1073"/>
      <c r="Z976" s="1073"/>
    </row>
    <row r="977" spans="1:26" ht="12.75" customHeight="1">
      <c r="A977" s="1073"/>
      <c r="B977" s="1073"/>
      <c r="C977" s="1073"/>
      <c r="D977" s="1073"/>
      <c r="E977" s="1073"/>
      <c r="F977" s="1073"/>
      <c r="G977" s="1073"/>
      <c r="H977" s="1073"/>
      <c r="I977" s="1073"/>
      <c r="J977" s="1073"/>
      <c r="K977" s="1073"/>
      <c r="L977" s="1073"/>
      <c r="M977" s="1073"/>
      <c r="N977" s="1073"/>
      <c r="O977" s="1073"/>
      <c r="P977" s="1073"/>
      <c r="Q977" s="1073"/>
      <c r="R977" s="1073"/>
      <c r="S977" s="1073"/>
      <c r="T977" s="1073"/>
      <c r="U977" s="1073"/>
      <c r="V977" s="1073"/>
      <c r="W977" s="1073"/>
      <c r="X977" s="1073"/>
      <c r="Y977" s="1073"/>
      <c r="Z977" s="1073"/>
    </row>
    <row r="978" spans="1:26" ht="12.75" customHeight="1">
      <c r="A978" s="1073"/>
      <c r="B978" s="1073"/>
      <c r="C978" s="1073"/>
      <c r="D978" s="1073"/>
      <c r="E978" s="1073"/>
      <c r="F978" s="1073"/>
      <c r="G978" s="1073"/>
      <c r="H978" s="1073"/>
      <c r="I978" s="1073"/>
      <c r="J978" s="1073"/>
      <c r="K978" s="1073"/>
      <c r="L978" s="1073"/>
      <c r="M978" s="1073"/>
      <c r="N978" s="1073"/>
      <c r="O978" s="1073"/>
      <c r="P978" s="1073"/>
      <c r="Q978" s="1073"/>
      <c r="R978" s="1073"/>
      <c r="S978" s="1073"/>
      <c r="T978" s="1073"/>
      <c r="U978" s="1073"/>
      <c r="V978" s="1073"/>
      <c r="W978" s="1073"/>
      <c r="X978" s="1073"/>
      <c r="Y978" s="1073"/>
      <c r="Z978" s="1073"/>
    </row>
    <row r="979" spans="1:26" ht="12.75" customHeight="1">
      <c r="A979" s="1073"/>
      <c r="B979" s="1073"/>
      <c r="C979" s="1073"/>
      <c r="D979" s="1073"/>
      <c r="E979" s="1073"/>
      <c r="F979" s="1073"/>
      <c r="G979" s="1073"/>
      <c r="H979" s="1073"/>
      <c r="I979" s="1073"/>
      <c r="J979" s="1073"/>
      <c r="K979" s="1073"/>
      <c r="L979" s="1073"/>
      <c r="M979" s="1073"/>
      <c r="N979" s="1073"/>
      <c r="O979" s="1073"/>
      <c r="P979" s="1073"/>
      <c r="Q979" s="1073"/>
      <c r="R979" s="1073"/>
      <c r="S979" s="1073"/>
      <c r="T979" s="1073"/>
      <c r="U979" s="1073"/>
      <c r="V979" s="1073"/>
      <c r="W979" s="1073"/>
      <c r="X979" s="1073"/>
      <c r="Y979" s="1073"/>
      <c r="Z979" s="1073"/>
    </row>
    <row r="980" spans="1:26" ht="12.75" customHeight="1">
      <c r="A980" s="1073"/>
      <c r="B980" s="1073"/>
      <c r="C980" s="1073"/>
      <c r="D980" s="1073"/>
      <c r="E980" s="1073"/>
      <c r="F980" s="1073"/>
      <c r="G980" s="1073"/>
      <c r="H980" s="1073"/>
      <c r="I980" s="1073"/>
      <c r="J980" s="1073"/>
      <c r="K980" s="1073"/>
      <c r="L980" s="1073"/>
      <c r="M980" s="1073"/>
      <c r="N980" s="1073"/>
      <c r="O980" s="1073"/>
      <c r="P980" s="1073"/>
      <c r="Q980" s="1073"/>
      <c r="R980" s="1073"/>
      <c r="S980" s="1073"/>
      <c r="T980" s="1073"/>
      <c r="U980" s="1073"/>
      <c r="V980" s="1073"/>
      <c r="W980" s="1073"/>
      <c r="X980" s="1073"/>
      <c r="Y980" s="1073"/>
      <c r="Z980" s="1073"/>
    </row>
    <row r="981" spans="1:26" ht="12.75" customHeight="1">
      <c r="A981" s="1073"/>
      <c r="B981" s="1073"/>
      <c r="C981" s="1073"/>
      <c r="D981" s="1073"/>
      <c r="E981" s="1073"/>
      <c r="F981" s="1073"/>
      <c r="G981" s="1073"/>
      <c r="H981" s="1073"/>
      <c r="I981" s="1073"/>
      <c r="J981" s="1073"/>
      <c r="K981" s="1073"/>
      <c r="L981" s="1073"/>
      <c r="M981" s="1073"/>
      <c r="N981" s="1073"/>
      <c r="O981" s="1073"/>
      <c r="P981" s="1073"/>
      <c r="Q981" s="1073"/>
      <c r="R981" s="1073"/>
      <c r="S981" s="1073"/>
      <c r="T981" s="1073"/>
      <c r="U981" s="1073"/>
      <c r="V981" s="1073"/>
      <c r="W981" s="1073"/>
      <c r="X981" s="1073"/>
      <c r="Y981" s="1073"/>
      <c r="Z981" s="1073"/>
    </row>
    <row r="982" spans="1:26" ht="12.75" customHeight="1">
      <c r="A982" s="1073"/>
      <c r="B982" s="1073"/>
      <c r="C982" s="1073"/>
      <c r="D982" s="1073"/>
      <c r="E982" s="1073"/>
      <c r="F982" s="1073"/>
      <c r="G982" s="1073"/>
      <c r="H982" s="1073"/>
      <c r="I982" s="1073"/>
      <c r="J982" s="1073"/>
      <c r="K982" s="1073"/>
      <c r="L982" s="1073"/>
      <c r="M982" s="1073"/>
      <c r="N982" s="1073"/>
      <c r="O982" s="1073"/>
      <c r="P982" s="1073"/>
      <c r="Q982" s="1073"/>
      <c r="R982" s="1073"/>
      <c r="S982" s="1073"/>
      <c r="T982" s="1073"/>
      <c r="U982" s="1073"/>
      <c r="V982" s="1073"/>
      <c r="W982" s="1073"/>
      <c r="X982" s="1073"/>
      <c r="Y982" s="1073"/>
      <c r="Z982" s="1073"/>
    </row>
    <row r="983" spans="1:26" ht="12.75" customHeight="1">
      <c r="A983" s="1073"/>
      <c r="B983" s="1073"/>
      <c r="C983" s="1073"/>
      <c r="D983" s="1073"/>
      <c r="E983" s="1073"/>
      <c r="F983" s="1073"/>
      <c r="G983" s="1073"/>
      <c r="H983" s="1073"/>
      <c r="I983" s="1073"/>
      <c r="J983" s="1073"/>
      <c r="K983" s="1073"/>
      <c r="L983" s="1073"/>
      <c r="M983" s="1073"/>
      <c r="N983" s="1073"/>
      <c r="O983" s="1073"/>
      <c r="P983" s="1073"/>
      <c r="Q983" s="1073"/>
      <c r="R983" s="1073"/>
      <c r="S983" s="1073"/>
      <c r="T983" s="1073"/>
      <c r="U983" s="1073"/>
      <c r="V983" s="1073"/>
      <c r="W983" s="1073"/>
      <c r="X983" s="1073"/>
      <c r="Y983" s="1073"/>
      <c r="Z983" s="1073"/>
    </row>
    <row r="984" spans="1:26" ht="12.75" customHeight="1">
      <c r="A984" s="1073"/>
      <c r="B984" s="1073"/>
      <c r="C984" s="1073"/>
      <c r="D984" s="1073"/>
      <c r="E984" s="1073"/>
      <c r="F984" s="1073"/>
      <c r="G984" s="1073"/>
      <c r="H984" s="1073"/>
      <c r="I984" s="1073"/>
      <c r="J984" s="1073"/>
      <c r="K984" s="1073"/>
      <c r="L984" s="1073"/>
      <c r="M984" s="1073"/>
      <c r="N984" s="1073"/>
      <c r="O984" s="1073"/>
      <c r="P984" s="1073"/>
      <c r="Q984" s="1073"/>
      <c r="R984" s="1073"/>
      <c r="S984" s="1073"/>
      <c r="T984" s="1073"/>
      <c r="U984" s="1073"/>
      <c r="V984" s="1073"/>
      <c r="W984" s="1073"/>
      <c r="X984" s="1073"/>
      <c r="Y984" s="1073"/>
      <c r="Z984" s="1073"/>
    </row>
    <row r="985" spans="1:26" ht="12.75" customHeight="1">
      <c r="A985" s="1073"/>
      <c r="B985" s="1073"/>
      <c r="C985" s="1073"/>
      <c r="D985" s="1073"/>
      <c r="E985" s="1073"/>
      <c r="F985" s="1073"/>
      <c r="G985" s="1073"/>
      <c r="H985" s="1073"/>
      <c r="I985" s="1073"/>
      <c r="J985" s="1073"/>
      <c r="K985" s="1073"/>
      <c r="L985" s="1073"/>
      <c r="M985" s="1073"/>
      <c r="N985" s="1073"/>
      <c r="O985" s="1073"/>
      <c r="P985" s="1073"/>
      <c r="Q985" s="1073"/>
      <c r="R985" s="1073"/>
      <c r="S985" s="1073"/>
      <c r="T985" s="1073"/>
      <c r="U985" s="1073"/>
      <c r="V985" s="1073"/>
      <c r="W985" s="1073"/>
      <c r="X985" s="1073"/>
      <c r="Y985" s="1073"/>
      <c r="Z985" s="1073"/>
    </row>
    <row r="986" spans="1:26" ht="12.75" customHeight="1">
      <c r="A986" s="1073"/>
      <c r="B986" s="1073"/>
      <c r="C986" s="1073"/>
      <c r="D986" s="1073"/>
      <c r="E986" s="1073"/>
      <c r="F986" s="1073"/>
      <c r="G986" s="1073"/>
      <c r="H986" s="1073"/>
      <c r="I986" s="1073"/>
      <c r="J986" s="1073"/>
      <c r="K986" s="1073"/>
      <c r="L986" s="1073"/>
      <c r="M986" s="1073"/>
      <c r="N986" s="1073"/>
      <c r="O986" s="1073"/>
      <c r="P986" s="1073"/>
      <c r="Q986" s="1073"/>
      <c r="R986" s="1073"/>
      <c r="S986" s="1073"/>
      <c r="T986" s="1073"/>
      <c r="U986" s="1073"/>
      <c r="V986" s="1073"/>
      <c r="W986" s="1073"/>
      <c r="X986" s="1073"/>
      <c r="Y986" s="1073"/>
      <c r="Z986" s="1073"/>
    </row>
    <row r="987" spans="1:26" ht="12.75" customHeight="1">
      <c r="A987" s="1073"/>
      <c r="B987" s="1073"/>
      <c r="C987" s="1073"/>
      <c r="D987" s="1073"/>
      <c r="E987" s="1073"/>
      <c r="F987" s="1073"/>
      <c r="G987" s="1073"/>
      <c r="H987" s="1073"/>
      <c r="I987" s="1073"/>
      <c r="J987" s="1073"/>
      <c r="K987" s="1073"/>
      <c r="L987" s="1073"/>
      <c r="M987" s="1073"/>
      <c r="N987" s="1073"/>
      <c r="O987" s="1073"/>
      <c r="P987" s="1073"/>
      <c r="Q987" s="1073"/>
      <c r="R987" s="1073"/>
      <c r="S987" s="1073"/>
      <c r="T987" s="1073"/>
      <c r="U987" s="1073"/>
      <c r="V987" s="1073"/>
      <c r="W987" s="1073"/>
      <c r="X987" s="1073"/>
      <c r="Y987" s="1073"/>
      <c r="Z987" s="1073"/>
    </row>
    <row r="988" spans="1:26" ht="12.75" customHeight="1">
      <c r="A988" s="1073"/>
      <c r="B988" s="1073"/>
      <c r="C988" s="1073"/>
      <c r="D988" s="1073"/>
      <c r="E988" s="1073"/>
      <c r="F988" s="1073"/>
      <c r="G988" s="1073"/>
      <c r="H988" s="1073"/>
      <c r="I988" s="1073"/>
      <c r="J988" s="1073"/>
      <c r="K988" s="1073"/>
      <c r="L988" s="1073"/>
      <c r="M988" s="1073"/>
      <c r="N988" s="1073"/>
      <c r="O988" s="1073"/>
      <c r="P988" s="1073"/>
      <c r="Q988" s="1073"/>
      <c r="R988" s="1073"/>
      <c r="S988" s="1073"/>
      <c r="T988" s="1073"/>
      <c r="U988" s="1073"/>
      <c r="V988" s="1073"/>
      <c r="W988" s="1073"/>
      <c r="X988" s="1073"/>
      <c r="Y988" s="1073"/>
      <c r="Z988" s="1073"/>
    </row>
    <row r="989" spans="1:26" ht="12.75" customHeight="1">
      <c r="A989" s="1073"/>
      <c r="B989" s="1073"/>
      <c r="C989" s="1073"/>
      <c r="D989" s="1073"/>
      <c r="E989" s="1073"/>
      <c r="F989" s="1073"/>
      <c r="G989" s="1073"/>
      <c r="H989" s="1073"/>
      <c r="I989" s="1073"/>
      <c r="J989" s="1073"/>
      <c r="K989" s="1073"/>
      <c r="L989" s="1073"/>
      <c r="M989" s="1073"/>
      <c r="N989" s="1073"/>
      <c r="O989" s="1073"/>
      <c r="P989" s="1073"/>
      <c r="Q989" s="1073"/>
      <c r="R989" s="1073"/>
      <c r="S989" s="1073"/>
      <c r="T989" s="1073"/>
      <c r="U989" s="1073"/>
      <c r="V989" s="1073"/>
      <c r="W989" s="1073"/>
      <c r="X989" s="1073"/>
      <c r="Y989" s="1073"/>
      <c r="Z989" s="1073"/>
    </row>
    <row r="990" spans="1:26" ht="12.75" customHeight="1">
      <c r="A990" s="1073"/>
      <c r="B990" s="1073"/>
      <c r="C990" s="1073"/>
      <c r="D990" s="1073"/>
      <c r="E990" s="1073"/>
      <c r="F990" s="1073"/>
      <c r="G990" s="1073"/>
      <c r="H990" s="1073"/>
      <c r="I990" s="1073"/>
      <c r="J990" s="1073"/>
      <c r="K990" s="1073"/>
      <c r="L990" s="1073"/>
      <c r="M990" s="1073"/>
      <c r="N990" s="1073"/>
      <c r="O990" s="1073"/>
      <c r="P990" s="1073"/>
      <c r="Q990" s="1073"/>
      <c r="R990" s="1073"/>
      <c r="S990" s="1073"/>
      <c r="T990" s="1073"/>
      <c r="U990" s="1073"/>
      <c r="V990" s="1073"/>
      <c r="W990" s="1073"/>
      <c r="X990" s="1073"/>
      <c r="Y990" s="1073"/>
      <c r="Z990" s="1073"/>
    </row>
    <row r="991" spans="1:26" ht="12.75" customHeight="1">
      <c r="A991" s="1073"/>
      <c r="B991" s="1073"/>
      <c r="C991" s="1073"/>
      <c r="D991" s="1073"/>
      <c r="E991" s="1073"/>
      <c r="F991" s="1073"/>
      <c r="G991" s="1073"/>
      <c r="H991" s="1073"/>
      <c r="I991" s="1073"/>
      <c r="J991" s="1073"/>
      <c r="K991" s="1073"/>
      <c r="L991" s="1073"/>
      <c r="M991" s="1073"/>
      <c r="N991" s="1073"/>
      <c r="O991" s="1073"/>
      <c r="P991" s="1073"/>
      <c r="Q991" s="1073"/>
      <c r="R991" s="1073"/>
      <c r="S991" s="1073"/>
      <c r="T991" s="1073"/>
      <c r="U991" s="1073"/>
      <c r="V991" s="1073"/>
      <c r="W991" s="1073"/>
      <c r="X991" s="1073"/>
      <c r="Y991" s="1073"/>
      <c r="Z991" s="1073"/>
    </row>
    <row r="992" spans="1:26" ht="12.75" customHeight="1">
      <c r="A992" s="1073"/>
      <c r="B992" s="1073"/>
      <c r="C992" s="1073"/>
      <c r="D992" s="1073"/>
      <c r="E992" s="1073"/>
      <c r="F992" s="1073"/>
      <c r="G992" s="1073"/>
      <c r="H992" s="1073"/>
      <c r="I992" s="1073"/>
      <c r="J992" s="1073"/>
      <c r="K992" s="1073"/>
      <c r="L992" s="1073"/>
      <c r="M992" s="1073"/>
      <c r="N992" s="1073"/>
      <c r="O992" s="1073"/>
      <c r="P992" s="1073"/>
      <c r="Q992" s="1073"/>
      <c r="R992" s="1073"/>
      <c r="S992" s="1073"/>
      <c r="T992" s="1073"/>
      <c r="U992" s="1073"/>
      <c r="V992" s="1073"/>
      <c r="W992" s="1073"/>
      <c r="X992" s="1073"/>
      <c r="Y992" s="1073"/>
      <c r="Z992" s="1073"/>
    </row>
    <row r="993" spans="1:26" ht="12.75" customHeight="1">
      <c r="A993" s="1073"/>
      <c r="B993" s="1073"/>
      <c r="C993" s="1073"/>
      <c r="D993" s="1073"/>
      <c r="E993" s="1073"/>
      <c r="F993" s="1073"/>
      <c r="G993" s="1073"/>
      <c r="H993" s="1073"/>
      <c r="I993" s="1073"/>
      <c r="J993" s="1073"/>
      <c r="K993" s="1073"/>
      <c r="L993" s="1073"/>
      <c r="M993" s="1073"/>
      <c r="N993" s="1073"/>
      <c r="O993" s="1073"/>
      <c r="P993" s="1073"/>
      <c r="Q993" s="1073"/>
      <c r="R993" s="1073"/>
      <c r="S993" s="1073"/>
      <c r="T993" s="1073"/>
      <c r="U993" s="1073"/>
      <c r="V993" s="1073"/>
      <c r="W993" s="1073"/>
      <c r="X993" s="1073"/>
      <c r="Y993" s="1073"/>
      <c r="Z993" s="1073"/>
    </row>
    <row r="994" spans="1:26" ht="12.75" customHeight="1">
      <c r="A994" s="1073"/>
      <c r="B994" s="1073"/>
      <c r="C994" s="1073"/>
      <c r="D994" s="1073"/>
      <c r="E994" s="1073"/>
      <c r="F994" s="1073"/>
      <c r="G994" s="1073"/>
      <c r="H994" s="1073"/>
      <c r="I994" s="1073"/>
      <c r="J994" s="1073"/>
      <c r="K994" s="1073"/>
      <c r="L994" s="1073"/>
      <c r="M994" s="1073"/>
      <c r="N994" s="1073"/>
      <c r="O994" s="1073"/>
      <c r="P994" s="1073"/>
      <c r="Q994" s="1073"/>
      <c r="R994" s="1073"/>
      <c r="S994" s="1073"/>
      <c r="T994" s="1073"/>
      <c r="U994" s="1073"/>
      <c r="V994" s="1073"/>
      <c r="W994" s="1073"/>
      <c r="X994" s="1073"/>
      <c r="Y994" s="1073"/>
      <c r="Z994" s="1073"/>
    </row>
    <row r="995" spans="1:26" ht="12.75" customHeight="1">
      <c r="A995" s="1073"/>
      <c r="B995" s="1073"/>
      <c r="C995" s="1073"/>
      <c r="D995" s="1073"/>
      <c r="E995" s="1073"/>
      <c r="F995" s="1073"/>
      <c r="G995" s="1073"/>
      <c r="H995" s="1073"/>
      <c r="I995" s="1073"/>
      <c r="J995" s="1073"/>
      <c r="K995" s="1073"/>
      <c r="L995" s="1073"/>
      <c r="M995" s="1073"/>
      <c r="N995" s="1073"/>
      <c r="O995" s="1073"/>
      <c r="P995" s="1073"/>
      <c r="Q995" s="1073"/>
      <c r="R995" s="1073"/>
      <c r="S995" s="1073"/>
      <c r="T995" s="1073"/>
      <c r="U995" s="1073"/>
      <c r="V995" s="1073"/>
      <c r="W995" s="1073"/>
      <c r="X995" s="1073"/>
      <c r="Y995" s="1073"/>
      <c r="Z995" s="1073"/>
    </row>
    <row r="996" spans="1:26" ht="12.75" customHeight="1">
      <c r="A996" s="1073"/>
      <c r="B996" s="1073"/>
      <c r="C996" s="1073"/>
      <c r="D996" s="1073"/>
      <c r="E996" s="1073"/>
      <c r="F996" s="1073"/>
      <c r="G996" s="1073"/>
      <c r="H996" s="1073"/>
      <c r="I996" s="1073"/>
      <c r="J996" s="1073"/>
      <c r="K996" s="1073"/>
      <c r="L996" s="1073"/>
      <c r="M996" s="1073"/>
      <c r="N996" s="1073"/>
      <c r="O996" s="1073"/>
      <c r="P996" s="1073"/>
      <c r="Q996" s="1073"/>
      <c r="R996" s="1073"/>
      <c r="S996" s="1073"/>
      <c r="T996" s="1073"/>
      <c r="U996" s="1073"/>
      <c r="V996" s="1073"/>
      <c r="W996" s="1073"/>
      <c r="X996" s="1073"/>
      <c r="Y996" s="1073"/>
      <c r="Z996" s="1073"/>
    </row>
    <row r="997" spans="1:26" ht="12.75" customHeight="1">
      <c r="A997" s="1073"/>
      <c r="B997" s="1073"/>
      <c r="C997" s="1073"/>
      <c r="D997" s="1073"/>
      <c r="E997" s="1073"/>
      <c r="F997" s="1073"/>
      <c r="G997" s="1073"/>
      <c r="H997" s="1073"/>
      <c r="I997" s="1073"/>
      <c r="J997" s="1073"/>
      <c r="K997" s="1073"/>
      <c r="L997" s="1073"/>
      <c r="M997" s="1073"/>
      <c r="N997" s="1073"/>
      <c r="O997" s="1073"/>
      <c r="P997" s="1073"/>
      <c r="Q997" s="1073"/>
      <c r="R997" s="1073"/>
      <c r="S997" s="1073"/>
      <c r="T997" s="1073"/>
      <c r="U997" s="1073"/>
      <c r="V997" s="1073"/>
      <c r="W997" s="1073"/>
      <c r="X997" s="1073"/>
      <c r="Y997" s="1073"/>
      <c r="Z997" s="1073"/>
    </row>
    <row r="998" spans="1:26" ht="12.75" customHeight="1">
      <c r="A998" s="1073"/>
      <c r="B998" s="1073"/>
      <c r="C998" s="1073"/>
      <c r="D998" s="1073"/>
      <c r="E998" s="1073"/>
      <c r="F998" s="1073"/>
      <c r="G998" s="1073"/>
      <c r="H998" s="1073"/>
      <c r="I998" s="1073"/>
      <c r="J998" s="1073"/>
      <c r="K998" s="1073"/>
      <c r="L998" s="1073"/>
      <c r="M998" s="1073"/>
      <c r="N998" s="1073"/>
      <c r="O998" s="1073"/>
      <c r="P998" s="1073"/>
      <c r="Q998" s="1073"/>
      <c r="R998" s="1073"/>
      <c r="S998" s="1073"/>
      <c r="T998" s="1073"/>
      <c r="U998" s="1073"/>
      <c r="V998" s="1073"/>
      <c r="W998" s="1073"/>
      <c r="X998" s="1073"/>
      <c r="Y998" s="1073"/>
      <c r="Z998" s="1073"/>
    </row>
    <row r="999" spans="1:26" ht="12.75" customHeight="1">
      <c r="A999" s="1073"/>
      <c r="B999" s="1073"/>
      <c r="C999" s="1073"/>
      <c r="D999" s="1073"/>
      <c r="E999" s="1073"/>
      <c r="F999" s="1073"/>
      <c r="G999" s="1073"/>
      <c r="H999" s="1073"/>
      <c r="I999" s="1073"/>
      <c r="J999" s="1073"/>
      <c r="K999" s="1073"/>
      <c r="L999" s="1073"/>
      <c r="M999" s="1073"/>
      <c r="N999" s="1073"/>
      <c r="O999" s="1073"/>
      <c r="P999" s="1073"/>
      <c r="Q999" s="1073"/>
      <c r="R999" s="1073"/>
      <c r="S999" s="1073"/>
      <c r="T999" s="1073"/>
      <c r="U999" s="1073"/>
      <c r="V999" s="1073"/>
      <c r="W999" s="1073"/>
      <c r="X999" s="1073"/>
      <c r="Y999" s="1073"/>
      <c r="Z999" s="1073"/>
    </row>
    <row r="1000" spans="1:26" ht="12.75" customHeight="1">
      <c r="A1000" s="1073"/>
      <c r="B1000" s="1073"/>
      <c r="C1000" s="1073"/>
      <c r="D1000" s="1073"/>
      <c r="E1000" s="1073"/>
      <c r="F1000" s="1073"/>
      <c r="G1000" s="1073"/>
      <c r="H1000" s="1073"/>
      <c r="I1000" s="1073"/>
      <c r="J1000" s="1073"/>
      <c r="K1000" s="1073"/>
      <c r="L1000" s="1073"/>
      <c r="M1000" s="1073"/>
      <c r="N1000" s="1073"/>
      <c r="O1000" s="1073"/>
      <c r="P1000" s="1073"/>
      <c r="Q1000" s="1073"/>
      <c r="R1000" s="1073"/>
      <c r="S1000" s="1073"/>
      <c r="T1000" s="1073"/>
      <c r="U1000" s="1073"/>
      <c r="V1000" s="1073"/>
      <c r="W1000" s="1073"/>
      <c r="X1000" s="1073"/>
      <c r="Y1000" s="1073"/>
      <c r="Z1000" s="1073"/>
    </row>
    <row r="1001" spans="1:26" ht="12.75" customHeight="1">
      <c r="A1001" s="1073"/>
      <c r="B1001" s="1073"/>
      <c r="C1001" s="1073"/>
      <c r="D1001" s="1073"/>
      <c r="E1001" s="1073"/>
      <c r="F1001" s="1073"/>
      <c r="G1001" s="1073"/>
      <c r="H1001" s="1073"/>
      <c r="I1001" s="1073"/>
      <c r="J1001" s="1073"/>
      <c r="K1001" s="1073"/>
      <c r="L1001" s="1073"/>
      <c r="M1001" s="1073"/>
      <c r="N1001" s="1073"/>
      <c r="O1001" s="1073"/>
      <c r="P1001" s="1073"/>
      <c r="Q1001" s="1073"/>
      <c r="R1001" s="1073"/>
      <c r="S1001" s="1073"/>
      <c r="T1001" s="1073"/>
      <c r="U1001" s="1073"/>
      <c r="V1001" s="1073"/>
      <c r="W1001" s="1073"/>
      <c r="X1001" s="1073"/>
      <c r="Y1001" s="1073"/>
      <c r="Z1001" s="1073"/>
    </row>
    <row r="1002" spans="1:26" ht="12.75" customHeight="1">
      <c r="A1002" s="1073"/>
      <c r="B1002" s="1073"/>
      <c r="C1002" s="1073"/>
      <c r="D1002" s="1073"/>
      <c r="E1002" s="1073"/>
      <c r="F1002" s="1073"/>
      <c r="G1002" s="1073"/>
      <c r="H1002" s="1073"/>
      <c r="I1002" s="1073"/>
      <c r="J1002" s="1073"/>
      <c r="K1002" s="1073"/>
      <c r="L1002" s="1073"/>
      <c r="M1002" s="1073"/>
      <c r="N1002" s="1073"/>
      <c r="O1002" s="1073"/>
      <c r="P1002" s="1073"/>
      <c r="Q1002" s="1073"/>
      <c r="R1002" s="1073"/>
      <c r="S1002" s="1073"/>
      <c r="T1002" s="1073"/>
      <c r="U1002" s="1073"/>
      <c r="V1002" s="1073"/>
      <c r="W1002" s="1073"/>
      <c r="X1002" s="1073"/>
      <c r="Y1002" s="1073"/>
      <c r="Z1002" s="1073"/>
    </row>
    <row r="1003" spans="1:26" ht="12.75" customHeight="1">
      <c r="A1003" s="1073"/>
      <c r="B1003" s="1073"/>
      <c r="C1003" s="1073"/>
      <c r="D1003" s="1073"/>
      <c r="E1003" s="1073"/>
      <c r="F1003" s="1073"/>
      <c r="G1003" s="1073"/>
      <c r="H1003" s="1073"/>
      <c r="I1003" s="1073"/>
      <c r="J1003" s="1073"/>
      <c r="K1003" s="1073"/>
      <c r="L1003" s="1073"/>
      <c r="M1003" s="1073"/>
      <c r="N1003" s="1073"/>
      <c r="O1003" s="1073"/>
      <c r="P1003" s="1073"/>
      <c r="Q1003" s="1073"/>
      <c r="R1003" s="1073"/>
      <c r="S1003" s="1073"/>
      <c r="T1003" s="1073"/>
      <c r="U1003" s="1073"/>
      <c r="V1003" s="1073"/>
      <c r="W1003" s="1073"/>
      <c r="X1003" s="1073"/>
      <c r="Y1003" s="1073"/>
      <c r="Z1003" s="1073"/>
    </row>
    <row r="1004" spans="1:26" ht="12.75" customHeight="1">
      <c r="A1004" s="1073"/>
      <c r="B1004" s="1073"/>
      <c r="C1004" s="1073"/>
      <c r="D1004" s="1073"/>
      <c r="E1004" s="1073"/>
      <c r="F1004" s="1073"/>
      <c r="G1004" s="1073"/>
      <c r="H1004" s="1073"/>
      <c r="I1004" s="1073"/>
      <c r="J1004" s="1073"/>
      <c r="K1004" s="1073"/>
      <c r="L1004" s="1073"/>
      <c r="M1004" s="1073"/>
      <c r="N1004" s="1073"/>
      <c r="O1004" s="1073"/>
      <c r="P1004" s="1073"/>
      <c r="Q1004" s="1073"/>
      <c r="R1004" s="1073"/>
      <c r="S1004" s="1073"/>
      <c r="T1004" s="1073"/>
      <c r="U1004" s="1073"/>
      <c r="V1004" s="1073"/>
      <c r="W1004" s="1073"/>
      <c r="X1004" s="1073"/>
      <c r="Y1004" s="1073"/>
      <c r="Z1004" s="1073"/>
    </row>
    <row r="1005" spans="1:26" ht="12.75" customHeight="1">
      <c r="A1005" s="1073"/>
      <c r="B1005" s="1073"/>
      <c r="C1005" s="1073"/>
      <c r="D1005" s="1073"/>
      <c r="E1005" s="1073"/>
      <c r="F1005" s="1073"/>
      <c r="G1005" s="1073"/>
      <c r="H1005" s="1073"/>
      <c r="I1005" s="1073"/>
      <c r="J1005" s="1073"/>
      <c r="K1005" s="1073"/>
      <c r="L1005" s="1073"/>
      <c r="M1005" s="1073"/>
      <c r="N1005" s="1073"/>
      <c r="O1005" s="1073"/>
      <c r="P1005" s="1073"/>
      <c r="Q1005" s="1073"/>
      <c r="R1005" s="1073"/>
      <c r="S1005" s="1073"/>
      <c r="T1005" s="1073"/>
      <c r="U1005" s="1073"/>
      <c r="V1005" s="1073"/>
      <c r="W1005" s="1073"/>
      <c r="X1005" s="1073"/>
      <c r="Y1005" s="1073"/>
      <c r="Z1005" s="1073"/>
    </row>
    <row r="1006" spans="1:26" ht="12.75" customHeight="1">
      <c r="A1006" s="1073"/>
      <c r="B1006" s="1073"/>
      <c r="C1006" s="1073"/>
      <c r="D1006" s="1073"/>
      <c r="E1006" s="1073"/>
      <c r="F1006" s="1073"/>
      <c r="G1006" s="1073"/>
      <c r="H1006" s="1073"/>
      <c r="I1006" s="1073"/>
      <c r="J1006" s="1073"/>
      <c r="K1006" s="1073"/>
      <c r="L1006" s="1073"/>
      <c r="M1006" s="1073"/>
      <c r="N1006" s="1073"/>
      <c r="O1006" s="1073"/>
      <c r="P1006" s="1073"/>
      <c r="Q1006" s="1073"/>
      <c r="R1006" s="1073"/>
      <c r="S1006" s="1073"/>
      <c r="T1006" s="1073"/>
      <c r="U1006" s="1073"/>
      <c r="V1006" s="1073"/>
      <c r="W1006" s="1073"/>
      <c r="X1006" s="1073"/>
      <c r="Y1006" s="1073"/>
      <c r="Z1006" s="1073"/>
    </row>
    <row r="1007" spans="1:26" ht="12.75" customHeight="1">
      <c r="A1007" s="1073"/>
      <c r="B1007" s="1073"/>
      <c r="C1007" s="1073"/>
      <c r="D1007" s="1073"/>
      <c r="E1007" s="1073"/>
      <c r="F1007" s="1073"/>
      <c r="G1007" s="1073"/>
      <c r="H1007" s="1073"/>
      <c r="I1007" s="1073"/>
      <c r="J1007" s="1073"/>
      <c r="K1007" s="1073"/>
      <c r="L1007" s="1073"/>
      <c r="M1007" s="1073"/>
      <c r="N1007" s="1073"/>
      <c r="O1007" s="1073"/>
      <c r="P1007" s="1073"/>
      <c r="Q1007" s="1073"/>
      <c r="R1007" s="1073"/>
      <c r="S1007" s="1073"/>
      <c r="T1007" s="1073"/>
      <c r="U1007" s="1073"/>
      <c r="V1007" s="1073"/>
      <c r="W1007" s="1073"/>
      <c r="X1007" s="1073"/>
      <c r="Y1007" s="1073"/>
      <c r="Z1007" s="1073"/>
    </row>
    <row r="1008" spans="1:26" ht="12.75" customHeight="1">
      <c r="A1008" s="1073"/>
      <c r="B1008" s="1073"/>
      <c r="C1008" s="1073"/>
      <c r="D1008" s="1073"/>
      <c r="E1008" s="1073"/>
      <c r="F1008" s="1073"/>
      <c r="G1008" s="1073"/>
      <c r="H1008" s="1073"/>
      <c r="I1008" s="1073"/>
      <c r="J1008" s="1073"/>
      <c r="K1008" s="1073"/>
      <c r="L1008" s="1073"/>
      <c r="M1008" s="1073"/>
      <c r="N1008" s="1073"/>
      <c r="O1008" s="1073"/>
      <c r="P1008" s="1073"/>
      <c r="Q1008" s="1073"/>
      <c r="R1008" s="1073"/>
      <c r="S1008" s="1073"/>
      <c r="T1008" s="1073"/>
      <c r="U1008" s="1073"/>
      <c r="V1008" s="1073"/>
      <c r="W1008" s="1073"/>
      <c r="X1008" s="1073"/>
      <c r="Y1008" s="1073"/>
      <c r="Z1008" s="1073"/>
    </row>
    <row r="1009" spans="1:26" ht="12.75" customHeight="1">
      <c r="A1009" s="1073"/>
      <c r="B1009" s="1073"/>
      <c r="C1009" s="1073"/>
      <c r="D1009" s="1073"/>
      <c r="E1009" s="1073"/>
      <c r="F1009" s="1073"/>
      <c r="G1009" s="1073"/>
      <c r="H1009" s="1073"/>
      <c r="I1009" s="1073"/>
      <c r="J1009" s="1073"/>
      <c r="K1009" s="1073"/>
      <c r="L1009" s="1073"/>
      <c r="M1009" s="1073"/>
      <c r="N1009" s="1073"/>
      <c r="O1009" s="1073"/>
      <c r="P1009" s="1073"/>
      <c r="Q1009" s="1073"/>
      <c r="R1009" s="1073"/>
      <c r="S1009" s="1073"/>
      <c r="T1009" s="1073"/>
      <c r="U1009" s="1073"/>
      <c r="V1009" s="1073"/>
      <c r="W1009" s="1073"/>
      <c r="X1009" s="1073"/>
      <c r="Y1009" s="1073"/>
      <c r="Z1009" s="1073"/>
    </row>
    <row r="1010" spans="1:26" ht="12.75" customHeight="1">
      <c r="A1010" s="1073"/>
      <c r="B1010" s="1073"/>
      <c r="C1010" s="1073"/>
      <c r="D1010" s="1073"/>
      <c r="E1010" s="1073"/>
      <c r="F1010" s="1073"/>
      <c r="G1010" s="1073"/>
      <c r="H1010" s="1073"/>
      <c r="I1010" s="1073"/>
      <c r="J1010" s="1073"/>
      <c r="K1010" s="1073"/>
      <c r="L1010" s="1073"/>
      <c r="M1010" s="1073"/>
      <c r="N1010" s="1073"/>
      <c r="O1010" s="1073"/>
      <c r="P1010" s="1073"/>
      <c r="Q1010" s="1073"/>
      <c r="R1010" s="1073"/>
      <c r="S1010" s="1073"/>
      <c r="T1010" s="1073"/>
      <c r="U1010" s="1073"/>
      <c r="V1010" s="1073"/>
      <c r="W1010" s="1073"/>
      <c r="X1010" s="1073"/>
      <c r="Y1010" s="1073"/>
      <c r="Z1010" s="1073"/>
    </row>
    <row r="1011" spans="1:26" ht="12.75" customHeight="1">
      <c r="A1011" s="1073"/>
      <c r="B1011" s="1073"/>
      <c r="C1011" s="1073"/>
      <c r="D1011" s="1073"/>
      <c r="E1011" s="1073"/>
      <c r="F1011" s="1073"/>
      <c r="G1011" s="1073"/>
      <c r="H1011" s="1073"/>
      <c r="I1011" s="1073"/>
      <c r="J1011" s="1073"/>
      <c r="K1011" s="1073"/>
      <c r="L1011" s="1073"/>
      <c r="M1011" s="1073"/>
      <c r="N1011" s="1073"/>
      <c r="O1011" s="1073"/>
      <c r="P1011" s="1073"/>
      <c r="Q1011" s="1073"/>
      <c r="R1011" s="1073"/>
      <c r="S1011" s="1073"/>
      <c r="T1011" s="1073"/>
      <c r="U1011" s="1073"/>
      <c r="V1011" s="1073"/>
      <c r="W1011" s="1073"/>
      <c r="X1011" s="1073"/>
      <c r="Y1011" s="1073"/>
      <c r="Z1011" s="1073"/>
    </row>
    <row r="1012" spans="1:26" ht="12.75" customHeight="1">
      <c r="A1012" s="1073"/>
      <c r="B1012" s="1073"/>
      <c r="C1012" s="1073"/>
      <c r="D1012" s="1073"/>
      <c r="E1012" s="1073"/>
      <c r="F1012" s="1073"/>
      <c r="G1012" s="1073"/>
      <c r="H1012" s="1073"/>
      <c r="I1012" s="1073"/>
      <c r="J1012" s="1073"/>
      <c r="K1012" s="1073"/>
      <c r="L1012" s="1073"/>
      <c r="M1012" s="1073"/>
      <c r="N1012" s="1073"/>
      <c r="O1012" s="1073"/>
      <c r="P1012" s="1073"/>
      <c r="Q1012" s="1073"/>
      <c r="R1012" s="1073"/>
      <c r="S1012" s="1073"/>
      <c r="T1012" s="1073"/>
      <c r="U1012" s="1073"/>
      <c r="V1012" s="1073"/>
      <c r="W1012" s="1073"/>
      <c r="X1012" s="1073"/>
      <c r="Y1012" s="1073"/>
      <c r="Z1012" s="1073"/>
    </row>
    <row r="1013" spans="1:26" ht="12.75" customHeight="1">
      <c r="A1013" s="1073"/>
      <c r="B1013" s="1073"/>
      <c r="C1013" s="1073"/>
      <c r="D1013" s="1073"/>
      <c r="E1013" s="1073"/>
      <c r="F1013" s="1073"/>
      <c r="G1013" s="1073"/>
      <c r="H1013" s="1073"/>
      <c r="I1013" s="1073"/>
      <c r="J1013" s="1073"/>
      <c r="K1013" s="1073"/>
      <c r="L1013" s="1073"/>
      <c r="M1013" s="1073"/>
      <c r="N1013" s="1073"/>
      <c r="O1013" s="1073"/>
      <c r="P1013" s="1073"/>
      <c r="Q1013" s="1073"/>
      <c r="R1013" s="1073"/>
      <c r="S1013" s="1073"/>
      <c r="T1013" s="1073"/>
      <c r="U1013" s="1073"/>
      <c r="V1013" s="1073"/>
      <c r="W1013" s="1073"/>
      <c r="X1013" s="1073"/>
      <c r="Y1013" s="1073"/>
      <c r="Z1013" s="1073"/>
    </row>
    <row r="1014" spans="1:26" ht="12.75" customHeight="1">
      <c r="A1014" s="1073"/>
      <c r="B1014" s="1073"/>
      <c r="C1014" s="1073"/>
      <c r="D1014" s="1073"/>
      <c r="E1014" s="1073"/>
      <c r="F1014" s="1073"/>
      <c r="G1014" s="1073"/>
      <c r="H1014" s="1073"/>
      <c r="I1014" s="1073"/>
      <c r="J1014" s="1073"/>
      <c r="K1014" s="1073"/>
      <c r="L1014" s="1073"/>
      <c r="M1014" s="1073"/>
      <c r="N1014" s="1073"/>
      <c r="O1014" s="1073"/>
      <c r="P1014" s="1073"/>
      <c r="Q1014" s="1073"/>
      <c r="R1014" s="1073"/>
      <c r="S1014" s="1073"/>
      <c r="T1014" s="1073"/>
      <c r="U1014" s="1073"/>
      <c r="V1014" s="1073"/>
      <c r="W1014" s="1073"/>
      <c r="X1014" s="1073"/>
      <c r="Y1014" s="1073"/>
      <c r="Z1014" s="1073"/>
    </row>
    <row r="1015" spans="1:26" ht="12.75" customHeight="1">
      <c r="A1015" s="1073"/>
      <c r="B1015" s="1073"/>
      <c r="C1015" s="1073"/>
      <c r="D1015" s="1073"/>
      <c r="E1015" s="1073"/>
      <c r="F1015" s="1073"/>
      <c r="G1015" s="1073"/>
      <c r="H1015" s="1073"/>
      <c r="I1015" s="1073"/>
      <c r="J1015" s="1073"/>
      <c r="K1015" s="1073"/>
      <c r="L1015" s="1073"/>
      <c r="M1015" s="1073"/>
      <c r="N1015" s="1073"/>
      <c r="O1015" s="1073"/>
      <c r="P1015" s="1073"/>
      <c r="Q1015" s="1073"/>
      <c r="R1015" s="1073"/>
      <c r="S1015" s="1073"/>
      <c r="T1015" s="1073"/>
      <c r="U1015" s="1073"/>
      <c r="V1015" s="1073"/>
      <c r="W1015" s="1073"/>
      <c r="X1015" s="1073"/>
      <c r="Y1015" s="1073"/>
      <c r="Z1015" s="1073"/>
    </row>
    <row r="1016" spans="1:26" ht="12.75" customHeight="1">
      <c r="A1016" s="1073"/>
      <c r="B1016" s="1073"/>
      <c r="C1016" s="1073"/>
      <c r="D1016" s="1073"/>
      <c r="E1016" s="1073"/>
      <c r="F1016" s="1073"/>
      <c r="G1016" s="1073"/>
      <c r="H1016" s="1073"/>
      <c r="I1016" s="1073"/>
      <c r="J1016" s="1073"/>
      <c r="K1016" s="1073"/>
      <c r="L1016" s="1073"/>
      <c r="M1016" s="1073"/>
      <c r="N1016" s="1073"/>
      <c r="O1016" s="1073"/>
      <c r="P1016" s="1073"/>
      <c r="Q1016" s="1073"/>
      <c r="R1016" s="1073"/>
      <c r="S1016" s="1073"/>
      <c r="T1016" s="1073"/>
      <c r="U1016" s="1073"/>
      <c r="V1016" s="1073"/>
      <c r="W1016" s="1073"/>
      <c r="X1016" s="1073"/>
      <c r="Y1016" s="1073"/>
      <c r="Z1016" s="1073"/>
    </row>
    <row r="1017" spans="1:26" ht="12.75" customHeight="1">
      <c r="A1017" s="1073"/>
      <c r="B1017" s="1073"/>
      <c r="C1017" s="1073"/>
      <c r="D1017" s="1073"/>
      <c r="E1017" s="1073"/>
      <c r="F1017" s="1073"/>
      <c r="G1017" s="1073"/>
      <c r="H1017" s="1073"/>
      <c r="I1017" s="1073"/>
      <c r="J1017" s="1073"/>
      <c r="K1017" s="1073"/>
      <c r="L1017" s="1073"/>
      <c r="M1017" s="1073"/>
      <c r="N1017" s="1073"/>
      <c r="O1017" s="1073"/>
      <c r="P1017" s="1073"/>
      <c r="Q1017" s="1073"/>
      <c r="R1017" s="1073"/>
      <c r="S1017" s="1073"/>
      <c r="T1017" s="1073"/>
      <c r="U1017" s="1073"/>
      <c r="V1017" s="1073"/>
      <c r="W1017" s="1073"/>
      <c r="X1017" s="1073"/>
      <c r="Y1017" s="1073"/>
      <c r="Z1017" s="1073"/>
    </row>
    <row r="1018" spans="1:26" ht="12.75" customHeight="1">
      <c r="A1018" s="1073"/>
      <c r="B1018" s="1073"/>
      <c r="C1018" s="1073"/>
      <c r="D1018" s="1073"/>
      <c r="E1018" s="1073"/>
      <c r="F1018" s="1073"/>
      <c r="G1018" s="1073"/>
      <c r="H1018" s="1073"/>
      <c r="I1018" s="1073"/>
      <c r="J1018" s="1073"/>
      <c r="K1018" s="1073"/>
      <c r="L1018" s="1073"/>
      <c r="M1018" s="1073"/>
      <c r="N1018" s="1073"/>
      <c r="O1018" s="1073"/>
      <c r="P1018" s="1073"/>
      <c r="Q1018" s="1073"/>
      <c r="R1018" s="1073"/>
      <c r="S1018" s="1073"/>
      <c r="T1018" s="1073"/>
      <c r="U1018" s="1073"/>
      <c r="V1018" s="1073"/>
      <c r="W1018" s="1073"/>
      <c r="X1018" s="1073"/>
      <c r="Y1018" s="1073"/>
      <c r="Z1018" s="1073"/>
    </row>
    <row r="1019" spans="1:26" ht="12.75" customHeight="1">
      <c r="A1019" s="1073"/>
      <c r="B1019" s="1073"/>
      <c r="C1019" s="1073"/>
      <c r="D1019" s="1073"/>
      <c r="E1019" s="1073"/>
      <c r="F1019" s="1073"/>
      <c r="G1019" s="1073"/>
      <c r="H1019" s="1073"/>
      <c r="I1019" s="1073"/>
      <c r="J1019" s="1073"/>
      <c r="K1019" s="1073"/>
      <c r="L1019" s="1073"/>
      <c r="M1019" s="1073"/>
      <c r="N1019" s="1073"/>
      <c r="O1019" s="1073"/>
      <c r="P1019" s="1073"/>
      <c r="Q1019" s="1073"/>
      <c r="R1019" s="1073"/>
      <c r="S1019" s="1073"/>
      <c r="T1019" s="1073"/>
      <c r="U1019" s="1073"/>
      <c r="V1019" s="1073"/>
      <c r="W1019" s="1073"/>
      <c r="X1019" s="1073"/>
      <c r="Y1019" s="1073"/>
      <c r="Z1019" s="1073"/>
    </row>
    <row r="1020" spans="1:26" ht="12.75" customHeight="1">
      <c r="A1020" s="1073"/>
      <c r="B1020" s="1073"/>
      <c r="C1020" s="1073"/>
      <c r="D1020" s="1073"/>
      <c r="E1020" s="1073"/>
      <c r="F1020" s="1073"/>
      <c r="G1020" s="1073"/>
      <c r="H1020" s="1073"/>
      <c r="I1020" s="1073"/>
      <c r="J1020" s="1073"/>
      <c r="K1020" s="1073"/>
      <c r="L1020" s="1073"/>
      <c r="M1020" s="1073"/>
      <c r="N1020" s="1073"/>
      <c r="O1020" s="1073"/>
      <c r="P1020" s="1073"/>
      <c r="Q1020" s="1073"/>
      <c r="R1020" s="1073"/>
      <c r="S1020" s="1073"/>
      <c r="T1020" s="1073"/>
      <c r="U1020" s="1073"/>
      <c r="V1020" s="1073"/>
      <c r="W1020" s="1073"/>
      <c r="X1020" s="1073"/>
      <c r="Y1020" s="1073"/>
      <c r="Z1020" s="1073"/>
    </row>
    <row r="1021" spans="1:26" ht="12.75" customHeight="1">
      <c r="A1021" s="1073"/>
      <c r="B1021" s="1073"/>
      <c r="C1021" s="1073"/>
      <c r="D1021" s="1073"/>
      <c r="E1021" s="1073"/>
      <c r="F1021" s="1073"/>
      <c r="G1021" s="1073"/>
      <c r="H1021" s="1073"/>
      <c r="I1021" s="1073"/>
      <c r="J1021" s="1073"/>
      <c r="K1021" s="1073"/>
      <c r="L1021" s="1073"/>
      <c r="M1021" s="1073"/>
      <c r="N1021" s="1073"/>
      <c r="O1021" s="1073"/>
      <c r="P1021" s="1073"/>
      <c r="Q1021" s="1073"/>
      <c r="R1021" s="1073"/>
      <c r="S1021" s="1073"/>
      <c r="T1021" s="1073"/>
      <c r="U1021" s="1073"/>
      <c r="V1021" s="1073"/>
      <c r="W1021" s="1073"/>
      <c r="X1021" s="1073"/>
      <c r="Y1021" s="1073"/>
      <c r="Z1021" s="1073"/>
    </row>
    <row r="1022" spans="1:26" ht="12.75" customHeight="1">
      <c r="A1022" s="1073"/>
      <c r="B1022" s="1073"/>
      <c r="C1022" s="1073"/>
      <c r="D1022" s="1073"/>
      <c r="E1022" s="1073"/>
      <c r="F1022" s="1073"/>
      <c r="G1022" s="1073"/>
      <c r="H1022" s="1073"/>
      <c r="I1022" s="1073"/>
      <c r="J1022" s="1073"/>
      <c r="K1022" s="1073"/>
      <c r="L1022" s="1073"/>
      <c r="M1022" s="1073"/>
      <c r="N1022" s="1073"/>
      <c r="O1022" s="1073"/>
      <c r="P1022" s="1073"/>
      <c r="Q1022" s="1073"/>
      <c r="R1022" s="1073"/>
      <c r="S1022" s="1073"/>
      <c r="T1022" s="1073"/>
      <c r="U1022" s="1073"/>
      <c r="V1022" s="1073"/>
      <c r="W1022" s="1073"/>
      <c r="X1022" s="1073"/>
      <c r="Y1022" s="1073"/>
      <c r="Z1022" s="1073"/>
    </row>
    <row r="1023" spans="1:26" ht="12.75" customHeight="1">
      <c r="A1023" s="1073"/>
      <c r="B1023" s="1073"/>
      <c r="C1023" s="1073"/>
      <c r="D1023" s="1073"/>
      <c r="E1023" s="1073"/>
      <c r="F1023" s="1073"/>
      <c r="G1023" s="1073"/>
      <c r="H1023" s="1073"/>
      <c r="I1023" s="1073"/>
      <c r="J1023" s="1073"/>
      <c r="K1023" s="1073"/>
      <c r="L1023" s="1073"/>
      <c r="M1023" s="1073"/>
      <c r="N1023" s="1073"/>
      <c r="O1023" s="1073"/>
      <c r="P1023" s="1073"/>
      <c r="Q1023" s="1073"/>
      <c r="R1023" s="1073"/>
      <c r="S1023" s="1073"/>
      <c r="T1023" s="1073"/>
      <c r="U1023" s="1073"/>
      <c r="V1023" s="1073"/>
      <c r="W1023" s="1073"/>
      <c r="X1023" s="1073"/>
      <c r="Y1023" s="1073"/>
      <c r="Z1023" s="1073"/>
    </row>
    <row r="1024" spans="1:26" ht="12.75" customHeight="1">
      <c r="A1024" s="1073"/>
      <c r="B1024" s="1073"/>
      <c r="C1024" s="1073"/>
      <c r="D1024" s="1073"/>
      <c r="E1024" s="1073"/>
      <c r="F1024" s="1073"/>
      <c r="G1024" s="1073"/>
      <c r="H1024" s="1073"/>
      <c r="I1024" s="1073"/>
      <c r="J1024" s="1073"/>
      <c r="K1024" s="1073"/>
      <c r="L1024" s="1073"/>
      <c r="M1024" s="1073"/>
      <c r="N1024" s="1073"/>
      <c r="O1024" s="1073"/>
      <c r="P1024" s="1073"/>
      <c r="Q1024" s="1073"/>
      <c r="R1024" s="1073"/>
      <c r="S1024" s="1073"/>
      <c r="T1024" s="1073"/>
      <c r="U1024" s="1073"/>
      <c r="V1024" s="1073"/>
      <c r="W1024" s="1073"/>
      <c r="X1024" s="1073"/>
      <c r="Y1024" s="1073"/>
      <c r="Z1024" s="1073"/>
    </row>
    <row r="1025" spans="1:26" ht="12.75" customHeight="1">
      <c r="A1025" s="1073"/>
      <c r="B1025" s="1073"/>
      <c r="C1025" s="1073"/>
      <c r="D1025" s="1073"/>
      <c r="E1025" s="1073"/>
      <c r="F1025" s="1073"/>
      <c r="G1025" s="1073"/>
      <c r="H1025" s="1073"/>
      <c r="I1025" s="1073"/>
      <c r="J1025" s="1073"/>
      <c r="K1025" s="1073"/>
      <c r="L1025" s="1073"/>
      <c r="M1025" s="1073"/>
      <c r="N1025" s="1073"/>
      <c r="O1025" s="1073"/>
      <c r="P1025" s="1073"/>
      <c r="Q1025" s="1073"/>
      <c r="R1025" s="1073"/>
      <c r="S1025" s="1073"/>
      <c r="T1025" s="1073"/>
      <c r="U1025" s="1073"/>
      <c r="V1025" s="1073"/>
      <c r="W1025" s="1073"/>
      <c r="X1025" s="1073"/>
      <c r="Y1025" s="1073"/>
      <c r="Z1025" s="1073"/>
    </row>
    <row r="1026" spans="1:26" ht="12.75" customHeight="1">
      <c r="A1026" s="1073"/>
      <c r="B1026" s="1073"/>
      <c r="C1026" s="1073"/>
      <c r="D1026" s="1073"/>
      <c r="E1026" s="1073"/>
      <c r="F1026" s="1073"/>
      <c r="G1026" s="1073"/>
      <c r="H1026" s="1073"/>
      <c r="I1026" s="1073"/>
      <c r="J1026" s="1073"/>
      <c r="K1026" s="1073"/>
      <c r="L1026" s="1073"/>
      <c r="M1026" s="1073"/>
      <c r="N1026" s="1073"/>
      <c r="O1026" s="1073"/>
      <c r="P1026" s="1073"/>
      <c r="Q1026" s="1073"/>
      <c r="R1026" s="1073"/>
      <c r="S1026" s="1073"/>
      <c r="T1026" s="1073"/>
      <c r="U1026" s="1073"/>
      <c r="V1026" s="1073"/>
      <c r="W1026" s="1073"/>
      <c r="X1026" s="1073"/>
      <c r="Y1026" s="1073"/>
      <c r="Z1026" s="1073"/>
    </row>
    <row r="1027" spans="1:26" ht="12.75" customHeight="1">
      <c r="A1027" s="1073"/>
      <c r="B1027" s="1073"/>
      <c r="C1027" s="1073"/>
      <c r="D1027" s="1073"/>
      <c r="E1027" s="1073"/>
      <c r="F1027" s="1073"/>
      <c r="G1027" s="1073"/>
      <c r="H1027" s="1073"/>
      <c r="I1027" s="1073"/>
      <c r="J1027" s="1073"/>
      <c r="K1027" s="1073"/>
      <c r="L1027" s="1073"/>
      <c r="M1027" s="1073"/>
      <c r="N1027" s="1073"/>
      <c r="O1027" s="1073"/>
      <c r="P1027" s="1073"/>
      <c r="Q1027" s="1073"/>
      <c r="R1027" s="1073"/>
      <c r="S1027" s="1073"/>
      <c r="T1027" s="1073"/>
      <c r="U1027" s="1073"/>
      <c r="V1027" s="1073"/>
      <c r="W1027" s="1073"/>
      <c r="X1027" s="1073"/>
      <c r="Y1027" s="1073"/>
      <c r="Z1027" s="1073"/>
    </row>
    <row r="1028" spans="1:26" ht="12.75" customHeight="1">
      <c r="A1028" s="1073"/>
      <c r="B1028" s="1073"/>
      <c r="C1028" s="1073"/>
      <c r="D1028" s="1073"/>
      <c r="E1028" s="1073"/>
      <c r="F1028" s="1073"/>
      <c r="G1028" s="1073"/>
      <c r="H1028" s="1073"/>
      <c r="I1028" s="1073"/>
      <c r="J1028" s="1073"/>
      <c r="K1028" s="1073"/>
      <c r="L1028" s="1073"/>
      <c r="M1028" s="1073"/>
      <c r="N1028" s="1073"/>
      <c r="O1028" s="1073"/>
      <c r="P1028" s="1073"/>
      <c r="Q1028" s="1073"/>
      <c r="R1028" s="1073"/>
      <c r="S1028" s="1073"/>
      <c r="T1028" s="1073"/>
      <c r="U1028" s="1073"/>
      <c r="V1028" s="1073"/>
      <c r="W1028" s="1073"/>
      <c r="X1028" s="1073"/>
      <c r="Y1028" s="1073"/>
      <c r="Z1028" s="1073"/>
    </row>
    <row r="1029" spans="1:26" ht="12.75" customHeight="1">
      <c r="A1029" s="1073"/>
      <c r="B1029" s="1073"/>
      <c r="C1029" s="1073"/>
      <c r="D1029" s="1073"/>
      <c r="E1029" s="1073"/>
      <c r="F1029" s="1073"/>
      <c r="G1029" s="1073"/>
      <c r="H1029" s="1073"/>
      <c r="I1029" s="1073"/>
      <c r="J1029" s="1073"/>
      <c r="K1029" s="1073"/>
      <c r="L1029" s="1073"/>
      <c r="M1029" s="1073"/>
      <c r="N1029" s="1073"/>
      <c r="O1029" s="1073"/>
      <c r="P1029" s="1073"/>
      <c r="Q1029" s="1073"/>
      <c r="R1029" s="1073"/>
      <c r="S1029" s="1073"/>
      <c r="T1029" s="1073"/>
      <c r="U1029" s="1073"/>
      <c r="V1029" s="1073"/>
      <c r="W1029" s="1073"/>
      <c r="X1029" s="1073"/>
      <c r="Y1029" s="1073"/>
      <c r="Z1029" s="1073"/>
    </row>
    <row r="1030" spans="1:26" ht="12.75" customHeight="1">
      <c r="A1030" s="1073"/>
      <c r="B1030" s="1073"/>
      <c r="C1030" s="1073"/>
      <c r="D1030" s="1073"/>
      <c r="E1030" s="1073"/>
      <c r="F1030" s="1073"/>
      <c r="G1030" s="1073"/>
      <c r="H1030" s="1073"/>
      <c r="I1030" s="1073"/>
      <c r="J1030" s="1073"/>
      <c r="K1030" s="1073"/>
      <c r="L1030" s="1073"/>
      <c r="M1030" s="1073"/>
      <c r="N1030" s="1073"/>
      <c r="O1030" s="1073"/>
      <c r="P1030" s="1073"/>
      <c r="Q1030" s="1073"/>
      <c r="R1030" s="1073"/>
      <c r="S1030" s="1073"/>
      <c r="T1030" s="1073"/>
      <c r="U1030" s="1073"/>
      <c r="V1030" s="1073"/>
      <c r="W1030" s="1073"/>
      <c r="X1030" s="1073"/>
      <c r="Y1030" s="1073"/>
      <c r="Z1030" s="1073"/>
    </row>
    <row r="1031" spans="1:26" ht="12.75" customHeight="1">
      <c r="A1031" s="1073"/>
      <c r="B1031" s="1073"/>
      <c r="C1031" s="1073"/>
      <c r="D1031" s="1073"/>
      <c r="E1031" s="1073"/>
      <c r="F1031" s="1073"/>
      <c r="G1031" s="1073"/>
      <c r="H1031" s="1073"/>
      <c r="I1031" s="1073"/>
      <c r="J1031" s="1073"/>
      <c r="K1031" s="1073"/>
      <c r="L1031" s="1073"/>
      <c r="M1031" s="1073"/>
      <c r="N1031" s="1073"/>
      <c r="O1031" s="1073"/>
      <c r="P1031" s="1073"/>
      <c r="Q1031" s="1073"/>
      <c r="R1031" s="1073"/>
      <c r="S1031" s="1073"/>
      <c r="T1031" s="1073"/>
      <c r="U1031" s="1073"/>
      <c r="V1031" s="1073"/>
      <c r="W1031" s="1073"/>
      <c r="X1031" s="1073"/>
      <c r="Y1031" s="1073"/>
      <c r="Z1031" s="1073"/>
    </row>
    <row r="1032" spans="1:26" ht="12.75" customHeight="1">
      <c r="A1032" s="1073"/>
      <c r="B1032" s="1073"/>
      <c r="C1032" s="1073"/>
      <c r="D1032" s="1073"/>
      <c r="E1032" s="1073"/>
      <c r="F1032" s="1073"/>
      <c r="G1032" s="1073"/>
      <c r="H1032" s="1073"/>
      <c r="I1032" s="1073"/>
      <c r="J1032" s="1073"/>
      <c r="K1032" s="1073"/>
      <c r="L1032" s="1073"/>
      <c r="M1032" s="1073"/>
      <c r="N1032" s="1073"/>
      <c r="O1032" s="1073"/>
      <c r="P1032" s="1073"/>
      <c r="Q1032" s="1073"/>
      <c r="R1032" s="1073"/>
      <c r="S1032" s="1073"/>
      <c r="T1032" s="1073"/>
      <c r="U1032" s="1073"/>
      <c r="V1032" s="1073"/>
      <c r="W1032" s="1073"/>
      <c r="X1032" s="1073"/>
      <c r="Y1032" s="1073"/>
      <c r="Z1032" s="1073"/>
    </row>
    <row r="1033" spans="1:26" ht="12.75" customHeight="1">
      <c r="A1033" s="1073"/>
      <c r="B1033" s="1073"/>
      <c r="C1033" s="1073"/>
      <c r="D1033" s="1073"/>
      <c r="E1033" s="1073"/>
      <c r="F1033" s="1073"/>
      <c r="G1033" s="1073"/>
      <c r="H1033" s="1073"/>
      <c r="I1033" s="1073"/>
      <c r="J1033" s="1073"/>
      <c r="K1033" s="1073"/>
      <c r="L1033" s="1073"/>
      <c r="M1033" s="1073"/>
      <c r="N1033" s="1073"/>
      <c r="O1033" s="1073"/>
      <c r="P1033" s="1073"/>
      <c r="Q1033" s="1073"/>
      <c r="R1033" s="1073"/>
      <c r="S1033" s="1073"/>
      <c r="T1033" s="1073"/>
      <c r="U1033" s="1073"/>
      <c r="V1033" s="1073"/>
      <c r="W1033" s="1073"/>
      <c r="X1033" s="1073"/>
      <c r="Y1033" s="1073"/>
      <c r="Z1033" s="1073"/>
    </row>
    <row r="1034" spans="1:26" ht="12.75" customHeight="1">
      <c r="A1034" s="1073"/>
      <c r="B1034" s="1073"/>
      <c r="C1034" s="1073"/>
      <c r="D1034" s="1073"/>
      <c r="E1034" s="1073"/>
      <c r="F1034" s="1073"/>
      <c r="G1034" s="1073"/>
      <c r="H1034" s="1073"/>
      <c r="I1034" s="1073"/>
      <c r="J1034" s="1073"/>
      <c r="K1034" s="1073"/>
      <c r="L1034" s="1073"/>
      <c r="M1034" s="1073"/>
      <c r="N1034" s="1073"/>
      <c r="O1034" s="1073"/>
      <c r="P1034" s="1073"/>
      <c r="Q1034" s="1073"/>
      <c r="R1034" s="1073"/>
      <c r="S1034" s="1073"/>
      <c r="T1034" s="1073"/>
      <c r="U1034" s="1073"/>
      <c r="V1034" s="1073"/>
      <c r="W1034" s="1073"/>
      <c r="X1034" s="1073"/>
      <c r="Y1034" s="1073"/>
      <c r="Z1034" s="1073"/>
    </row>
    <row r="1035" spans="1:26" ht="12.75" customHeight="1">
      <c r="A1035" s="1073"/>
      <c r="B1035" s="1073"/>
      <c r="C1035" s="1073"/>
      <c r="D1035" s="1073"/>
      <c r="E1035" s="1073"/>
      <c r="F1035" s="1073"/>
      <c r="G1035" s="1073"/>
      <c r="H1035" s="1073"/>
      <c r="I1035" s="1073"/>
      <c r="J1035" s="1073"/>
      <c r="K1035" s="1073"/>
      <c r="L1035" s="1073"/>
      <c r="M1035" s="1073"/>
      <c r="N1035" s="1073"/>
      <c r="O1035" s="1073"/>
      <c r="P1035" s="1073"/>
      <c r="Q1035" s="1073"/>
      <c r="R1035" s="1073"/>
      <c r="S1035" s="1073"/>
      <c r="T1035" s="1073"/>
      <c r="U1035" s="1073"/>
      <c r="V1035" s="1073"/>
      <c r="W1035" s="1073"/>
      <c r="X1035" s="1073"/>
      <c r="Y1035" s="1073"/>
      <c r="Z1035" s="1073"/>
    </row>
    <row r="1036" spans="1:26" ht="12.75" customHeight="1">
      <c r="A1036" s="1073"/>
      <c r="B1036" s="1073"/>
      <c r="C1036" s="1073"/>
      <c r="D1036" s="1073"/>
      <c r="E1036" s="1073"/>
      <c r="F1036" s="1073"/>
      <c r="G1036" s="1073"/>
      <c r="H1036" s="1073"/>
      <c r="I1036" s="1073"/>
      <c r="J1036" s="1073"/>
      <c r="K1036" s="1073"/>
      <c r="L1036" s="1073"/>
      <c r="M1036" s="1073"/>
      <c r="N1036" s="1073"/>
      <c r="O1036" s="1073"/>
      <c r="P1036" s="1073"/>
      <c r="Q1036" s="1073"/>
      <c r="R1036" s="1073"/>
      <c r="S1036" s="1073"/>
      <c r="T1036" s="1073"/>
      <c r="U1036" s="1073"/>
      <c r="V1036" s="1073"/>
      <c r="W1036" s="1073"/>
      <c r="X1036" s="1073"/>
      <c r="Y1036" s="1073"/>
      <c r="Z1036" s="1073"/>
    </row>
    <row r="1037" spans="1:26" ht="12.75" customHeight="1">
      <c r="A1037" s="1073"/>
      <c r="B1037" s="1073"/>
      <c r="C1037" s="1073"/>
      <c r="D1037" s="1073"/>
      <c r="E1037" s="1073"/>
      <c r="F1037" s="1073"/>
      <c r="G1037" s="1073"/>
      <c r="H1037" s="1073"/>
      <c r="I1037" s="1073"/>
      <c r="J1037" s="1073"/>
      <c r="K1037" s="1073"/>
      <c r="L1037" s="1073"/>
      <c r="M1037" s="1073"/>
      <c r="N1037" s="1073"/>
      <c r="O1037" s="1073"/>
      <c r="P1037" s="1073"/>
      <c r="Q1037" s="1073"/>
      <c r="R1037" s="1073"/>
      <c r="S1037" s="1073"/>
      <c r="T1037" s="1073"/>
      <c r="U1037" s="1073"/>
      <c r="V1037" s="1073"/>
      <c r="W1037" s="1073"/>
      <c r="X1037" s="1073"/>
      <c r="Y1037" s="1073"/>
      <c r="Z1037" s="1073"/>
    </row>
    <row r="1038" spans="1:26" ht="12.75" customHeight="1">
      <c r="A1038" s="1073"/>
      <c r="B1038" s="1073"/>
      <c r="C1038" s="1073"/>
      <c r="D1038" s="1073"/>
      <c r="E1038" s="1073"/>
      <c r="F1038" s="1073"/>
      <c r="G1038" s="1073"/>
      <c r="H1038" s="1073"/>
      <c r="I1038" s="1073"/>
      <c r="J1038" s="1073"/>
      <c r="K1038" s="1073"/>
      <c r="L1038" s="1073"/>
      <c r="M1038" s="1073"/>
      <c r="N1038" s="1073"/>
      <c r="O1038" s="1073"/>
      <c r="P1038" s="1073"/>
      <c r="Q1038" s="1073"/>
      <c r="R1038" s="1073"/>
      <c r="S1038" s="1073"/>
      <c r="T1038" s="1073"/>
      <c r="U1038" s="1073"/>
      <c r="V1038" s="1073"/>
      <c r="W1038" s="1073"/>
      <c r="X1038" s="1073"/>
      <c r="Y1038" s="1073"/>
      <c r="Z1038" s="1073"/>
    </row>
    <row r="1039" spans="1:26" ht="12.75" customHeight="1">
      <c r="A1039" s="1073"/>
      <c r="B1039" s="1073"/>
      <c r="C1039" s="1073"/>
      <c r="D1039" s="1073"/>
      <c r="E1039" s="1073"/>
      <c r="F1039" s="1073"/>
      <c r="G1039" s="1073"/>
      <c r="H1039" s="1073"/>
      <c r="I1039" s="1073"/>
      <c r="J1039" s="1073"/>
      <c r="K1039" s="1073"/>
      <c r="L1039" s="1073"/>
      <c r="M1039" s="1073"/>
      <c r="N1039" s="1073"/>
      <c r="O1039" s="1073"/>
      <c r="P1039" s="1073"/>
      <c r="Q1039" s="1073"/>
      <c r="R1039" s="1073"/>
      <c r="S1039" s="1073"/>
      <c r="T1039" s="1073"/>
      <c r="U1039" s="1073"/>
      <c r="V1039" s="1073"/>
      <c r="W1039" s="1073"/>
      <c r="X1039" s="1073"/>
      <c r="Y1039" s="1073"/>
      <c r="Z1039" s="1073"/>
    </row>
    <row r="1040" spans="1:26" ht="12.75" customHeight="1">
      <c r="A1040" s="1073"/>
      <c r="B1040" s="1073"/>
      <c r="C1040" s="1073"/>
      <c r="D1040" s="1073"/>
      <c r="E1040" s="1073"/>
      <c r="F1040" s="1073"/>
      <c r="G1040" s="1073"/>
      <c r="H1040" s="1073"/>
      <c r="I1040" s="1073"/>
      <c r="J1040" s="1073"/>
      <c r="K1040" s="1073"/>
      <c r="L1040" s="1073"/>
      <c r="M1040" s="1073"/>
      <c r="N1040" s="1073"/>
      <c r="O1040" s="1073"/>
      <c r="P1040" s="1073"/>
      <c r="Q1040" s="1073"/>
      <c r="R1040" s="1073"/>
      <c r="S1040" s="1073"/>
      <c r="T1040" s="1073"/>
      <c r="U1040" s="1073"/>
      <c r="V1040" s="1073"/>
      <c r="W1040" s="1073"/>
      <c r="X1040" s="1073"/>
      <c r="Y1040" s="1073"/>
      <c r="Z1040" s="1073"/>
    </row>
    <row r="1041" spans="1:26" ht="12.75" customHeight="1">
      <c r="A1041" s="1073"/>
      <c r="B1041" s="1073"/>
      <c r="C1041" s="1073"/>
      <c r="D1041" s="1073"/>
      <c r="E1041" s="1073"/>
      <c r="F1041" s="1073"/>
      <c r="G1041" s="1073"/>
      <c r="H1041" s="1073"/>
      <c r="I1041" s="1073"/>
      <c r="J1041" s="1073"/>
      <c r="K1041" s="1073"/>
      <c r="L1041" s="1073"/>
      <c r="M1041" s="1073"/>
      <c r="N1041" s="1073"/>
      <c r="O1041" s="1073"/>
      <c r="P1041" s="1073"/>
      <c r="Q1041" s="1073"/>
      <c r="R1041" s="1073"/>
      <c r="S1041" s="1073"/>
      <c r="T1041" s="1073"/>
      <c r="U1041" s="1073"/>
      <c r="V1041" s="1073"/>
      <c r="W1041" s="1073"/>
      <c r="X1041" s="1073"/>
      <c r="Y1041" s="1073"/>
      <c r="Z1041" s="1073"/>
    </row>
    <row r="1042" spans="1:26" ht="12.75" customHeight="1">
      <c r="A1042" s="1073"/>
      <c r="B1042" s="1073"/>
      <c r="C1042" s="1073"/>
      <c r="D1042" s="1073"/>
      <c r="E1042" s="1073"/>
      <c r="F1042" s="1073"/>
      <c r="G1042" s="1073"/>
      <c r="H1042" s="1073"/>
      <c r="I1042" s="1073"/>
      <c r="J1042" s="1073"/>
      <c r="K1042" s="1073"/>
      <c r="L1042" s="1073"/>
      <c r="M1042" s="1073"/>
      <c r="N1042" s="1073"/>
      <c r="O1042" s="1073"/>
      <c r="P1042" s="1073"/>
      <c r="Q1042" s="1073"/>
      <c r="R1042" s="1073"/>
      <c r="S1042" s="1073"/>
      <c r="T1042" s="1073"/>
      <c r="U1042" s="1073"/>
      <c r="V1042" s="1073"/>
      <c r="W1042" s="1073"/>
      <c r="X1042" s="1073"/>
      <c r="Y1042" s="1073"/>
      <c r="Z1042" s="1073"/>
    </row>
    <row r="1043" spans="1:26" ht="12.75" customHeight="1">
      <c r="A1043" s="1073"/>
      <c r="B1043" s="1073"/>
      <c r="C1043" s="1073"/>
      <c r="D1043" s="1073"/>
      <c r="E1043" s="1073"/>
      <c r="F1043" s="1073"/>
      <c r="G1043" s="1073"/>
      <c r="H1043" s="1073"/>
      <c r="I1043" s="1073"/>
      <c r="J1043" s="1073"/>
      <c r="K1043" s="1073"/>
      <c r="L1043" s="1073"/>
      <c r="M1043" s="1073"/>
      <c r="N1043" s="1073"/>
      <c r="O1043" s="1073"/>
      <c r="P1043" s="1073"/>
      <c r="Q1043" s="1073"/>
      <c r="R1043" s="1073"/>
      <c r="S1043" s="1073"/>
      <c r="T1043" s="1073"/>
      <c r="U1043" s="1073"/>
      <c r="V1043" s="1073"/>
      <c r="W1043" s="1073"/>
      <c r="X1043" s="1073"/>
      <c r="Y1043" s="1073"/>
      <c r="Z1043" s="1073"/>
    </row>
  </sheetData>
  <mergeCells count="97">
    <mergeCell ref="B1:I1"/>
    <mergeCell ref="F94:G94"/>
    <mergeCell ref="F107:G107"/>
    <mergeCell ref="A110:I110"/>
    <mergeCell ref="A113:I113"/>
    <mergeCell ref="A98:B98"/>
    <mergeCell ref="A99:B99"/>
    <mergeCell ref="A100:B100"/>
    <mergeCell ref="A101:B101"/>
    <mergeCell ref="A102:B102"/>
    <mergeCell ref="A103:B103"/>
    <mergeCell ref="A92:B92"/>
    <mergeCell ref="A93:B93"/>
    <mergeCell ref="A94:B94"/>
    <mergeCell ref="A97:B97"/>
    <mergeCell ref="A86:B86"/>
    <mergeCell ref="A114:I114"/>
    <mergeCell ref="A116:I116"/>
    <mergeCell ref="A118:I118"/>
    <mergeCell ref="A119:I119"/>
    <mergeCell ref="A104:B104"/>
    <mergeCell ref="A105:B105"/>
    <mergeCell ref="A106:B106"/>
    <mergeCell ref="A107:B107"/>
    <mergeCell ref="A87:B87"/>
    <mergeCell ref="A88:B88"/>
    <mergeCell ref="A89:B89"/>
    <mergeCell ref="A90:B90"/>
    <mergeCell ref="A91:B91"/>
    <mergeCell ref="A85:B85"/>
    <mergeCell ref="A74:B74"/>
    <mergeCell ref="A75:B75"/>
    <mergeCell ref="A76:B76"/>
    <mergeCell ref="A77:B77"/>
    <mergeCell ref="A78:B78"/>
    <mergeCell ref="A79:B79"/>
    <mergeCell ref="A80:B80"/>
    <mergeCell ref="A81:B81"/>
    <mergeCell ref="A82:B82"/>
    <mergeCell ref="A83:B83"/>
    <mergeCell ref="A84:B84"/>
    <mergeCell ref="A73:B73"/>
    <mergeCell ref="A62:B62"/>
    <mergeCell ref="A63:B63"/>
    <mergeCell ref="A64:B64"/>
    <mergeCell ref="A65:B65"/>
    <mergeCell ref="A66:B66"/>
    <mergeCell ref="A67:B67"/>
    <mergeCell ref="A68:B68"/>
    <mergeCell ref="A69:B69"/>
    <mergeCell ref="A70:B70"/>
    <mergeCell ref="A71:B71"/>
    <mergeCell ref="A72:B72"/>
    <mergeCell ref="A61:B61"/>
    <mergeCell ref="C47:I47"/>
    <mergeCell ref="C48:I48"/>
    <mergeCell ref="C49:I49"/>
    <mergeCell ref="C50:I50"/>
    <mergeCell ref="C51:I51"/>
    <mergeCell ref="A53:I53"/>
    <mergeCell ref="A55:B55"/>
    <mergeCell ref="A56:B56"/>
    <mergeCell ref="A57:B57"/>
    <mergeCell ref="A58:B58"/>
    <mergeCell ref="A59:B59"/>
    <mergeCell ref="A60:B60"/>
    <mergeCell ref="A45:I45"/>
    <mergeCell ref="F27:I27"/>
    <mergeCell ref="A29:I29"/>
    <mergeCell ref="D31:I31"/>
    <mergeCell ref="D32:I34"/>
    <mergeCell ref="C35:I35"/>
    <mergeCell ref="A37:I37"/>
    <mergeCell ref="D39:I39"/>
    <mergeCell ref="D40:I40"/>
    <mergeCell ref="D41:I41"/>
    <mergeCell ref="D42:I42"/>
    <mergeCell ref="C43:I43"/>
    <mergeCell ref="F23:I23"/>
    <mergeCell ref="F24:I24"/>
    <mergeCell ref="F25:I25"/>
    <mergeCell ref="F26:I26"/>
    <mergeCell ref="A20:I20"/>
    <mergeCell ref="F22:I22"/>
    <mergeCell ref="A15:A17"/>
    <mergeCell ref="A3:I3"/>
    <mergeCell ref="A5:B5"/>
    <mergeCell ref="D5:I5"/>
    <mergeCell ref="A6:B6"/>
    <mergeCell ref="D6:I6"/>
    <mergeCell ref="A7:B7"/>
    <mergeCell ref="D7:I7"/>
    <mergeCell ref="A8:B8"/>
    <mergeCell ref="D8:I8"/>
    <mergeCell ref="A9:B9"/>
    <mergeCell ref="D9:I9"/>
    <mergeCell ref="A11:I11"/>
  </mergeCells>
  <pageMargins left="0.23622047244094491" right="0.23622047244094491" top="0.74803149606299213" bottom="0.74803149606299213" header="0.31496062992125984" footer="0.31496062992125984"/>
  <pageSetup paperSize="9" firstPageNumber="211" fitToHeight="5"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zoomScaleNormal="100" workbookViewId="0">
      <selection activeCell="A8" sqref="A8:B8"/>
    </sheetView>
  </sheetViews>
  <sheetFormatPr defaultColWidth="16" defaultRowHeight="12.75"/>
  <cols>
    <col min="1" max="1" width="58" style="14" customWidth="1"/>
    <col min="2" max="2" width="33.5" style="14" customWidth="1"/>
    <col min="3" max="5" width="25.75" style="14" customWidth="1"/>
    <col min="6" max="6" width="22.75" style="14" customWidth="1"/>
    <col min="7" max="8" width="16" style="14"/>
    <col min="9" max="9" width="17.75" style="14" customWidth="1"/>
    <col min="10" max="16384" width="16" style="14"/>
  </cols>
  <sheetData>
    <row r="1" spans="1:9" s="277" customFormat="1" ht="18.75">
      <c r="A1" s="277" t="s">
        <v>73</v>
      </c>
      <c r="B1" s="1299" t="s">
        <v>468</v>
      </c>
      <c r="C1" s="1299"/>
      <c r="D1" s="1299"/>
      <c r="E1" s="1299"/>
      <c r="F1" s="1299"/>
      <c r="G1" s="1299"/>
      <c r="H1" s="1299"/>
      <c r="I1" s="1299"/>
    </row>
    <row r="3" spans="1:9" s="281" customFormat="1" ht="10.5">
      <c r="A3" s="1189" t="s">
        <v>469</v>
      </c>
      <c r="B3" s="1189"/>
      <c r="C3" s="1189"/>
      <c r="D3" s="1189"/>
      <c r="E3" s="1189"/>
      <c r="F3" s="1189"/>
      <c r="G3" s="1189"/>
      <c r="H3" s="1189"/>
      <c r="I3" s="1189"/>
    </row>
    <row r="4" spans="1:9" s="2" customFormat="1" ht="11.25"/>
    <row r="5" spans="1:9" s="282" customFormat="1" ht="9.75">
      <c r="A5" s="1197" t="s">
        <v>74</v>
      </c>
      <c r="B5" s="1198"/>
      <c r="C5" s="271" t="s">
        <v>25</v>
      </c>
      <c r="D5" s="1193" t="s">
        <v>413</v>
      </c>
      <c r="E5" s="1193"/>
      <c r="F5" s="1193"/>
      <c r="G5" s="1193"/>
      <c r="H5" s="1193"/>
      <c r="I5" s="1193"/>
    </row>
    <row r="6" spans="1:9" s="2" customFormat="1" ht="15" customHeight="1">
      <c r="A6" s="1213" t="s">
        <v>414</v>
      </c>
      <c r="B6" s="1213"/>
      <c r="C6" s="365">
        <f>C7+C8</f>
        <v>190340.27</v>
      </c>
      <c r="D6" s="1207"/>
      <c r="E6" s="1208"/>
      <c r="F6" s="1208"/>
      <c r="G6" s="1208"/>
      <c r="H6" s="1208"/>
      <c r="I6" s="1209"/>
    </row>
    <row r="7" spans="1:9" s="2" customFormat="1" ht="27" customHeight="1">
      <c r="A7" s="1199" t="s">
        <v>75</v>
      </c>
      <c r="B7" s="1200"/>
      <c r="C7" s="366">
        <v>190340.27</v>
      </c>
      <c r="D7" s="1302" t="s">
        <v>470</v>
      </c>
      <c r="E7" s="1303"/>
      <c r="F7" s="1303"/>
      <c r="G7" s="1303"/>
      <c r="H7" s="1303"/>
      <c r="I7" s="1304"/>
    </row>
    <row r="8" spans="1:9" s="281" customFormat="1" ht="27" customHeight="1">
      <c r="A8" s="1201" t="s">
        <v>76</v>
      </c>
      <c r="B8" s="1202"/>
      <c r="C8" s="367">
        <v>0</v>
      </c>
      <c r="D8" s="1205" t="s">
        <v>257</v>
      </c>
      <c r="E8" s="1290"/>
      <c r="F8" s="1290"/>
      <c r="G8" s="1290"/>
      <c r="H8" s="1290"/>
      <c r="I8" s="1291"/>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471</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0</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190340.27</v>
      </c>
      <c r="D16" s="24"/>
      <c r="E16" s="24"/>
      <c r="F16" s="24"/>
      <c r="G16" s="24"/>
      <c r="H16" s="24"/>
      <c r="I16" s="24"/>
    </row>
    <row r="17" spans="1:9" s="2" customFormat="1" ht="15" customHeight="1">
      <c r="A17" s="1192"/>
      <c r="B17" s="6" t="s">
        <v>82</v>
      </c>
      <c r="C17" s="67">
        <v>0</v>
      </c>
      <c r="D17" s="25"/>
      <c r="E17" s="25"/>
      <c r="F17" s="25"/>
      <c r="G17" s="25"/>
      <c r="H17" s="25"/>
      <c r="I17" s="25"/>
    </row>
    <row r="18" spans="1:9" s="2" customFormat="1" ht="15" customHeight="1">
      <c r="A18" s="275" t="s">
        <v>414</v>
      </c>
      <c r="B18" s="7"/>
      <c r="C18" s="26">
        <f>SUM(C14:C17)</f>
        <v>190340.27</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27" customHeight="1">
      <c r="A23" s="68" t="s">
        <v>83</v>
      </c>
      <c r="B23" s="148">
        <v>464243.53</v>
      </c>
      <c r="C23" s="32">
        <v>581996.75</v>
      </c>
      <c r="D23" s="32">
        <v>209014</v>
      </c>
      <c r="E23" s="32">
        <f>B23+C23-D23</f>
        <v>837226.28</v>
      </c>
      <c r="F23" s="1287" t="s">
        <v>472</v>
      </c>
      <c r="G23" s="1288"/>
      <c r="H23" s="1288"/>
      <c r="I23" s="1289"/>
    </row>
    <row r="24" spans="1:9" s="2" customFormat="1" ht="24" customHeight="1">
      <c r="A24" s="69" t="s">
        <v>82</v>
      </c>
      <c r="B24" s="148">
        <v>42245.49</v>
      </c>
      <c r="C24" s="368">
        <v>0</v>
      </c>
      <c r="D24" s="33">
        <v>0</v>
      </c>
      <c r="E24" s="369">
        <f t="shared" ref="E24:E26" si="0">B24+C24-D24</f>
        <v>42245.49</v>
      </c>
      <c r="F24" s="1292" t="s">
        <v>473</v>
      </c>
      <c r="G24" s="1293"/>
      <c r="H24" s="1293"/>
      <c r="I24" s="1294"/>
    </row>
    <row r="25" spans="1:9" s="2" customFormat="1" ht="24" customHeight="1">
      <c r="A25" s="70" t="s">
        <v>474</v>
      </c>
      <c r="B25" s="148">
        <v>267912.44</v>
      </c>
      <c r="C25" s="368">
        <v>1410908</v>
      </c>
      <c r="D25" s="33">
        <v>1338690</v>
      </c>
      <c r="E25" s="369">
        <f>B25+C25-D25</f>
        <v>340130.43999999994</v>
      </c>
      <c r="F25" s="1241" t="s">
        <v>475</v>
      </c>
      <c r="G25" s="1242"/>
      <c r="H25" s="1242"/>
      <c r="I25" s="1243"/>
    </row>
    <row r="26" spans="1:9" s="2" customFormat="1" ht="27" customHeight="1">
      <c r="A26" s="70" t="s">
        <v>85</v>
      </c>
      <c r="B26" s="148">
        <v>366135.64</v>
      </c>
      <c r="C26" s="370">
        <v>244390.07</v>
      </c>
      <c r="D26" s="370">
        <v>232948.71</v>
      </c>
      <c r="E26" s="369">
        <f t="shared" si="0"/>
        <v>377577</v>
      </c>
      <c r="F26" s="1295" t="s">
        <v>476</v>
      </c>
      <c r="G26" s="1296"/>
      <c r="H26" s="1296"/>
      <c r="I26" s="1297"/>
    </row>
    <row r="27" spans="1:9" s="281" customFormat="1" ht="10.5">
      <c r="A27" s="3" t="s">
        <v>34</v>
      </c>
      <c r="B27" s="16">
        <f t="shared" ref="B27:E27" si="1">SUM(B23:B26)</f>
        <v>1140537.1000000001</v>
      </c>
      <c r="C27" s="16">
        <f t="shared" si="1"/>
        <v>2237294.8199999998</v>
      </c>
      <c r="D27" s="16">
        <f t="shared" si="1"/>
        <v>1780652.71</v>
      </c>
      <c r="E27" s="16">
        <f t="shared" si="1"/>
        <v>1597179.21</v>
      </c>
      <c r="F27" s="1214"/>
      <c r="G27" s="1214"/>
      <c r="H27" s="1214"/>
      <c r="I27" s="1214"/>
    </row>
    <row r="28" spans="1:9" s="2" customFormat="1" ht="13.15" customHeight="1">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25.15" customHeight="1">
      <c r="A32" s="371" t="s">
        <v>101</v>
      </c>
      <c r="B32" s="32">
        <v>0</v>
      </c>
      <c r="C32" s="372"/>
      <c r="D32" s="1215"/>
      <c r="E32" s="1216"/>
      <c r="F32" s="1216"/>
      <c r="G32" s="1216"/>
      <c r="H32" s="1216"/>
      <c r="I32" s="1217"/>
    </row>
    <row r="33" spans="1:9" s="281" customFormat="1" ht="11.25">
      <c r="A33" s="3" t="s">
        <v>34</v>
      </c>
      <c r="B33" s="16">
        <f>SUM(B32:B32)</f>
        <v>0</v>
      </c>
      <c r="C33" s="1300"/>
      <c r="D33" s="1300"/>
      <c r="E33" s="1300"/>
      <c r="F33" s="1300"/>
      <c r="G33" s="1300"/>
      <c r="H33" s="1300"/>
      <c r="I33" s="1301"/>
    </row>
    <row r="34" spans="1:9" s="2" customFormat="1" ht="11.25">
      <c r="C34" s="19"/>
    </row>
    <row r="35" spans="1:9" s="2" customFormat="1" ht="11.25">
      <c r="A35" s="1189" t="s">
        <v>431</v>
      </c>
      <c r="B35" s="1189"/>
      <c r="C35" s="1189"/>
      <c r="D35" s="1189"/>
      <c r="E35" s="1189"/>
      <c r="F35" s="1189"/>
      <c r="G35" s="1189"/>
      <c r="H35" s="1189"/>
      <c r="I35" s="1189"/>
    </row>
    <row r="36" spans="1:9" s="2" customFormat="1" ht="11.25">
      <c r="C36" s="19"/>
    </row>
    <row r="37" spans="1:9" s="2" customFormat="1" ht="11.25">
      <c r="A37" s="271" t="s">
        <v>86</v>
      </c>
      <c r="B37" s="271" t="s">
        <v>25</v>
      </c>
      <c r="C37" s="270" t="s">
        <v>87</v>
      </c>
      <c r="D37" s="1193" t="s">
        <v>88</v>
      </c>
      <c r="E37" s="1193"/>
      <c r="F37" s="1193"/>
      <c r="G37" s="1193"/>
      <c r="H37" s="1193"/>
      <c r="I37" s="1193"/>
    </row>
    <row r="38" spans="1:9" s="2" customFormat="1" ht="25.15" customHeight="1">
      <c r="A38" s="371" t="s">
        <v>102</v>
      </c>
      <c r="B38" s="32">
        <v>0</v>
      </c>
      <c r="C38" s="372"/>
      <c r="D38" s="1218"/>
      <c r="E38" s="1219"/>
      <c r="F38" s="1219"/>
      <c r="G38" s="1219"/>
      <c r="H38" s="1219"/>
      <c r="I38" s="1220"/>
    </row>
    <row r="39" spans="1:9" s="281" customFormat="1" ht="10.5">
      <c r="A39" s="3" t="s">
        <v>34</v>
      </c>
      <c r="B39" s="16">
        <f>SUM(B38:B38)</f>
        <v>0</v>
      </c>
      <c r="C39" s="1236"/>
      <c r="D39" s="1236"/>
      <c r="E39" s="1236"/>
      <c r="F39" s="1236"/>
      <c r="G39" s="1236"/>
      <c r="H39" s="1236"/>
      <c r="I39" s="1236"/>
    </row>
    <row r="40" spans="1:9" s="2" customFormat="1" ht="11.25">
      <c r="C40" s="19"/>
    </row>
    <row r="41" spans="1:9" s="2" customFormat="1" ht="11.25">
      <c r="A41" s="1189" t="s">
        <v>432</v>
      </c>
      <c r="B41" s="1189"/>
      <c r="C41" s="1189"/>
      <c r="D41" s="1189"/>
      <c r="E41" s="1189"/>
      <c r="F41" s="1189"/>
      <c r="G41" s="1189"/>
      <c r="H41" s="1189"/>
      <c r="I41" s="1189"/>
    </row>
    <row r="42" spans="1:9" s="2" customFormat="1" ht="11.25">
      <c r="C42" s="19"/>
    </row>
    <row r="43" spans="1:9" s="2" customFormat="1" ht="11.25">
      <c r="A43" s="271" t="s">
        <v>25</v>
      </c>
      <c r="B43" s="270" t="s">
        <v>433</v>
      </c>
      <c r="C43" s="1238" t="s">
        <v>89</v>
      </c>
      <c r="D43" s="1238"/>
      <c r="E43" s="1238"/>
      <c r="F43" s="1238"/>
      <c r="G43" s="1238"/>
      <c r="H43" s="1238"/>
      <c r="I43" s="1238"/>
    </row>
    <row r="44" spans="1:9" s="2" customFormat="1" ht="11.25">
      <c r="A44" s="87">
        <v>0</v>
      </c>
      <c r="B44" s="36">
        <v>0</v>
      </c>
      <c r="C44" s="1239" t="s">
        <v>477</v>
      </c>
      <c r="D44" s="1239"/>
      <c r="E44" s="1239"/>
      <c r="F44" s="1239"/>
      <c r="G44" s="1239"/>
      <c r="H44" s="1239"/>
      <c r="I44" s="1240"/>
    </row>
    <row r="45" spans="1:9" s="281" customFormat="1" ht="10.5">
      <c r="A45" s="16">
        <f>A44</f>
        <v>0</v>
      </c>
      <c r="B45" s="16">
        <f>B44</f>
        <v>0</v>
      </c>
      <c r="C45" s="1233" t="s">
        <v>34</v>
      </c>
      <c r="D45" s="1233"/>
      <c r="E45" s="1233"/>
      <c r="F45" s="1233"/>
      <c r="G45" s="1233"/>
      <c r="H45" s="1233"/>
      <c r="I45" s="1233"/>
    </row>
    <row r="46" spans="1:9" s="2" customFormat="1" ht="11.25">
      <c r="C46" s="19"/>
    </row>
    <row r="47" spans="1:9" s="2" customFormat="1" ht="11.25">
      <c r="A47" s="1189" t="s">
        <v>434</v>
      </c>
      <c r="B47" s="1189"/>
      <c r="C47" s="1189"/>
      <c r="D47" s="1189"/>
      <c r="E47" s="1189"/>
      <c r="F47" s="1189"/>
      <c r="G47" s="1189"/>
      <c r="H47" s="1189"/>
      <c r="I47" s="1189"/>
    </row>
    <row r="48" spans="1:9" s="2" customFormat="1" ht="11.25">
      <c r="C48" s="19"/>
    </row>
    <row r="49" spans="1:7" s="10" customFormat="1" ht="34.15" customHeight="1">
      <c r="A49" s="1234" t="s">
        <v>259</v>
      </c>
      <c r="B49" s="1235"/>
      <c r="C49" s="56" t="s">
        <v>179</v>
      </c>
      <c r="D49" s="56" t="s">
        <v>118</v>
      </c>
      <c r="E49" s="56" t="s">
        <v>119</v>
      </c>
      <c r="F49" s="56" t="s">
        <v>244</v>
      </c>
      <c r="G49" s="56" t="s">
        <v>180</v>
      </c>
    </row>
    <row r="50" spans="1:7" s="2" customFormat="1" ht="10.15" customHeight="1">
      <c r="A50" s="1298" t="s">
        <v>478</v>
      </c>
      <c r="B50" s="1298"/>
      <c r="C50" s="373" t="s">
        <v>297</v>
      </c>
      <c r="D50" s="374">
        <v>0</v>
      </c>
      <c r="E50" s="374">
        <v>7326</v>
      </c>
      <c r="F50" s="375" t="s">
        <v>479</v>
      </c>
      <c r="G50" s="376" t="s">
        <v>479</v>
      </c>
    </row>
    <row r="51" spans="1:7" s="2" customFormat="1" ht="10.15" customHeight="1">
      <c r="A51" s="1298" t="s">
        <v>480</v>
      </c>
      <c r="B51" s="1298"/>
      <c r="C51" s="373" t="s">
        <v>293</v>
      </c>
      <c r="D51" s="374">
        <v>0</v>
      </c>
      <c r="E51" s="374">
        <v>-7326</v>
      </c>
      <c r="F51" s="375" t="s">
        <v>479</v>
      </c>
      <c r="G51" s="376" t="s">
        <v>479</v>
      </c>
    </row>
    <row r="52" spans="1:7" s="2" customFormat="1" ht="10.15" customHeight="1">
      <c r="A52" s="1298" t="s">
        <v>481</v>
      </c>
      <c r="B52" s="1298"/>
      <c r="C52" s="373" t="s">
        <v>218</v>
      </c>
      <c r="D52" s="374">
        <v>0</v>
      </c>
      <c r="E52" s="374">
        <v>188500</v>
      </c>
      <c r="F52" s="375" t="s">
        <v>482</v>
      </c>
      <c r="G52" s="376" t="s">
        <v>482</v>
      </c>
    </row>
    <row r="53" spans="1:7" s="2" customFormat="1" ht="10.15" customHeight="1">
      <c r="A53" s="1298" t="s">
        <v>481</v>
      </c>
      <c r="B53" s="1298"/>
      <c r="C53" s="373" t="s">
        <v>483</v>
      </c>
      <c r="D53" s="374">
        <v>188500</v>
      </c>
      <c r="E53" s="374">
        <v>0</v>
      </c>
      <c r="F53" s="375" t="s">
        <v>482</v>
      </c>
      <c r="G53" s="376" t="s">
        <v>482</v>
      </c>
    </row>
    <row r="54" spans="1:7" s="2" customFormat="1" ht="10.15" customHeight="1">
      <c r="A54" s="1298" t="s">
        <v>484</v>
      </c>
      <c r="B54" s="1298"/>
      <c r="C54" s="373" t="s">
        <v>218</v>
      </c>
      <c r="D54" s="374">
        <v>0</v>
      </c>
      <c r="E54" s="374">
        <v>144100</v>
      </c>
      <c r="F54" s="375" t="s">
        <v>482</v>
      </c>
      <c r="G54" s="376" t="s">
        <v>482</v>
      </c>
    </row>
    <row r="55" spans="1:7" s="2" customFormat="1" ht="10.15" customHeight="1">
      <c r="A55" s="1284" t="s">
        <v>484</v>
      </c>
      <c r="B55" s="1285"/>
      <c r="C55" s="373" t="s">
        <v>483</v>
      </c>
      <c r="D55" s="374">
        <v>144100</v>
      </c>
      <c r="E55" s="374">
        <v>0</v>
      </c>
      <c r="F55" s="375" t="s">
        <v>482</v>
      </c>
      <c r="G55" s="376" t="s">
        <v>482</v>
      </c>
    </row>
    <row r="56" spans="1:7" s="2" customFormat="1" ht="10.15" customHeight="1">
      <c r="A56" s="1284" t="s">
        <v>485</v>
      </c>
      <c r="B56" s="1285"/>
      <c r="C56" s="373" t="s">
        <v>218</v>
      </c>
      <c r="D56" s="374">
        <v>0</v>
      </c>
      <c r="E56" s="374">
        <v>113000</v>
      </c>
      <c r="F56" s="375" t="s">
        <v>482</v>
      </c>
      <c r="G56" s="376" t="s">
        <v>482</v>
      </c>
    </row>
    <row r="57" spans="1:7" s="2" customFormat="1" ht="10.15" customHeight="1">
      <c r="A57" s="1284" t="s">
        <v>485</v>
      </c>
      <c r="B57" s="1285"/>
      <c r="C57" s="373" t="s">
        <v>483</v>
      </c>
      <c r="D57" s="374">
        <v>113000</v>
      </c>
      <c r="E57" s="374">
        <v>0</v>
      </c>
      <c r="F57" s="375" t="s">
        <v>482</v>
      </c>
      <c r="G57" s="376" t="s">
        <v>482</v>
      </c>
    </row>
    <row r="58" spans="1:7" s="2" customFormat="1" ht="10.15" customHeight="1">
      <c r="A58" s="1283" t="s">
        <v>486</v>
      </c>
      <c r="B58" s="1283"/>
      <c r="C58" s="373" t="s">
        <v>297</v>
      </c>
      <c r="D58" s="374">
        <v>0</v>
      </c>
      <c r="E58" s="374">
        <v>71712</v>
      </c>
      <c r="F58" s="375" t="s">
        <v>487</v>
      </c>
      <c r="G58" s="376" t="s">
        <v>487</v>
      </c>
    </row>
    <row r="59" spans="1:7" s="2" customFormat="1" ht="10.15" customHeight="1">
      <c r="A59" s="1283" t="s">
        <v>486</v>
      </c>
      <c r="B59" s="1283"/>
      <c r="C59" s="373" t="s">
        <v>483</v>
      </c>
      <c r="D59" s="374">
        <v>71712</v>
      </c>
      <c r="E59" s="374">
        <v>0</v>
      </c>
      <c r="F59" s="375" t="s">
        <v>487</v>
      </c>
      <c r="G59" s="376" t="s">
        <v>487</v>
      </c>
    </row>
    <row r="60" spans="1:7" s="2" customFormat="1" ht="10.15" customHeight="1">
      <c r="A60" s="1283" t="s">
        <v>488</v>
      </c>
      <c r="B60" s="1283"/>
      <c r="C60" s="373" t="s">
        <v>218</v>
      </c>
      <c r="D60" s="374">
        <v>0</v>
      </c>
      <c r="E60" s="374">
        <v>67500</v>
      </c>
      <c r="F60" s="375" t="s">
        <v>489</v>
      </c>
      <c r="G60" s="376" t="s">
        <v>489</v>
      </c>
    </row>
    <row r="61" spans="1:7" s="2" customFormat="1" ht="10.15" customHeight="1">
      <c r="A61" s="1283" t="s">
        <v>488</v>
      </c>
      <c r="B61" s="1283"/>
      <c r="C61" s="373" t="s">
        <v>483</v>
      </c>
      <c r="D61" s="374">
        <v>67500</v>
      </c>
      <c r="E61" s="374">
        <v>0</v>
      </c>
      <c r="F61" s="375" t="s">
        <v>489</v>
      </c>
      <c r="G61" s="376" t="s">
        <v>489</v>
      </c>
    </row>
    <row r="62" spans="1:7" s="2" customFormat="1" ht="10.15" customHeight="1">
      <c r="A62" s="1281" t="s">
        <v>490</v>
      </c>
      <c r="B62" s="1282"/>
      <c r="C62" s="373" t="s">
        <v>264</v>
      </c>
      <c r="D62" s="374">
        <v>0</v>
      </c>
      <c r="E62" s="374">
        <v>-45500</v>
      </c>
      <c r="F62" s="375" t="s">
        <v>491</v>
      </c>
      <c r="G62" s="376" t="s">
        <v>491</v>
      </c>
    </row>
    <row r="63" spans="1:7" s="2" customFormat="1" ht="10.15" customHeight="1">
      <c r="A63" s="1281" t="s">
        <v>492</v>
      </c>
      <c r="B63" s="1282"/>
      <c r="C63" s="373" t="s">
        <v>225</v>
      </c>
      <c r="D63" s="374">
        <v>0</v>
      </c>
      <c r="E63" s="374">
        <v>45500</v>
      </c>
      <c r="F63" s="375" t="s">
        <v>491</v>
      </c>
      <c r="G63" s="376" t="s">
        <v>491</v>
      </c>
    </row>
    <row r="64" spans="1:7" s="2" customFormat="1" ht="10.15" customHeight="1">
      <c r="A64" s="1283" t="s">
        <v>493</v>
      </c>
      <c r="B64" s="1283"/>
      <c r="C64" s="373" t="s">
        <v>218</v>
      </c>
      <c r="D64" s="374">
        <v>0</v>
      </c>
      <c r="E64" s="374">
        <v>468000</v>
      </c>
      <c r="F64" s="375" t="s">
        <v>494</v>
      </c>
      <c r="G64" s="376" t="s">
        <v>494</v>
      </c>
    </row>
    <row r="65" spans="1:7" s="2" customFormat="1" ht="10.15" customHeight="1">
      <c r="A65" s="1283" t="s">
        <v>493</v>
      </c>
      <c r="B65" s="1283"/>
      <c r="C65" s="377" t="s">
        <v>483</v>
      </c>
      <c r="D65" s="374">
        <v>468000</v>
      </c>
      <c r="E65" s="374">
        <v>0</v>
      </c>
      <c r="F65" s="375" t="s">
        <v>494</v>
      </c>
      <c r="G65" s="376" t="s">
        <v>494</v>
      </c>
    </row>
    <row r="66" spans="1:7" s="2" customFormat="1" ht="10.15" customHeight="1">
      <c r="A66" s="1283" t="s">
        <v>495</v>
      </c>
      <c r="B66" s="1283"/>
      <c r="C66" s="373" t="s">
        <v>297</v>
      </c>
      <c r="D66" s="374">
        <v>0</v>
      </c>
      <c r="E66" s="374">
        <v>2598</v>
      </c>
      <c r="F66" s="375" t="s">
        <v>494</v>
      </c>
      <c r="G66" s="376" t="s">
        <v>494</v>
      </c>
    </row>
    <row r="67" spans="1:7" s="2" customFormat="1" ht="10.15" customHeight="1">
      <c r="A67" s="1283" t="s">
        <v>496</v>
      </c>
      <c r="B67" s="1283"/>
      <c r="C67" s="378" t="s">
        <v>270</v>
      </c>
      <c r="D67" s="374">
        <v>0</v>
      </c>
      <c r="E67" s="374">
        <v>-2598</v>
      </c>
      <c r="F67" s="375" t="s">
        <v>494</v>
      </c>
      <c r="G67" s="376" t="s">
        <v>494</v>
      </c>
    </row>
    <row r="68" spans="1:7" s="2" customFormat="1" ht="10.15" customHeight="1">
      <c r="A68" s="1283" t="s">
        <v>497</v>
      </c>
      <c r="B68" s="1283"/>
      <c r="C68" s="373" t="s">
        <v>223</v>
      </c>
      <c r="D68" s="374">
        <v>0</v>
      </c>
      <c r="E68" s="374">
        <v>-50000</v>
      </c>
      <c r="F68" s="375" t="s">
        <v>498</v>
      </c>
      <c r="G68" s="376" t="s">
        <v>498</v>
      </c>
    </row>
    <row r="69" spans="1:7" s="2" customFormat="1" ht="10.15" customHeight="1">
      <c r="A69" s="1283" t="s">
        <v>499</v>
      </c>
      <c r="B69" s="1283"/>
      <c r="C69" s="373" t="s">
        <v>270</v>
      </c>
      <c r="D69" s="374">
        <v>0</v>
      </c>
      <c r="E69" s="374">
        <v>50000</v>
      </c>
      <c r="F69" s="375" t="s">
        <v>498</v>
      </c>
      <c r="G69" s="376" t="s">
        <v>498</v>
      </c>
    </row>
    <row r="70" spans="1:7" s="2" customFormat="1" ht="10.15" customHeight="1">
      <c r="A70" s="1283" t="s">
        <v>497</v>
      </c>
      <c r="B70" s="1283"/>
      <c r="C70" s="378" t="s">
        <v>223</v>
      </c>
      <c r="D70" s="379">
        <v>0</v>
      </c>
      <c r="E70" s="379">
        <v>-50000</v>
      </c>
      <c r="F70" s="375" t="s">
        <v>500</v>
      </c>
      <c r="G70" s="376" t="s">
        <v>500</v>
      </c>
    </row>
    <row r="71" spans="1:7" s="2" customFormat="1" ht="10.15" customHeight="1">
      <c r="A71" s="1283" t="s">
        <v>501</v>
      </c>
      <c r="B71" s="1283"/>
      <c r="C71" s="378" t="s">
        <v>502</v>
      </c>
      <c r="D71" s="380">
        <v>0</v>
      </c>
      <c r="E71" s="380">
        <v>50000</v>
      </c>
      <c r="F71" s="375" t="s">
        <v>500</v>
      </c>
      <c r="G71" s="376" t="s">
        <v>500</v>
      </c>
    </row>
    <row r="72" spans="1:7" s="2" customFormat="1" ht="10.15" customHeight="1">
      <c r="A72" s="1286" t="s">
        <v>503</v>
      </c>
      <c r="B72" s="1286"/>
      <c r="C72" s="378" t="s">
        <v>504</v>
      </c>
      <c r="D72" s="381">
        <v>0</v>
      </c>
      <c r="E72" s="381">
        <v>14500</v>
      </c>
      <c r="F72" s="375" t="s">
        <v>505</v>
      </c>
      <c r="G72" s="376" t="s">
        <v>505</v>
      </c>
    </row>
    <row r="73" spans="1:7" s="2" customFormat="1" ht="10.15" customHeight="1">
      <c r="A73" s="1283" t="s">
        <v>506</v>
      </c>
      <c r="B73" s="1283"/>
      <c r="C73" s="378" t="s">
        <v>507</v>
      </c>
      <c r="D73" s="380">
        <v>14500</v>
      </c>
      <c r="E73" s="380">
        <v>0</v>
      </c>
      <c r="F73" s="375" t="s">
        <v>505</v>
      </c>
      <c r="G73" s="376" t="s">
        <v>505</v>
      </c>
    </row>
    <row r="74" spans="1:7" s="2" customFormat="1" ht="10.15" customHeight="1">
      <c r="A74" s="1283" t="s">
        <v>508</v>
      </c>
      <c r="B74" s="1283"/>
      <c r="C74" s="378" t="s">
        <v>269</v>
      </c>
      <c r="D74" s="380">
        <v>87586</v>
      </c>
      <c r="E74" s="380">
        <v>0</v>
      </c>
      <c r="F74" s="375" t="s">
        <v>505</v>
      </c>
      <c r="G74" s="376" t="s">
        <v>505</v>
      </c>
    </row>
    <row r="75" spans="1:7" s="2" customFormat="1" ht="10.15" customHeight="1">
      <c r="A75" s="1281" t="s">
        <v>509</v>
      </c>
      <c r="B75" s="1282"/>
      <c r="C75" s="378" t="s">
        <v>225</v>
      </c>
      <c r="D75" s="381">
        <v>0</v>
      </c>
      <c r="E75" s="381">
        <v>87586</v>
      </c>
      <c r="F75" s="375" t="s">
        <v>505</v>
      </c>
      <c r="G75" s="376" t="s">
        <v>505</v>
      </c>
    </row>
    <row r="76" spans="1:7" s="2" customFormat="1" ht="10.15" customHeight="1">
      <c r="A76" s="1281" t="s">
        <v>104</v>
      </c>
      <c r="B76" s="1282"/>
      <c r="C76" s="378" t="s">
        <v>262</v>
      </c>
      <c r="D76" s="381">
        <v>0</v>
      </c>
      <c r="E76" s="381">
        <v>-42000</v>
      </c>
      <c r="F76" s="375" t="s">
        <v>505</v>
      </c>
      <c r="G76" s="376" t="s">
        <v>505</v>
      </c>
    </row>
    <row r="77" spans="1:7" s="2" customFormat="1" ht="10.15" customHeight="1">
      <c r="A77" s="1281" t="s">
        <v>109</v>
      </c>
      <c r="B77" s="1282"/>
      <c r="C77" s="378" t="s">
        <v>218</v>
      </c>
      <c r="D77" s="381">
        <v>0</v>
      </c>
      <c r="E77" s="381">
        <v>42000</v>
      </c>
      <c r="F77" s="375" t="s">
        <v>505</v>
      </c>
      <c r="G77" s="376" t="s">
        <v>505</v>
      </c>
    </row>
    <row r="78" spans="1:7" s="2" customFormat="1" ht="10.15" customHeight="1">
      <c r="A78" s="1281" t="s">
        <v>510</v>
      </c>
      <c r="B78" s="1282"/>
      <c r="C78" s="382" t="s">
        <v>483</v>
      </c>
      <c r="D78" s="381">
        <v>81462.320000000007</v>
      </c>
      <c r="E78" s="381">
        <v>0</v>
      </c>
      <c r="F78" s="375" t="s">
        <v>505</v>
      </c>
      <c r="G78" s="376" t="s">
        <v>505</v>
      </c>
    </row>
    <row r="79" spans="1:7" s="2" customFormat="1" ht="10.15" customHeight="1">
      <c r="A79" s="1305" t="s">
        <v>511</v>
      </c>
      <c r="B79" s="1306"/>
      <c r="C79" s="382" t="s">
        <v>268</v>
      </c>
      <c r="D79" s="381">
        <v>0</v>
      </c>
      <c r="E79" s="381">
        <v>3052.7</v>
      </c>
      <c r="F79" s="375" t="s">
        <v>505</v>
      </c>
      <c r="G79" s="376" t="s">
        <v>505</v>
      </c>
    </row>
    <row r="80" spans="1:7" s="2" customFormat="1" ht="10.15" customHeight="1">
      <c r="A80" s="1281" t="s">
        <v>512</v>
      </c>
      <c r="B80" s="1282"/>
      <c r="C80" s="382" t="s">
        <v>219</v>
      </c>
      <c r="D80" s="381">
        <v>0</v>
      </c>
      <c r="E80" s="381">
        <v>1500</v>
      </c>
      <c r="F80" s="375" t="s">
        <v>505</v>
      </c>
      <c r="G80" s="376" t="s">
        <v>505</v>
      </c>
    </row>
    <row r="81" spans="1:9" s="2" customFormat="1" ht="10.15" customHeight="1">
      <c r="A81" s="1283" t="s">
        <v>513</v>
      </c>
      <c r="B81" s="1283"/>
      <c r="C81" s="375" t="s">
        <v>514</v>
      </c>
      <c r="D81" s="381">
        <v>0</v>
      </c>
      <c r="E81" s="381">
        <v>17566.48</v>
      </c>
      <c r="F81" s="375" t="s">
        <v>505</v>
      </c>
      <c r="G81" s="376" t="s">
        <v>505</v>
      </c>
    </row>
    <row r="82" spans="1:9" s="2" customFormat="1" ht="10.15" customHeight="1">
      <c r="A82" s="1283" t="s">
        <v>515</v>
      </c>
      <c r="B82" s="1283"/>
      <c r="C82" s="375" t="s">
        <v>225</v>
      </c>
      <c r="D82" s="381">
        <v>0</v>
      </c>
      <c r="E82" s="381">
        <v>59343.14</v>
      </c>
      <c r="F82" s="375" t="s">
        <v>505</v>
      </c>
      <c r="G82" s="376" t="s">
        <v>505</v>
      </c>
    </row>
    <row r="83" spans="1:9" s="2" customFormat="1" ht="10.15" customHeight="1">
      <c r="A83" s="1254" t="s">
        <v>176</v>
      </c>
      <c r="B83" s="1255"/>
      <c r="C83" s="92"/>
      <c r="D83" s="93">
        <f>SUM(D50:D82)</f>
        <v>1236360.32</v>
      </c>
      <c r="E83" s="93">
        <f>SUM(E50:E82)</f>
        <v>1236360.3199999998</v>
      </c>
      <c r="F83" s="1256"/>
      <c r="G83" s="1257"/>
    </row>
    <row r="84" spans="1:9" s="2" customFormat="1" ht="18" customHeight="1">
      <c r="A84" s="76"/>
      <c r="B84" s="76"/>
      <c r="C84" s="37"/>
      <c r="D84" s="37"/>
      <c r="E84" s="38"/>
    </row>
    <row r="85" spans="1:9" s="2" customFormat="1" ht="11.25">
      <c r="A85" s="1261" t="s">
        <v>459</v>
      </c>
      <c r="B85" s="1261"/>
      <c r="C85" s="1261"/>
      <c r="D85" s="1261"/>
      <c r="E85" s="1261"/>
      <c r="F85" s="1261"/>
      <c r="G85" s="1261"/>
      <c r="H85" s="1261"/>
      <c r="I85" s="1261"/>
    </row>
    <row r="86" spans="1:9" s="2" customFormat="1" ht="11.25">
      <c r="A86" s="2" t="s">
        <v>90</v>
      </c>
    </row>
    <row r="87" spans="1:9" s="2" customFormat="1" ht="11.25">
      <c r="A87" s="1258" t="s">
        <v>516</v>
      </c>
      <c r="B87" s="1259"/>
      <c r="C87" s="1259"/>
      <c r="D87" s="1259"/>
      <c r="E87" s="1259"/>
      <c r="F87" s="1259"/>
      <c r="G87" s="1259"/>
      <c r="H87" s="1259"/>
      <c r="I87" s="1260"/>
    </row>
    <row r="88" spans="1:9" s="2" customFormat="1" ht="11.25">
      <c r="A88" s="1258"/>
      <c r="B88" s="1259"/>
      <c r="C88" s="1259"/>
      <c r="D88" s="1259"/>
      <c r="E88" s="1259"/>
      <c r="F88" s="1259"/>
      <c r="G88" s="1259"/>
      <c r="H88" s="1259"/>
      <c r="I88" s="1260"/>
    </row>
    <row r="89" spans="1:9" s="2" customFormat="1" ht="0.75" customHeight="1">
      <c r="A89" s="1258"/>
      <c r="B89" s="1259"/>
      <c r="C89" s="1259"/>
      <c r="D89" s="1259"/>
      <c r="E89" s="1259"/>
      <c r="F89" s="1259"/>
      <c r="G89" s="1259"/>
      <c r="H89" s="1259"/>
      <c r="I89" s="1260"/>
    </row>
    <row r="90" spans="1:9" s="2" customFormat="1" ht="11.25" hidden="1"/>
    <row r="91" spans="1:9" s="281" customFormat="1" ht="10.5">
      <c r="A91" s="1189" t="s">
        <v>517</v>
      </c>
      <c r="B91" s="1189"/>
      <c r="C91" s="1189"/>
      <c r="D91" s="1189"/>
      <c r="E91" s="1189"/>
      <c r="F91" s="1189"/>
      <c r="G91" s="1189"/>
      <c r="H91" s="1189"/>
      <c r="I91" s="1189"/>
    </row>
    <row r="92" spans="1:9" s="2" customFormat="1" ht="11.25">
      <c r="A92" s="2" t="s">
        <v>90</v>
      </c>
    </row>
    <row r="93" spans="1:9" s="2" customFormat="1" ht="38.450000000000003" customHeight="1">
      <c r="A93" s="1258" t="s">
        <v>518</v>
      </c>
      <c r="B93" s="1259"/>
      <c r="C93" s="1259"/>
      <c r="D93" s="1259"/>
      <c r="E93" s="1259"/>
      <c r="F93" s="1259"/>
      <c r="G93" s="1259"/>
      <c r="H93" s="1259"/>
      <c r="I93" s="1260"/>
    </row>
    <row r="94" spans="1:9" s="2" customFormat="1" ht="16.149999999999999" customHeight="1">
      <c r="A94" s="1307"/>
      <c r="B94" s="1307"/>
      <c r="C94" s="1307"/>
      <c r="D94" s="1307"/>
      <c r="E94" s="1307"/>
      <c r="F94" s="1307"/>
      <c r="G94" s="1307"/>
      <c r="H94" s="1307"/>
      <c r="I94" s="1307"/>
    </row>
    <row r="95" spans="1:9" s="2" customFormat="1" ht="16.149999999999999" customHeight="1">
      <c r="A95" s="76"/>
      <c r="B95" s="76"/>
      <c r="C95" s="76"/>
      <c r="D95" s="76"/>
      <c r="E95" s="76"/>
      <c r="F95" s="76"/>
      <c r="G95" s="76"/>
      <c r="H95" s="76"/>
      <c r="I95" s="76"/>
    </row>
    <row r="96" spans="1:9">
      <c r="A96" s="2" t="s">
        <v>273</v>
      </c>
    </row>
    <row r="97" spans="1:1">
      <c r="A97" s="2" t="s">
        <v>519</v>
      </c>
    </row>
    <row r="98" spans="1:1">
      <c r="A98" s="2"/>
    </row>
    <row r="99" spans="1:1">
      <c r="A99" s="20" t="s">
        <v>520</v>
      </c>
    </row>
  </sheetData>
  <mergeCells count="77">
    <mergeCell ref="A88:I88"/>
    <mergeCell ref="A89:I89"/>
    <mergeCell ref="A91:I91"/>
    <mergeCell ref="A93:I93"/>
    <mergeCell ref="A94:I94"/>
    <mergeCell ref="A81:B81"/>
    <mergeCell ref="A82:B82"/>
    <mergeCell ref="A83:B83"/>
    <mergeCell ref="F83:G83"/>
    <mergeCell ref="A87:I87"/>
    <mergeCell ref="A85:I85"/>
    <mergeCell ref="A76:B76"/>
    <mergeCell ref="A77:B77"/>
    <mergeCell ref="A78:B78"/>
    <mergeCell ref="A79:B79"/>
    <mergeCell ref="A80:B80"/>
    <mergeCell ref="B1:I1"/>
    <mergeCell ref="D32:I32"/>
    <mergeCell ref="C33:I33"/>
    <mergeCell ref="A35:I35"/>
    <mergeCell ref="D37:I37"/>
    <mergeCell ref="A29:I29"/>
    <mergeCell ref="A11:I11"/>
    <mergeCell ref="A3:I3"/>
    <mergeCell ref="A5:B5"/>
    <mergeCell ref="A6:B6"/>
    <mergeCell ref="A7:B7"/>
    <mergeCell ref="D5:I5"/>
    <mergeCell ref="D6:I6"/>
    <mergeCell ref="D7:I7"/>
    <mergeCell ref="A65:B65"/>
    <mergeCell ref="A69:B69"/>
    <mergeCell ref="A70:B70"/>
    <mergeCell ref="A66:B66"/>
    <mergeCell ref="A67:B67"/>
    <mergeCell ref="A51:B51"/>
    <mergeCell ref="A52:B52"/>
    <mergeCell ref="A53:B53"/>
    <mergeCell ref="A54:B54"/>
    <mergeCell ref="C43:I43"/>
    <mergeCell ref="C44:I44"/>
    <mergeCell ref="C45:I45"/>
    <mergeCell ref="A47:I47"/>
    <mergeCell ref="A49:B49"/>
    <mergeCell ref="A50:B50"/>
    <mergeCell ref="D38:I38"/>
    <mergeCell ref="C39:I39"/>
    <mergeCell ref="A41:I41"/>
    <mergeCell ref="A8:B8"/>
    <mergeCell ref="F22:I22"/>
    <mergeCell ref="F23:I23"/>
    <mergeCell ref="D8:I8"/>
    <mergeCell ref="F24:I24"/>
    <mergeCell ref="A9:B9"/>
    <mergeCell ref="D9:I9"/>
    <mergeCell ref="F25:I25"/>
    <mergeCell ref="F26:I26"/>
    <mergeCell ref="F27:I27"/>
    <mergeCell ref="D31:I31"/>
    <mergeCell ref="A15:A17"/>
    <mergeCell ref="A20:I20"/>
    <mergeCell ref="A75:B75"/>
    <mergeCell ref="A73:B73"/>
    <mergeCell ref="A74:B74"/>
    <mergeCell ref="A55:B55"/>
    <mergeCell ref="A68:B68"/>
    <mergeCell ref="A56:B56"/>
    <mergeCell ref="A59:B59"/>
    <mergeCell ref="A71:B71"/>
    <mergeCell ref="A72:B72"/>
    <mergeCell ref="A57:B57"/>
    <mergeCell ref="A58:B58"/>
    <mergeCell ref="A60:B60"/>
    <mergeCell ref="A61:B61"/>
    <mergeCell ref="A62:B62"/>
    <mergeCell ref="A63:B63"/>
    <mergeCell ref="A64:B64"/>
  </mergeCells>
  <pageMargins left="0.23622047244094491" right="0.23622047244094491" top="0.74803149606299213" bottom="0.74803149606299213" header="0.31496062992125984" footer="0.31496062992125984"/>
  <pageSetup paperSize="9" firstPageNumber="133" fitToHeight="4"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sqref="A1:XFD1048576"/>
    </sheetView>
  </sheetViews>
  <sheetFormatPr defaultColWidth="6.5" defaultRowHeight="8.25"/>
  <cols>
    <col min="1" max="1" width="5.5" style="276" customWidth="1"/>
    <col min="2" max="2" width="6.5" style="114" customWidth="1"/>
    <col min="3" max="3" width="36.75" style="114" customWidth="1"/>
    <col min="4" max="4" width="8.5" style="114" customWidth="1"/>
    <col min="5" max="7" width="11" style="114" customWidth="1"/>
    <col min="8" max="8" width="8.75" style="114" customWidth="1"/>
    <col min="9" max="12" width="11" style="114" customWidth="1"/>
    <col min="13" max="13" width="8.75" style="114" customWidth="1"/>
    <col min="14" max="17" width="11" style="114" customWidth="1"/>
    <col min="18" max="18" width="8.75" style="114" customWidth="1"/>
    <col min="19" max="22" width="11" style="114" customWidth="1"/>
    <col min="23" max="23" width="8.75" style="114" customWidth="1"/>
    <col min="24" max="24" width="11" style="114" customWidth="1"/>
    <col min="25" max="16384" width="6.5" style="114"/>
  </cols>
  <sheetData>
    <row r="1" spans="1:24" s="72" customFormat="1" ht="15.75">
      <c r="A1" s="1262" t="s">
        <v>521</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308" t="s">
        <v>41</v>
      </c>
      <c r="E3" s="1271" t="s">
        <v>94</v>
      </c>
      <c r="F3" s="1269"/>
      <c r="G3" s="1269"/>
      <c r="H3" s="1269"/>
      <c r="I3" s="1270"/>
      <c r="J3" s="1271" t="s">
        <v>410</v>
      </c>
      <c r="K3" s="1269"/>
      <c r="L3" s="1269"/>
      <c r="M3" s="1269"/>
      <c r="N3" s="1272"/>
      <c r="O3" s="1268" t="s">
        <v>411</v>
      </c>
      <c r="P3" s="1269"/>
      <c r="Q3" s="1269"/>
      <c r="R3" s="1269"/>
      <c r="S3" s="1272"/>
      <c r="T3" s="1271" t="s">
        <v>95</v>
      </c>
      <c r="U3" s="1269"/>
      <c r="V3" s="1269"/>
      <c r="W3" s="1269"/>
      <c r="X3" s="1272"/>
    </row>
    <row r="4" spans="1:24" s="316" customFormat="1" ht="9.75" customHeight="1">
      <c r="A4" s="1162"/>
      <c r="B4" s="1166"/>
      <c r="C4" s="1166"/>
      <c r="D4" s="1309"/>
      <c r="E4" s="1263" t="s">
        <v>235</v>
      </c>
      <c r="F4" s="1265" t="s">
        <v>465</v>
      </c>
      <c r="G4" s="1265"/>
      <c r="H4" s="1265"/>
      <c r="I4" s="1279" t="s">
        <v>466</v>
      </c>
      <c r="J4" s="1263" t="s">
        <v>235</v>
      </c>
      <c r="K4" s="1265" t="s">
        <v>465</v>
      </c>
      <c r="L4" s="1265"/>
      <c r="M4" s="1265"/>
      <c r="N4" s="1279" t="s">
        <v>466</v>
      </c>
      <c r="O4" s="1263" t="s">
        <v>235</v>
      </c>
      <c r="P4" s="1265" t="s">
        <v>465</v>
      </c>
      <c r="Q4" s="1265"/>
      <c r="R4" s="1265"/>
      <c r="S4" s="1279" t="s">
        <v>466</v>
      </c>
      <c r="T4" s="1263" t="s">
        <v>235</v>
      </c>
      <c r="U4" s="1265" t="s">
        <v>465</v>
      </c>
      <c r="V4" s="1265"/>
      <c r="W4" s="1265"/>
      <c r="X4" s="1279" t="s">
        <v>466</v>
      </c>
    </row>
    <row r="5" spans="1:24" s="317" customFormat="1" ht="10.5" thickBot="1">
      <c r="A5" s="1162"/>
      <c r="B5" s="1166"/>
      <c r="C5" s="1166"/>
      <c r="D5" s="1309"/>
      <c r="E5" s="1264"/>
      <c r="F5" s="324" t="s">
        <v>97</v>
      </c>
      <c r="G5" s="324" t="s">
        <v>35</v>
      </c>
      <c r="H5" s="324" t="s">
        <v>236</v>
      </c>
      <c r="I5" s="1280"/>
      <c r="J5" s="1264"/>
      <c r="K5" s="324" t="s">
        <v>97</v>
      </c>
      <c r="L5" s="324" t="s">
        <v>35</v>
      </c>
      <c r="M5" s="324" t="s">
        <v>236</v>
      </c>
      <c r="N5" s="1280"/>
      <c r="O5" s="1264"/>
      <c r="P5" s="324" t="s">
        <v>97</v>
      </c>
      <c r="Q5" s="324" t="s">
        <v>35</v>
      </c>
      <c r="R5" s="324" t="s">
        <v>236</v>
      </c>
      <c r="S5" s="1280"/>
      <c r="T5" s="1264"/>
      <c r="U5" s="324" t="s">
        <v>97</v>
      </c>
      <c r="V5" s="324" t="s">
        <v>35</v>
      </c>
      <c r="W5" s="324" t="s">
        <v>236</v>
      </c>
      <c r="X5" s="1280"/>
    </row>
    <row r="6" spans="1:24" s="315" customFormat="1" ht="9.75">
      <c r="A6" s="229" t="s">
        <v>0</v>
      </c>
      <c r="B6" s="1158" t="s">
        <v>1</v>
      </c>
      <c r="C6" s="1158"/>
      <c r="D6" s="326" t="s">
        <v>25</v>
      </c>
      <c r="E6" s="196">
        <f>SUM(E7:E9)</f>
        <v>11650925</v>
      </c>
      <c r="F6" s="181">
        <f>SUM(F7:F9)</f>
        <v>13647704.010000002</v>
      </c>
      <c r="G6" s="181">
        <f>SUM(G7:G9)</f>
        <v>13523357.010000002</v>
      </c>
      <c r="H6" s="180">
        <f t="shared" ref="H6:H37" si="0">G6/F6*100</f>
        <v>99.088879712595698</v>
      </c>
      <c r="I6" s="327">
        <f>SUM(I7:I9)</f>
        <v>11886271</v>
      </c>
      <c r="J6" s="249">
        <f>SUM(J7:J9)</f>
        <v>2350000</v>
      </c>
      <c r="K6" s="250">
        <f t="shared" ref="K6:X6" si="1">SUM(K7:K9)</f>
        <v>3374365.91</v>
      </c>
      <c r="L6" s="250">
        <f t="shared" si="1"/>
        <v>3250018.91</v>
      </c>
      <c r="M6" s="251">
        <f t="shared" ref="M6:M29" si="2">L6/K6*100</f>
        <v>96.314952103104915</v>
      </c>
      <c r="N6" s="252">
        <f t="shared" si="1"/>
        <v>2918805</v>
      </c>
      <c r="O6" s="153">
        <f t="shared" si="1"/>
        <v>9300925</v>
      </c>
      <c r="P6" s="181">
        <f t="shared" si="1"/>
        <v>10273338.100000001</v>
      </c>
      <c r="Q6" s="181">
        <f t="shared" si="1"/>
        <v>10273338.100000001</v>
      </c>
      <c r="R6" s="180">
        <f t="shared" ref="R6:R37" si="3">Q6/P6*100</f>
        <v>100</v>
      </c>
      <c r="S6" s="197">
        <f t="shared" si="1"/>
        <v>8967466</v>
      </c>
      <c r="T6" s="196">
        <f t="shared" si="1"/>
        <v>0</v>
      </c>
      <c r="U6" s="181">
        <f t="shared" si="1"/>
        <v>0</v>
      </c>
      <c r="V6" s="181">
        <f t="shared" si="1"/>
        <v>0</v>
      </c>
      <c r="W6" s="180">
        <v>0</v>
      </c>
      <c r="X6" s="197">
        <f t="shared" si="1"/>
        <v>0</v>
      </c>
    </row>
    <row r="7" spans="1:24" s="315" customFormat="1" ht="9.75">
      <c r="A7" s="230" t="s">
        <v>2</v>
      </c>
      <c r="B7" s="1160" t="s">
        <v>44</v>
      </c>
      <c r="C7" s="1160"/>
      <c r="D7" s="328" t="s">
        <v>25</v>
      </c>
      <c r="E7" s="198">
        <f t="shared" ref="E7:G10" si="4">SUM(J7,O7)</f>
        <v>1000000</v>
      </c>
      <c r="F7" s="184">
        <f t="shared" si="4"/>
        <v>1166593.8</v>
      </c>
      <c r="G7" s="184">
        <f t="shared" si="4"/>
        <v>1042246.8</v>
      </c>
      <c r="H7" s="185">
        <f t="shared" si="0"/>
        <v>89.341019984848202</v>
      </c>
      <c r="I7" s="15">
        <f>SUM(N7,S7)</f>
        <v>839171</v>
      </c>
      <c r="J7" s="203">
        <v>1000000</v>
      </c>
      <c r="K7" s="186">
        <v>1149700</v>
      </c>
      <c r="L7" s="186">
        <v>1025353</v>
      </c>
      <c r="M7" s="185">
        <f t="shared" si="2"/>
        <v>89.184395929372883</v>
      </c>
      <c r="N7" s="204">
        <v>839171</v>
      </c>
      <c r="O7" s="154">
        <v>0</v>
      </c>
      <c r="P7" s="186">
        <v>16893.8</v>
      </c>
      <c r="Q7" s="186">
        <v>16893.8</v>
      </c>
      <c r="R7" s="185">
        <f>Q7/P7*100</f>
        <v>100</v>
      </c>
      <c r="S7" s="204">
        <v>0</v>
      </c>
      <c r="T7" s="219">
        <v>0</v>
      </c>
      <c r="U7" s="186">
        <v>0</v>
      </c>
      <c r="V7" s="186">
        <v>0</v>
      </c>
      <c r="W7" s="185">
        <v>0</v>
      </c>
      <c r="X7" s="204">
        <v>0</v>
      </c>
    </row>
    <row r="8" spans="1:24" s="315" customFormat="1" ht="9.75">
      <c r="A8" s="231" t="s">
        <v>3</v>
      </c>
      <c r="B8" s="1173" t="s">
        <v>45</v>
      </c>
      <c r="C8" s="1173"/>
      <c r="D8" s="328" t="s">
        <v>25</v>
      </c>
      <c r="E8" s="198">
        <f t="shared" si="4"/>
        <v>0</v>
      </c>
      <c r="F8" s="184">
        <f t="shared" si="4"/>
        <v>0</v>
      </c>
      <c r="G8" s="184">
        <f t="shared" si="4"/>
        <v>0</v>
      </c>
      <c r="H8" s="185">
        <v>0</v>
      </c>
      <c r="I8" s="15">
        <f>SUM(N8,S8)</f>
        <v>0</v>
      </c>
      <c r="J8" s="205">
        <v>0</v>
      </c>
      <c r="K8" s="184">
        <v>0</v>
      </c>
      <c r="L8" s="184">
        <v>0</v>
      </c>
      <c r="M8" s="185">
        <v>0</v>
      </c>
      <c r="N8" s="199">
        <v>0</v>
      </c>
      <c r="O8" s="155">
        <v>0</v>
      </c>
      <c r="P8" s="184">
        <v>0</v>
      </c>
      <c r="Q8" s="184">
        <v>0</v>
      </c>
      <c r="R8" s="185">
        <v>0</v>
      </c>
      <c r="S8" s="199">
        <v>0</v>
      </c>
      <c r="T8" s="198">
        <v>0</v>
      </c>
      <c r="U8" s="184">
        <v>0</v>
      </c>
      <c r="V8" s="184">
        <v>0</v>
      </c>
      <c r="W8" s="185">
        <v>0</v>
      </c>
      <c r="X8" s="199">
        <v>0</v>
      </c>
    </row>
    <row r="9" spans="1:24" s="315" customFormat="1" ht="9.75">
      <c r="A9" s="231" t="s">
        <v>4</v>
      </c>
      <c r="B9" s="260" t="s">
        <v>60</v>
      </c>
      <c r="C9" s="262"/>
      <c r="D9" s="328" t="s">
        <v>25</v>
      </c>
      <c r="E9" s="198">
        <f t="shared" si="4"/>
        <v>10650925</v>
      </c>
      <c r="F9" s="184">
        <f t="shared" si="4"/>
        <v>12481110.210000001</v>
      </c>
      <c r="G9" s="184">
        <f t="shared" si="4"/>
        <v>12481110.210000001</v>
      </c>
      <c r="H9" s="185">
        <f t="shared" si="0"/>
        <v>100</v>
      </c>
      <c r="I9" s="15">
        <f>SUM(N9,S9)</f>
        <v>11047100</v>
      </c>
      <c r="J9" s="205">
        <v>1350000</v>
      </c>
      <c r="K9" s="184">
        <v>2224665.91</v>
      </c>
      <c r="L9" s="184">
        <v>2224665.91</v>
      </c>
      <c r="M9" s="185">
        <f t="shared" si="2"/>
        <v>100</v>
      </c>
      <c r="N9" s="199">
        <v>2079634</v>
      </c>
      <c r="O9" s="155">
        <v>9300925</v>
      </c>
      <c r="P9" s="184">
        <v>10256444.300000001</v>
      </c>
      <c r="Q9" s="184">
        <v>10256444.300000001</v>
      </c>
      <c r="R9" s="185">
        <f t="shared" si="3"/>
        <v>100</v>
      </c>
      <c r="S9" s="184">
        <v>8967466</v>
      </c>
      <c r="T9" s="198">
        <v>0</v>
      </c>
      <c r="U9" s="184">
        <v>0</v>
      </c>
      <c r="V9" s="184">
        <v>0</v>
      </c>
      <c r="W9" s="185">
        <v>0</v>
      </c>
      <c r="X9" s="199">
        <v>0</v>
      </c>
    </row>
    <row r="10" spans="1:24" s="315" customFormat="1" ht="9.75">
      <c r="A10" s="229" t="s">
        <v>5</v>
      </c>
      <c r="B10" s="1158" t="s">
        <v>7</v>
      </c>
      <c r="C10" s="1158"/>
      <c r="D10" s="326" t="s">
        <v>25</v>
      </c>
      <c r="E10" s="200">
        <f t="shared" si="4"/>
        <v>0</v>
      </c>
      <c r="F10" s="182">
        <f t="shared" si="4"/>
        <v>179866.5</v>
      </c>
      <c r="G10" s="182">
        <f t="shared" si="4"/>
        <v>26979.97</v>
      </c>
      <c r="H10" s="180">
        <f t="shared" si="0"/>
        <v>14.999997220160507</v>
      </c>
      <c r="I10" s="333">
        <f>SUM(N10,S10)</f>
        <v>0</v>
      </c>
      <c r="J10" s="206">
        <v>0</v>
      </c>
      <c r="K10" s="182">
        <v>179866.5</v>
      </c>
      <c r="L10" s="182">
        <v>26979.97</v>
      </c>
      <c r="M10" s="180">
        <f t="shared" si="2"/>
        <v>14.999997220160507</v>
      </c>
      <c r="N10" s="201">
        <v>0</v>
      </c>
      <c r="O10" s="156">
        <v>0</v>
      </c>
      <c r="P10" s="182">
        <v>0</v>
      </c>
      <c r="Q10" s="182">
        <v>0</v>
      </c>
      <c r="R10" s="180">
        <v>0</v>
      </c>
      <c r="S10" s="201">
        <v>0</v>
      </c>
      <c r="T10" s="200">
        <v>0</v>
      </c>
      <c r="U10" s="182">
        <v>0</v>
      </c>
      <c r="V10" s="182">
        <v>0</v>
      </c>
      <c r="W10" s="180">
        <v>0</v>
      </c>
      <c r="X10" s="201">
        <v>0</v>
      </c>
    </row>
    <row r="11" spans="1:24" s="315" customFormat="1" ht="9.75">
      <c r="A11" s="229" t="s">
        <v>6</v>
      </c>
      <c r="B11" s="1158" t="s">
        <v>9</v>
      </c>
      <c r="C11" s="1158"/>
      <c r="D11" s="326" t="s">
        <v>25</v>
      </c>
      <c r="E11" s="196">
        <f>SUM(E12:E31)</f>
        <v>11650925</v>
      </c>
      <c r="F11" s="181">
        <f>SUM(F12:F31)</f>
        <v>13647704.02</v>
      </c>
      <c r="G11" s="181">
        <f>SUM(G12:G31)</f>
        <v>13391145.75</v>
      </c>
      <c r="H11" s="180">
        <f t="shared" si="0"/>
        <v>98.120136034427276</v>
      </c>
      <c r="I11" s="327">
        <f>SUM(I12:I31)</f>
        <v>11834614.739999998</v>
      </c>
      <c r="J11" s="196">
        <f>SUM(J12:J31)</f>
        <v>2350000</v>
      </c>
      <c r="K11" s="181">
        <f>SUM(K12:K31)</f>
        <v>3374365.91</v>
      </c>
      <c r="L11" s="181">
        <f>SUM(L12:L31)</f>
        <v>3117807.6399999997</v>
      </c>
      <c r="M11" s="180">
        <f t="shared" si="2"/>
        <v>92.396845011986244</v>
      </c>
      <c r="N11" s="197">
        <f>SUM(N12:N31)</f>
        <v>2867148.74</v>
      </c>
      <c r="O11" s="153">
        <f>SUM(O12:O31)</f>
        <v>9300925</v>
      </c>
      <c r="P11" s="181">
        <f>SUM(P12:P31)</f>
        <v>10273338.109999999</v>
      </c>
      <c r="Q11" s="181">
        <f>SUM(Q12:Q31)</f>
        <v>10273338.109999999</v>
      </c>
      <c r="R11" s="180">
        <f t="shared" si="3"/>
        <v>100</v>
      </c>
      <c r="S11" s="197">
        <f>SUM(S12:S31)</f>
        <v>8967466</v>
      </c>
      <c r="T11" s="196">
        <f>SUM(T12:T31)</f>
        <v>0</v>
      </c>
      <c r="U11" s="181">
        <f>SUM(U12:U31)</f>
        <v>0</v>
      </c>
      <c r="V11" s="181">
        <f>SUM(V12:V31)</f>
        <v>0</v>
      </c>
      <c r="W11" s="180">
        <v>0</v>
      </c>
      <c r="X11" s="197">
        <f>SUM(X12:X31)</f>
        <v>0</v>
      </c>
    </row>
    <row r="12" spans="1:24" s="315" customFormat="1" ht="9.75">
      <c r="A12" s="230" t="s">
        <v>8</v>
      </c>
      <c r="B12" s="1160" t="s">
        <v>28</v>
      </c>
      <c r="C12" s="1160"/>
      <c r="D12" s="328" t="s">
        <v>25</v>
      </c>
      <c r="E12" s="198">
        <f t="shared" ref="E12:I29" si="5">SUM(J12,O12)</f>
        <v>745152</v>
      </c>
      <c r="F12" s="184">
        <f t="shared" si="5"/>
        <v>1316715.3600000001</v>
      </c>
      <c r="G12" s="184">
        <f t="shared" si="5"/>
        <v>1241712.3900000001</v>
      </c>
      <c r="H12" s="185">
        <f t="shared" si="0"/>
        <v>94.303782557833912</v>
      </c>
      <c r="I12" s="15">
        <f t="shared" si="5"/>
        <v>631556.4</v>
      </c>
      <c r="J12" s="207">
        <v>732000</v>
      </c>
      <c r="K12" s="188">
        <v>1119794.1100000001</v>
      </c>
      <c r="L12" s="188">
        <v>1044791.14</v>
      </c>
      <c r="M12" s="185">
        <f t="shared" si="2"/>
        <v>93.302074968049254</v>
      </c>
      <c r="N12" s="221">
        <v>593425.42000000004</v>
      </c>
      <c r="O12" s="157">
        <v>13152</v>
      </c>
      <c r="P12" s="188">
        <v>196921.25</v>
      </c>
      <c r="Q12" s="188">
        <v>196921.25</v>
      </c>
      <c r="R12" s="185">
        <f t="shared" si="3"/>
        <v>100</v>
      </c>
      <c r="S12" s="188">
        <v>38130.980000000003</v>
      </c>
      <c r="T12" s="220">
        <v>0</v>
      </c>
      <c r="U12" s="188">
        <v>0</v>
      </c>
      <c r="V12" s="188">
        <v>0</v>
      </c>
      <c r="W12" s="185">
        <v>0</v>
      </c>
      <c r="X12" s="208">
        <v>0</v>
      </c>
    </row>
    <row r="13" spans="1:24" s="315" customFormat="1" ht="9.75">
      <c r="A13" s="230" t="s">
        <v>10</v>
      </c>
      <c r="B13" s="1160" t="s">
        <v>29</v>
      </c>
      <c r="C13" s="1160"/>
      <c r="D13" s="328" t="s">
        <v>25</v>
      </c>
      <c r="E13" s="198">
        <f t="shared" si="5"/>
        <v>670000</v>
      </c>
      <c r="F13" s="184">
        <f t="shared" si="5"/>
        <v>585000</v>
      </c>
      <c r="G13" s="184">
        <f t="shared" si="5"/>
        <v>470799.13</v>
      </c>
      <c r="H13" s="185">
        <f t="shared" si="0"/>
        <v>80.478483760683758</v>
      </c>
      <c r="I13" s="15">
        <f t="shared" si="5"/>
        <v>489500.9</v>
      </c>
      <c r="J13" s="207">
        <v>670000</v>
      </c>
      <c r="K13" s="184">
        <v>585000</v>
      </c>
      <c r="L13" s="184">
        <v>470799.13</v>
      </c>
      <c r="M13" s="185">
        <f t="shared" si="2"/>
        <v>80.478483760683758</v>
      </c>
      <c r="N13" s="199">
        <v>489500.9</v>
      </c>
      <c r="O13" s="155">
        <v>0</v>
      </c>
      <c r="P13" s="184">
        <v>0</v>
      </c>
      <c r="Q13" s="184">
        <v>0</v>
      </c>
      <c r="R13" s="185">
        <v>0</v>
      </c>
      <c r="S13" s="184">
        <v>0</v>
      </c>
      <c r="T13" s="198">
        <v>0</v>
      </c>
      <c r="U13" s="184">
        <v>0</v>
      </c>
      <c r="V13" s="184">
        <v>0</v>
      </c>
      <c r="W13" s="185">
        <v>0</v>
      </c>
      <c r="X13" s="199">
        <v>0</v>
      </c>
    </row>
    <row r="14" spans="1:24" s="315" customFormat="1" ht="9.75">
      <c r="A14" s="230" t="s">
        <v>11</v>
      </c>
      <c r="B14" s="260" t="s">
        <v>61</v>
      </c>
      <c r="C14" s="260"/>
      <c r="D14" s="328" t="s">
        <v>25</v>
      </c>
      <c r="E14" s="198">
        <f t="shared" si="5"/>
        <v>0</v>
      </c>
      <c r="F14" s="184">
        <f t="shared" si="5"/>
        <v>0</v>
      </c>
      <c r="G14" s="184">
        <f t="shared" si="5"/>
        <v>0</v>
      </c>
      <c r="H14" s="185">
        <v>0</v>
      </c>
      <c r="I14" s="15">
        <f t="shared" si="5"/>
        <v>0</v>
      </c>
      <c r="J14" s="207">
        <v>0</v>
      </c>
      <c r="K14" s="184">
        <v>0</v>
      </c>
      <c r="L14" s="184">
        <v>0</v>
      </c>
      <c r="M14" s="185">
        <v>0</v>
      </c>
      <c r="N14" s="199">
        <v>0</v>
      </c>
      <c r="O14" s="155">
        <v>0</v>
      </c>
      <c r="P14" s="184">
        <v>0</v>
      </c>
      <c r="Q14" s="184">
        <v>0</v>
      </c>
      <c r="R14" s="185">
        <v>0</v>
      </c>
      <c r="S14" s="184">
        <v>0</v>
      </c>
      <c r="T14" s="198">
        <v>0</v>
      </c>
      <c r="U14" s="184">
        <v>0</v>
      </c>
      <c r="V14" s="184">
        <v>0</v>
      </c>
      <c r="W14" s="185">
        <v>0</v>
      </c>
      <c r="X14" s="199">
        <v>0</v>
      </c>
    </row>
    <row r="15" spans="1:24" s="315" customFormat="1" ht="9.75">
      <c r="A15" s="230" t="s">
        <v>12</v>
      </c>
      <c r="B15" s="1160" t="s">
        <v>62</v>
      </c>
      <c r="C15" s="1160"/>
      <c r="D15" s="328" t="s">
        <v>25</v>
      </c>
      <c r="E15" s="198">
        <f t="shared" si="5"/>
        <v>200000</v>
      </c>
      <c r="F15" s="184">
        <f t="shared" si="5"/>
        <v>535795.30000000005</v>
      </c>
      <c r="G15" s="184">
        <f t="shared" si="5"/>
        <v>535520.81999999995</v>
      </c>
      <c r="H15" s="185">
        <f t="shared" si="0"/>
        <v>99.948771480451555</v>
      </c>
      <c r="I15" s="15">
        <f t="shared" si="5"/>
        <v>976706.39</v>
      </c>
      <c r="J15" s="207">
        <v>200000</v>
      </c>
      <c r="K15" s="184">
        <v>535795.30000000005</v>
      </c>
      <c r="L15" s="184">
        <v>535520.81999999995</v>
      </c>
      <c r="M15" s="185">
        <f t="shared" si="2"/>
        <v>99.948771480451555</v>
      </c>
      <c r="N15" s="199">
        <v>976706.39</v>
      </c>
      <c r="O15" s="155">
        <v>0</v>
      </c>
      <c r="P15" s="184">
        <v>0</v>
      </c>
      <c r="Q15" s="184">
        <v>0</v>
      </c>
      <c r="R15" s="185">
        <v>0</v>
      </c>
      <c r="S15" s="184">
        <v>0</v>
      </c>
      <c r="T15" s="198">
        <v>0</v>
      </c>
      <c r="U15" s="184">
        <v>0</v>
      </c>
      <c r="V15" s="184">
        <v>0</v>
      </c>
      <c r="W15" s="185">
        <v>0</v>
      </c>
      <c r="X15" s="199">
        <v>0</v>
      </c>
    </row>
    <row r="16" spans="1:24" s="315" customFormat="1" ht="9.75">
      <c r="A16" s="230" t="s">
        <v>13</v>
      </c>
      <c r="B16" s="1160" t="s">
        <v>30</v>
      </c>
      <c r="C16" s="1160"/>
      <c r="D16" s="328" t="s">
        <v>25</v>
      </c>
      <c r="E16" s="198">
        <f t="shared" si="5"/>
        <v>2000</v>
      </c>
      <c r="F16" s="184">
        <f t="shared" si="5"/>
        <v>4114</v>
      </c>
      <c r="G16" s="184">
        <f t="shared" si="5"/>
        <v>2114</v>
      </c>
      <c r="H16" s="185">
        <f t="shared" si="0"/>
        <v>51.385512882839087</v>
      </c>
      <c r="I16" s="15">
        <f t="shared" si="5"/>
        <v>0</v>
      </c>
      <c r="J16" s="207">
        <v>2000</v>
      </c>
      <c r="K16" s="184">
        <v>2000</v>
      </c>
      <c r="L16" s="184">
        <v>0</v>
      </c>
      <c r="M16" s="185">
        <v>0</v>
      </c>
      <c r="N16" s="199">
        <v>0</v>
      </c>
      <c r="O16" s="155">
        <v>0</v>
      </c>
      <c r="P16" s="184">
        <v>2114</v>
      </c>
      <c r="Q16" s="184">
        <v>2114</v>
      </c>
      <c r="R16" s="185">
        <v>0</v>
      </c>
      <c r="S16" s="184">
        <v>0</v>
      </c>
      <c r="T16" s="198">
        <v>0</v>
      </c>
      <c r="U16" s="184">
        <v>0</v>
      </c>
      <c r="V16" s="184">
        <v>0</v>
      </c>
      <c r="W16" s="185">
        <v>0</v>
      </c>
      <c r="X16" s="199">
        <v>0</v>
      </c>
    </row>
    <row r="17" spans="1:24" s="315" customFormat="1" ht="9.75">
      <c r="A17" s="230" t="s">
        <v>14</v>
      </c>
      <c r="B17" s="260" t="s">
        <v>46</v>
      </c>
      <c r="C17" s="260"/>
      <c r="D17" s="328" t="s">
        <v>25</v>
      </c>
      <c r="E17" s="198">
        <f t="shared" si="5"/>
        <v>1000</v>
      </c>
      <c r="F17" s="184">
        <f t="shared" si="5"/>
        <v>1000</v>
      </c>
      <c r="G17" s="184">
        <f t="shared" si="5"/>
        <v>0</v>
      </c>
      <c r="H17" s="185">
        <f t="shared" si="0"/>
        <v>0</v>
      </c>
      <c r="I17" s="15">
        <f t="shared" si="5"/>
        <v>1984</v>
      </c>
      <c r="J17" s="207">
        <v>1000</v>
      </c>
      <c r="K17" s="184">
        <v>1000</v>
      </c>
      <c r="L17" s="184">
        <v>0</v>
      </c>
      <c r="M17" s="185">
        <f t="shared" si="2"/>
        <v>0</v>
      </c>
      <c r="N17" s="199">
        <v>316</v>
      </c>
      <c r="O17" s="155">
        <v>0</v>
      </c>
      <c r="P17" s="184">
        <v>0</v>
      </c>
      <c r="Q17" s="184">
        <v>0</v>
      </c>
      <c r="R17" s="185">
        <v>0</v>
      </c>
      <c r="S17" s="184">
        <v>1668</v>
      </c>
      <c r="T17" s="198">
        <v>0</v>
      </c>
      <c r="U17" s="184">
        <v>0</v>
      </c>
      <c r="V17" s="184">
        <v>0</v>
      </c>
      <c r="W17" s="185">
        <v>0</v>
      </c>
      <c r="X17" s="199">
        <v>0</v>
      </c>
    </row>
    <row r="18" spans="1:24" s="315" customFormat="1" ht="9.75">
      <c r="A18" s="230" t="s">
        <v>15</v>
      </c>
      <c r="B18" s="1160" t="s">
        <v>31</v>
      </c>
      <c r="C18" s="1160"/>
      <c r="D18" s="328" t="s">
        <v>25</v>
      </c>
      <c r="E18" s="198">
        <f t="shared" si="5"/>
        <v>518163</v>
      </c>
      <c r="F18" s="184">
        <f t="shared" si="5"/>
        <v>466427.63</v>
      </c>
      <c r="G18" s="184">
        <f t="shared" si="5"/>
        <v>433681.04</v>
      </c>
      <c r="H18" s="185">
        <f t="shared" si="0"/>
        <v>92.979277406872313</v>
      </c>
      <c r="I18" s="15">
        <f t="shared" si="5"/>
        <v>531959.03</v>
      </c>
      <c r="J18" s="207">
        <v>518163</v>
      </c>
      <c r="K18" s="184">
        <v>435282.2</v>
      </c>
      <c r="L18" s="184">
        <v>402535.61</v>
      </c>
      <c r="M18" s="185">
        <f t="shared" si="2"/>
        <v>92.476928760238749</v>
      </c>
      <c r="N18" s="199">
        <v>501860.03</v>
      </c>
      <c r="O18" s="155">
        <v>0</v>
      </c>
      <c r="P18" s="184">
        <v>31145.43</v>
      </c>
      <c r="Q18" s="184">
        <v>31145.43</v>
      </c>
      <c r="R18" s="185">
        <v>0</v>
      </c>
      <c r="S18" s="184">
        <v>30099</v>
      </c>
      <c r="T18" s="198">
        <v>0</v>
      </c>
      <c r="U18" s="184">
        <v>0</v>
      </c>
      <c r="V18" s="184">
        <v>0</v>
      </c>
      <c r="W18" s="185">
        <v>0</v>
      </c>
      <c r="X18" s="199">
        <v>0</v>
      </c>
    </row>
    <row r="19" spans="1:24" s="318" customFormat="1" ht="9.75">
      <c r="A19" s="230" t="s">
        <v>16</v>
      </c>
      <c r="B19" s="1160" t="s">
        <v>32</v>
      </c>
      <c r="C19" s="1160"/>
      <c r="D19" s="328" t="s">
        <v>25</v>
      </c>
      <c r="E19" s="198">
        <f t="shared" si="5"/>
        <v>6817048</v>
      </c>
      <c r="F19" s="184">
        <f t="shared" si="5"/>
        <v>7197449</v>
      </c>
      <c r="G19" s="184">
        <f t="shared" si="5"/>
        <v>7197449</v>
      </c>
      <c r="H19" s="185">
        <f t="shared" si="0"/>
        <v>100</v>
      </c>
      <c r="I19" s="15">
        <f t="shared" si="5"/>
        <v>6521480</v>
      </c>
      <c r="J19" s="209">
        <v>0</v>
      </c>
      <c r="K19" s="184">
        <v>0</v>
      </c>
      <c r="L19" s="184">
        <v>0</v>
      </c>
      <c r="M19" s="185">
        <v>0</v>
      </c>
      <c r="N19" s="199">
        <v>0</v>
      </c>
      <c r="O19" s="155">
        <v>6817048</v>
      </c>
      <c r="P19" s="184">
        <v>7197449</v>
      </c>
      <c r="Q19" s="184">
        <v>7197449</v>
      </c>
      <c r="R19" s="185">
        <f t="shared" si="3"/>
        <v>100</v>
      </c>
      <c r="S19" s="184">
        <v>6521480</v>
      </c>
      <c r="T19" s="225">
        <v>0</v>
      </c>
      <c r="U19" s="190">
        <v>0</v>
      </c>
      <c r="V19" s="190">
        <v>0</v>
      </c>
      <c r="W19" s="185">
        <v>0</v>
      </c>
      <c r="X19" s="226">
        <v>0</v>
      </c>
    </row>
    <row r="20" spans="1:24" s="315" customFormat="1" ht="9.75">
      <c r="A20" s="230" t="s">
        <v>17</v>
      </c>
      <c r="B20" s="1160" t="s">
        <v>47</v>
      </c>
      <c r="C20" s="1160"/>
      <c r="D20" s="328" t="s">
        <v>25</v>
      </c>
      <c r="E20" s="198">
        <f t="shared" si="5"/>
        <v>2320097</v>
      </c>
      <c r="F20" s="184">
        <f t="shared" si="5"/>
        <v>2423228</v>
      </c>
      <c r="G20" s="184">
        <f t="shared" si="5"/>
        <v>2423228</v>
      </c>
      <c r="H20" s="185">
        <f t="shared" si="0"/>
        <v>100</v>
      </c>
      <c r="I20" s="15">
        <f t="shared" si="5"/>
        <v>2205449</v>
      </c>
      <c r="J20" s="207">
        <v>0</v>
      </c>
      <c r="K20" s="184">
        <v>4732</v>
      </c>
      <c r="L20" s="184">
        <v>4732</v>
      </c>
      <c r="M20" s="185">
        <f t="shared" si="2"/>
        <v>100</v>
      </c>
      <c r="N20" s="199">
        <v>1690</v>
      </c>
      <c r="O20" s="155">
        <v>2320097</v>
      </c>
      <c r="P20" s="184">
        <v>2418496</v>
      </c>
      <c r="Q20" s="184">
        <v>2418496</v>
      </c>
      <c r="R20" s="185">
        <f t="shared" si="3"/>
        <v>100</v>
      </c>
      <c r="S20" s="184">
        <v>2203759</v>
      </c>
      <c r="T20" s="198">
        <v>0</v>
      </c>
      <c r="U20" s="184">
        <v>0</v>
      </c>
      <c r="V20" s="184">
        <v>0</v>
      </c>
      <c r="W20" s="185">
        <v>0</v>
      </c>
      <c r="X20" s="199">
        <v>0</v>
      </c>
    </row>
    <row r="21" spans="1:24" s="315" customFormat="1" ht="9.75">
      <c r="A21" s="230" t="s">
        <v>18</v>
      </c>
      <c r="B21" s="1160" t="s">
        <v>48</v>
      </c>
      <c r="C21" s="1160"/>
      <c r="D21" s="328" t="s">
        <v>25</v>
      </c>
      <c r="E21" s="198">
        <f t="shared" si="5"/>
        <v>150628</v>
      </c>
      <c r="F21" s="184">
        <f t="shared" si="5"/>
        <v>170468.81</v>
      </c>
      <c r="G21" s="184">
        <f t="shared" si="5"/>
        <v>169600.81</v>
      </c>
      <c r="H21" s="185">
        <f t="shared" si="0"/>
        <v>99.490815944570741</v>
      </c>
      <c r="I21" s="15">
        <f t="shared" si="5"/>
        <v>146059.01999999999</v>
      </c>
      <c r="J21" s="207">
        <v>0</v>
      </c>
      <c r="K21" s="184">
        <v>2268</v>
      </c>
      <c r="L21" s="184">
        <v>1400</v>
      </c>
      <c r="M21" s="185">
        <f t="shared" si="2"/>
        <v>61.728395061728392</v>
      </c>
      <c r="N21" s="199">
        <v>550</v>
      </c>
      <c r="O21" s="155">
        <v>150628</v>
      </c>
      <c r="P21" s="184">
        <v>168200.81</v>
      </c>
      <c r="Q21" s="184">
        <v>168200.81</v>
      </c>
      <c r="R21" s="185">
        <f t="shared" si="3"/>
        <v>100</v>
      </c>
      <c r="S21" s="184">
        <v>145509.01999999999</v>
      </c>
      <c r="T21" s="198">
        <v>0</v>
      </c>
      <c r="U21" s="184">
        <v>0</v>
      </c>
      <c r="V21" s="184">
        <v>0</v>
      </c>
      <c r="W21" s="185">
        <v>0</v>
      </c>
      <c r="X21" s="199">
        <v>0</v>
      </c>
    </row>
    <row r="22" spans="1:24" s="315" customFormat="1" ht="9.75">
      <c r="A22" s="230" t="s">
        <v>19</v>
      </c>
      <c r="B22" s="1160" t="s">
        <v>63</v>
      </c>
      <c r="C22" s="1160"/>
      <c r="D22" s="328" t="s">
        <v>25</v>
      </c>
      <c r="E22" s="198">
        <f t="shared" si="5"/>
        <v>0</v>
      </c>
      <c r="F22" s="184">
        <f t="shared" si="5"/>
        <v>0</v>
      </c>
      <c r="G22" s="184">
        <f t="shared" si="5"/>
        <v>0</v>
      </c>
      <c r="H22" s="185">
        <v>0</v>
      </c>
      <c r="I22" s="15">
        <f t="shared" si="5"/>
        <v>0</v>
      </c>
      <c r="J22" s="207">
        <v>0</v>
      </c>
      <c r="K22" s="184">
        <v>0</v>
      </c>
      <c r="L22" s="184">
        <v>0</v>
      </c>
      <c r="M22" s="185">
        <v>0</v>
      </c>
      <c r="N22" s="199">
        <v>0</v>
      </c>
      <c r="O22" s="155">
        <v>0</v>
      </c>
      <c r="P22" s="184">
        <v>0</v>
      </c>
      <c r="Q22" s="184">
        <v>0</v>
      </c>
      <c r="R22" s="185">
        <v>0</v>
      </c>
      <c r="S22" s="184">
        <v>0</v>
      </c>
      <c r="T22" s="198">
        <v>0</v>
      </c>
      <c r="U22" s="184">
        <v>0</v>
      </c>
      <c r="V22" s="184">
        <v>0</v>
      </c>
      <c r="W22" s="185">
        <v>0</v>
      </c>
      <c r="X22" s="199">
        <v>0</v>
      </c>
    </row>
    <row r="23" spans="1:24" s="315" customFormat="1" ht="9.75">
      <c r="A23" s="230" t="s">
        <v>20</v>
      </c>
      <c r="B23" s="260" t="s">
        <v>98</v>
      </c>
      <c r="C23" s="260"/>
      <c r="D23" s="328" t="s">
        <v>25</v>
      </c>
      <c r="E23" s="198">
        <f t="shared" si="5"/>
        <v>0</v>
      </c>
      <c r="F23" s="184">
        <f t="shared" si="5"/>
        <v>0</v>
      </c>
      <c r="G23" s="184">
        <f t="shared" si="5"/>
        <v>0</v>
      </c>
      <c r="H23" s="185">
        <v>0</v>
      </c>
      <c r="I23" s="15">
        <f t="shared" si="5"/>
        <v>0</v>
      </c>
      <c r="J23" s="207">
        <v>0</v>
      </c>
      <c r="K23" s="184">
        <v>0</v>
      </c>
      <c r="L23" s="184">
        <v>0</v>
      </c>
      <c r="M23" s="185">
        <v>0</v>
      </c>
      <c r="N23" s="199">
        <v>0</v>
      </c>
      <c r="O23" s="155">
        <v>0</v>
      </c>
      <c r="P23" s="184">
        <v>0</v>
      </c>
      <c r="Q23" s="184">
        <v>0</v>
      </c>
      <c r="R23" s="185">
        <v>0</v>
      </c>
      <c r="S23" s="184">
        <v>0</v>
      </c>
      <c r="T23" s="198">
        <v>0</v>
      </c>
      <c r="U23" s="184">
        <v>0</v>
      </c>
      <c r="V23" s="184">
        <v>0</v>
      </c>
      <c r="W23" s="185">
        <v>0</v>
      </c>
      <c r="X23" s="199">
        <v>0</v>
      </c>
    </row>
    <row r="24" spans="1:24" s="315" customFormat="1" ht="9.75">
      <c r="A24" s="230" t="s">
        <v>21</v>
      </c>
      <c r="B24" s="260" t="s">
        <v>71</v>
      </c>
      <c r="C24" s="260"/>
      <c r="D24" s="328" t="s">
        <v>25</v>
      </c>
      <c r="E24" s="198">
        <f t="shared" si="5"/>
        <v>0</v>
      </c>
      <c r="F24" s="184">
        <f t="shared" si="5"/>
        <v>0</v>
      </c>
      <c r="G24" s="184">
        <f t="shared" si="5"/>
        <v>0</v>
      </c>
      <c r="H24" s="185">
        <v>0</v>
      </c>
      <c r="I24" s="15">
        <f t="shared" si="5"/>
        <v>0</v>
      </c>
      <c r="J24" s="207">
        <v>0</v>
      </c>
      <c r="K24" s="184">
        <v>0</v>
      </c>
      <c r="L24" s="184">
        <v>0</v>
      </c>
      <c r="M24" s="185">
        <v>0</v>
      </c>
      <c r="N24" s="199">
        <v>0</v>
      </c>
      <c r="O24" s="155">
        <v>0</v>
      </c>
      <c r="P24" s="184">
        <v>0</v>
      </c>
      <c r="Q24" s="184">
        <v>0</v>
      </c>
      <c r="R24" s="185">
        <v>0</v>
      </c>
      <c r="S24" s="184">
        <v>0</v>
      </c>
      <c r="T24" s="198">
        <v>0</v>
      </c>
      <c r="U24" s="184">
        <v>0</v>
      </c>
      <c r="V24" s="184">
        <v>0</v>
      </c>
      <c r="W24" s="185">
        <v>0</v>
      </c>
      <c r="X24" s="199">
        <v>0</v>
      </c>
    </row>
    <row r="25" spans="1:24" s="315" customFormat="1" ht="9.75">
      <c r="A25" s="230" t="s">
        <v>22</v>
      </c>
      <c r="B25" s="260" t="s">
        <v>66</v>
      </c>
      <c r="C25" s="260"/>
      <c r="D25" s="328" t="s">
        <v>25</v>
      </c>
      <c r="E25" s="198">
        <f t="shared" si="5"/>
        <v>0</v>
      </c>
      <c r="F25" s="184">
        <f t="shared" si="5"/>
        <v>12500</v>
      </c>
      <c r="G25" s="184">
        <f t="shared" si="5"/>
        <v>12300</v>
      </c>
      <c r="H25" s="185">
        <f t="shared" ref="H25" si="6">G25/F25*100</f>
        <v>98.4</v>
      </c>
      <c r="I25" s="15">
        <f t="shared" si="5"/>
        <v>14700</v>
      </c>
      <c r="J25" s="207">
        <v>0</v>
      </c>
      <c r="K25" s="188">
        <v>12500</v>
      </c>
      <c r="L25" s="188">
        <v>12300</v>
      </c>
      <c r="M25" s="185">
        <f t="shared" si="2"/>
        <v>98.4</v>
      </c>
      <c r="N25" s="221">
        <v>14700</v>
      </c>
      <c r="O25" s="157">
        <v>0</v>
      </c>
      <c r="P25" s="188">
        <v>0</v>
      </c>
      <c r="Q25" s="188">
        <v>0</v>
      </c>
      <c r="R25" s="185">
        <v>0</v>
      </c>
      <c r="S25" s="188">
        <v>0</v>
      </c>
      <c r="T25" s="220">
        <v>0</v>
      </c>
      <c r="U25" s="188">
        <v>0</v>
      </c>
      <c r="V25" s="188">
        <v>0</v>
      </c>
      <c r="W25" s="185">
        <v>0</v>
      </c>
      <c r="X25" s="221">
        <v>0</v>
      </c>
    </row>
    <row r="26" spans="1:24" s="319" customFormat="1" ht="9.75">
      <c r="A26" s="230" t="s">
        <v>23</v>
      </c>
      <c r="B26" s="1160" t="s">
        <v>67</v>
      </c>
      <c r="C26" s="1160"/>
      <c r="D26" s="328" t="s">
        <v>25</v>
      </c>
      <c r="E26" s="198">
        <f t="shared" si="5"/>
        <v>183837</v>
      </c>
      <c r="F26" s="184">
        <f t="shared" si="5"/>
        <v>256994</v>
      </c>
      <c r="G26" s="184">
        <f t="shared" si="5"/>
        <v>256994</v>
      </c>
      <c r="H26" s="185">
        <f>G26/F26*100</f>
        <v>100</v>
      </c>
      <c r="I26" s="15">
        <f>SUM(N26,S26)</f>
        <v>195027</v>
      </c>
      <c r="J26" s="207">
        <v>183837</v>
      </c>
      <c r="K26" s="189">
        <v>256994</v>
      </c>
      <c r="L26" s="189">
        <v>256994</v>
      </c>
      <c r="M26" s="185">
        <f>L26/K26*100</f>
        <v>100</v>
      </c>
      <c r="N26" s="208">
        <v>195027</v>
      </c>
      <c r="O26" s="158">
        <v>0</v>
      </c>
      <c r="P26" s="189">
        <v>0</v>
      </c>
      <c r="Q26" s="189">
        <v>0</v>
      </c>
      <c r="R26" s="185">
        <v>0</v>
      </c>
      <c r="S26" s="189">
        <v>0</v>
      </c>
      <c r="T26" s="222">
        <v>0</v>
      </c>
      <c r="U26" s="189">
        <v>0</v>
      </c>
      <c r="V26" s="189">
        <v>0</v>
      </c>
      <c r="W26" s="135">
        <v>0</v>
      </c>
      <c r="X26" s="208">
        <v>0</v>
      </c>
    </row>
    <row r="27" spans="1:24" s="319" customFormat="1" ht="9.75">
      <c r="A27" s="230" t="s">
        <v>43</v>
      </c>
      <c r="B27" s="260" t="s">
        <v>68</v>
      </c>
      <c r="C27" s="260"/>
      <c r="D27" s="328" t="s">
        <v>25</v>
      </c>
      <c r="E27" s="198">
        <f t="shared" si="5"/>
        <v>0</v>
      </c>
      <c r="F27" s="184">
        <f t="shared" si="5"/>
        <v>0</v>
      </c>
      <c r="G27" s="184">
        <f t="shared" si="5"/>
        <v>0</v>
      </c>
      <c r="H27" s="185">
        <v>0</v>
      </c>
      <c r="I27" s="15">
        <f t="shared" si="5"/>
        <v>0</v>
      </c>
      <c r="J27" s="207">
        <v>0</v>
      </c>
      <c r="K27" s="189">
        <v>0</v>
      </c>
      <c r="L27" s="189">
        <v>0</v>
      </c>
      <c r="M27" s="185">
        <v>0</v>
      </c>
      <c r="N27" s="208">
        <v>0</v>
      </c>
      <c r="O27" s="158">
        <v>0</v>
      </c>
      <c r="P27" s="189">
        <v>0</v>
      </c>
      <c r="Q27" s="189">
        <v>0</v>
      </c>
      <c r="R27" s="185">
        <v>0</v>
      </c>
      <c r="S27" s="189">
        <v>0</v>
      </c>
      <c r="T27" s="222">
        <v>0</v>
      </c>
      <c r="U27" s="189">
        <v>0</v>
      </c>
      <c r="V27" s="189">
        <v>0</v>
      </c>
      <c r="W27" s="135">
        <v>0</v>
      </c>
      <c r="X27" s="208">
        <v>0</v>
      </c>
    </row>
    <row r="28" spans="1:24" s="319" customFormat="1" ht="9.75">
      <c r="A28" s="230" t="s">
        <v>49</v>
      </c>
      <c r="B28" s="260" t="s">
        <v>72</v>
      </c>
      <c r="C28" s="260"/>
      <c r="D28" s="328" t="s">
        <v>25</v>
      </c>
      <c r="E28" s="198">
        <f>SUM(J28,O28)</f>
        <v>42000</v>
      </c>
      <c r="F28" s="184">
        <f>SUM(K28,P28)</f>
        <v>677011.91999999993</v>
      </c>
      <c r="G28" s="184">
        <f>SUM(L28,Q28)</f>
        <v>646884.56000000006</v>
      </c>
      <c r="H28" s="185">
        <f>G28/F28*100</f>
        <v>95.549951321388875</v>
      </c>
      <c r="I28" s="15">
        <f>SUM(N28,S28)</f>
        <v>119331</v>
      </c>
      <c r="J28" s="207">
        <v>42000</v>
      </c>
      <c r="K28" s="189">
        <v>418000.3</v>
      </c>
      <c r="L28" s="189">
        <v>387872.94</v>
      </c>
      <c r="M28" s="185">
        <f>L28/K28*100</f>
        <v>92.792502780500399</v>
      </c>
      <c r="N28" s="208">
        <v>92511</v>
      </c>
      <c r="O28" s="158">
        <v>0</v>
      </c>
      <c r="P28" s="189">
        <v>259011.62</v>
      </c>
      <c r="Q28" s="189">
        <v>259011.62</v>
      </c>
      <c r="R28" s="185">
        <f t="shared" si="3"/>
        <v>100</v>
      </c>
      <c r="S28" s="189">
        <v>26820</v>
      </c>
      <c r="T28" s="222">
        <v>0</v>
      </c>
      <c r="U28" s="189">
        <v>0</v>
      </c>
      <c r="V28" s="189">
        <v>0</v>
      </c>
      <c r="W28" s="135">
        <v>0</v>
      </c>
      <c r="X28" s="208">
        <v>0</v>
      </c>
    </row>
    <row r="29" spans="1:24" s="320" customFormat="1" ht="9.75">
      <c r="A29" s="230" t="s">
        <v>50</v>
      </c>
      <c r="B29" s="260" t="s">
        <v>65</v>
      </c>
      <c r="C29" s="260"/>
      <c r="D29" s="328" t="s">
        <v>25</v>
      </c>
      <c r="E29" s="198">
        <f t="shared" si="5"/>
        <v>1000</v>
      </c>
      <c r="F29" s="184">
        <f t="shared" si="5"/>
        <v>1000</v>
      </c>
      <c r="G29" s="184">
        <f t="shared" si="5"/>
        <v>862</v>
      </c>
      <c r="H29" s="185">
        <f t="shared" si="0"/>
        <v>86.2</v>
      </c>
      <c r="I29" s="15">
        <f t="shared" si="5"/>
        <v>862</v>
      </c>
      <c r="J29" s="207">
        <v>1000</v>
      </c>
      <c r="K29" s="189">
        <v>1000</v>
      </c>
      <c r="L29" s="189">
        <v>862</v>
      </c>
      <c r="M29" s="185">
        <f t="shared" si="2"/>
        <v>86.2</v>
      </c>
      <c r="N29" s="208">
        <v>862</v>
      </c>
      <c r="O29" s="158">
        <v>0</v>
      </c>
      <c r="P29" s="189">
        <v>0</v>
      </c>
      <c r="Q29" s="189">
        <v>0</v>
      </c>
      <c r="R29" s="185">
        <v>0</v>
      </c>
      <c r="S29" s="189">
        <v>0</v>
      </c>
      <c r="T29" s="222">
        <v>0</v>
      </c>
      <c r="U29" s="189">
        <v>0</v>
      </c>
      <c r="V29" s="189">
        <v>0</v>
      </c>
      <c r="W29" s="135">
        <v>0</v>
      </c>
      <c r="X29" s="208">
        <v>0</v>
      </c>
    </row>
    <row r="30" spans="1:24" s="315" customFormat="1" ht="9.75">
      <c r="A30" s="230" t="s">
        <v>52</v>
      </c>
      <c r="B30" s="260" t="s">
        <v>51</v>
      </c>
      <c r="C30" s="260"/>
      <c r="D30" s="328" t="s">
        <v>25</v>
      </c>
      <c r="E30" s="198">
        <f t="shared" ref="E30:G31" si="7">SUM(J30,O30)</f>
        <v>0</v>
      </c>
      <c r="F30" s="184">
        <v>0</v>
      </c>
      <c r="G30" s="184">
        <f t="shared" si="7"/>
        <v>0</v>
      </c>
      <c r="H30" s="185">
        <v>0</v>
      </c>
      <c r="I30" s="15">
        <f>SUM(N30,S30)</f>
        <v>0</v>
      </c>
      <c r="J30" s="207">
        <v>0</v>
      </c>
      <c r="K30" s="189">
        <v>0</v>
      </c>
      <c r="L30" s="189">
        <v>0</v>
      </c>
      <c r="M30" s="185">
        <v>0</v>
      </c>
      <c r="N30" s="208">
        <v>0</v>
      </c>
      <c r="O30" s="158">
        <v>0</v>
      </c>
      <c r="P30" s="189">
        <v>0</v>
      </c>
      <c r="Q30" s="189">
        <v>0</v>
      </c>
      <c r="R30" s="185">
        <v>0</v>
      </c>
      <c r="S30" s="189">
        <v>0</v>
      </c>
      <c r="T30" s="222">
        <v>0</v>
      </c>
      <c r="U30" s="189">
        <v>0</v>
      </c>
      <c r="V30" s="189">
        <v>0</v>
      </c>
      <c r="W30" s="135">
        <v>0</v>
      </c>
      <c r="X30" s="208">
        <v>0</v>
      </c>
    </row>
    <row r="31" spans="1:24" s="321" customFormat="1" ht="9.75">
      <c r="A31" s="230" t="s">
        <v>53</v>
      </c>
      <c r="B31" s="260" t="s">
        <v>69</v>
      </c>
      <c r="C31" s="260"/>
      <c r="D31" s="328" t="s">
        <v>25</v>
      </c>
      <c r="E31" s="198">
        <f t="shared" si="7"/>
        <v>0</v>
      </c>
      <c r="F31" s="184">
        <f t="shared" si="7"/>
        <v>0</v>
      </c>
      <c r="G31" s="184">
        <f t="shared" si="7"/>
        <v>0</v>
      </c>
      <c r="H31" s="185">
        <v>0</v>
      </c>
      <c r="I31" s="15">
        <f>SUM(N31,S31)</f>
        <v>0</v>
      </c>
      <c r="J31" s="207">
        <v>0</v>
      </c>
      <c r="K31" s="193">
        <v>0</v>
      </c>
      <c r="L31" s="193">
        <v>0</v>
      </c>
      <c r="M31" s="185">
        <v>0</v>
      </c>
      <c r="N31" s="210">
        <v>0</v>
      </c>
      <c r="O31" s="159">
        <v>0</v>
      </c>
      <c r="P31" s="193">
        <v>0</v>
      </c>
      <c r="Q31" s="193">
        <v>0</v>
      </c>
      <c r="R31" s="185">
        <v>0</v>
      </c>
      <c r="S31" s="193">
        <v>0</v>
      </c>
      <c r="T31" s="224">
        <v>0</v>
      </c>
      <c r="U31" s="194">
        <v>0</v>
      </c>
      <c r="V31" s="194">
        <v>0</v>
      </c>
      <c r="W31" s="185">
        <v>0</v>
      </c>
      <c r="X31" s="212">
        <v>0</v>
      </c>
    </row>
    <row r="32" spans="1:24" s="321" customFormat="1" ht="9.75">
      <c r="A32" s="230" t="s">
        <v>54</v>
      </c>
      <c r="B32" s="260" t="s">
        <v>70</v>
      </c>
      <c r="C32" s="260"/>
      <c r="D32" s="328" t="s">
        <v>25</v>
      </c>
      <c r="E32" s="198">
        <f>SUM(J32,O32)</f>
        <v>0</v>
      </c>
      <c r="F32" s="184">
        <f>SUM(K32,P32)</f>
        <v>0</v>
      </c>
      <c r="G32" s="184">
        <f>SUM(L32,Q32)</f>
        <v>0</v>
      </c>
      <c r="H32" s="185">
        <v>0</v>
      </c>
      <c r="I32" s="15">
        <f>SUM(N32,S32)</f>
        <v>0</v>
      </c>
      <c r="J32" s="211">
        <v>0</v>
      </c>
      <c r="K32" s="194">
        <v>0</v>
      </c>
      <c r="L32" s="194">
        <v>0</v>
      </c>
      <c r="M32" s="185">
        <v>0</v>
      </c>
      <c r="N32" s="212">
        <v>0</v>
      </c>
      <c r="O32" s="160">
        <v>0</v>
      </c>
      <c r="P32" s="194">
        <v>0</v>
      </c>
      <c r="Q32" s="194">
        <v>0</v>
      </c>
      <c r="R32" s="185">
        <v>0</v>
      </c>
      <c r="S32" s="194">
        <v>0</v>
      </c>
      <c r="T32" s="224">
        <v>0</v>
      </c>
      <c r="U32" s="194">
        <v>0</v>
      </c>
      <c r="V32" s="194">
        <v>0</v>
      </c>
      <c r="W32" s="185">
        <v>0</v>
      </c>
      <c r="X32" s="212">
        <v>0</v>
      </c>
    </row>
    <row r="33" spans="1:24" s="321" customFormat="1" ht="9.75">
      <c r="A33" s="229" t="s">
        <v>55</v>
      </c>
      <c r="B33" s="263" t="s">
        <v>99</v>
      </c>
      <c r="C33" s="263"/>
      <c r="D33" s="326" t="s">
        <v>25</v>
      </c>
      <c r="E33" s="196">
        <f>E6-E11</f>
        <v>0</v>
      </c>
      <c r="F33" s="181">
        <f>F6-F11</f>
        <v>-9.9999979138374329E-3</v>
      </c>
      <c r="G33" s="181">
        <f>G6-G11</f>
        <v>132211.26000000164</v>
      </c>
      <c r="H33" s="180">
        <v>0</v>
      </c>
      <c r="I33" s="327">
        <f>I6-I11</f>
        <v>51656.260000001639</v>
      </c>
      <c r="J33" s="196">
        <f>J6-J11</f>
        <v>0</v>
      </c>
      <c r="K33" s="181">
        <f>K6-K11</f>
        <v>0</v>
      </c>
      <c r="L33" s="181">
        <f>L6-L11</f>
        <v>132211.27000000048</v>
      </c>
      <c r="M33" s="180">
        <v>0</v>
      </c>
      <c r="N33" s="197">
        <f>N6-N11</f>
        <v>51656.259999999776</v>
      </c>
      <c r="O33" s="153">
        <f>O6-O11</f>
        <v>0</v>
      </c>
      <c r="P33" s="181">
        <f>P6-P11</f>
        <v>-9.9999979138374329E-3</v>
      </c>
      <c r="Q33" s="181">
        <f>Q6-Q11</f>
        <v>-9.9999979138374329E-3</v>
      </c>
      <c r="R33" s="180">
        <v>0</v>
      </c>
      <c r="S33" s="197">
        <f>S6-S11</f>
        <v>0</v>
      </c>
      <c r="T33" s="196">
        <f>T6-T11</f>
        <v>0</v>
      </c>
      <c r="U33" s="181">
        <f>U6-U11</f>
        <v>0</v>
      </c>
      <c r="V33" s="181">
        <f>V6-V11</f>
        <v>0</v>
      </c>
      <c r="W33" s="180">
        <v>0</v>
      </c>
      <c r="X33" s="197">
        <f>X6-X11</f>
        <v>0</v>
      </c>
    </row>
    <row r="34" spans="1:24" s="322" customFormat="1" ht="9.75">
      <c r="A34" s="254" t="s">
        <v>57</v>
      </c>
      <c r="B34" s="1157" t="s">
        <v>237</v>
      </c>
      <c r="C34" s="1157"/>
      <c r="D34" s="340" t="s">
        <v>25</v>
      </c>
      <c r="E34" s="94">
        <v>33028</v>
      </c>
      <c r="F34" s="240">
        <v>32690</v>
      </c>
      <c r="G34" s="98">
        <v>33284</v>
      </c>
      <c r="H34" s="185">
        <f t="shared" si="0"/>
        <v>101.81706944019578</v>
      </c>
      <c r="I34" s="98">
        <f t="shared" ref="I34:I37" si="8">S34</f>
        <v>32523</v>
      </c>
      <c r="J34" s="383">
        <v>0</v>
      </c>
      <c r="K34" s="129">
        <v>0</v>
      </c>
      <c r="L34" s="129">
        <v>0</v>
      </c>
      <c r="M34" s="180">
        <v>0</v>
      </c>
      <c r="N34" s="163">
        <v>0</v>
      </c>
      <c r="O34" s="94">
        <v>33028</v>
      </c>
      <c r="P34" s="240">
        <v>32690</v>
      </c>
      <c r="Q34" s="240">
        <v>33284</v>
      </c>
      <c r="R34" s="185">
        <f t="shared" si="3"/>
        <v>101.81706944019578</v>
      </c>
      <c r="S34" s="240">
        <v>32523</v>
      </c>
      <c r="T34" s="150">
        <v>0</v>
      </c>
      <c r="U34" s="162">
        <v>0</v>
      </c>
      <c r="V34" s="162">
        <v>0</v>
      </c>
      <c r="W34" s="180">
        <v>0</v>
      </c>
      <c r="X34" s="163">
        <v>0</v>
      </c>
    </row>
    <row r="35" spans="1:24" s="322" customFormat="1" ht="9.75">
      <c r="A35" s="255" t="s">
        <v>58</v>
      </c>
      <c r="B35" s="1156" t="s">
        <v>238</v>
      </c>
      <c r="C35" s="1156"/>
      <c r="D35" s="343" t="s">
        <v>26</v>
      </c>
      <c r="E35" s="95">
        <v>17.112200000000001</v>
      </c>
      <c r="F35" s="178">
        <v>17.690000000000001</v>
      </c>
      <c r="G35" s="97">
        <v>18.02</v>
      </c>
      <c r="H35" s="185">
        <f t="shared" si="0"/>
        <v>101.86546071226681</v>
      </c>
      <c r="I35" s="97">
        <f t="shared" si="8"/>
        <v>16.712599999999998</v>
      </c>
      <c r="J35" s="384">
        <v>0</v>
      </c>
      <c r="K35" s="347">
        <v>0</v>
      </c>
      <c r="L35" s="347">
        <v>0</v>
      </c>
      <c r="M35" s="180">
        <v>0</v>
      </c>
      <c r="N35" s="166">
        <v>0</v>
      </c>
      <c r="O35" s="95">
        <v>17.112200000000001</v>
      </c>
      <c r="P35" s="178">
        <v>17.690000000000001</v>
      </c>
      <c r="Q35" s="178">
        <v>18.02</v>
      </c>
      <c r="R35" s="185">
        <f t="shared" si="3"/>
        <v>101.86546071226681</v>
      </c>
      <c r="S35" s="178">
        <v>16.712599999999998</v>
      </c>
      <c r="T35" s="151">
        <v>0</v>
      </c>
      <c r="U35" s="165">
        <v>0</v>
      </c>
      <c r="V35" s="165">
        <v>0</v>
      </c>
      <c r="W35" s="180">
        <v>0</v>
      </c>
      <c r="X35" s="166">
        <v>0</v>
      </c>
    </row>
    <row r="36" spans="1:24" s="322" customFormat="1" ht="9.75">
      <c r="A36" s="255" t="s">
        <v>59</v>
      </c>
      <c r="B36" s="1156" t="s">
        <v>239</v>
      </c>
      <c r="C36" s="1156"/>
      <c r="D36" s="343" t="s">
        <v>26</v>
      </c>
      <c r="E36" s="385">
        <v>23</v>
      </c>
      <c r="F36" s="349">
        <v>24</v>
      </c>
      <c r="G36" s="386">
        <v>23.8462</v>
      </c>
      <c r="H36" s="185">
        <f t="shared" si="0"/>
        <v>99.359166666666667</v>
      </c>
      <c r="I36" s="98">
        <f t="shared" si="8"/>
        <v>24</v>
      </c>
      <c r="J36" s="387">
        <v>0</v>
      </c>
      <c r="K36" s="352">
        <v>0</v>
      </c>
      <c r="L36" s="352">
        <v>0</v>
      </c>
      <c r="M36" s="354">
        <v>0</v>
      </c>
      <c r="N36" s="388">
        <v>0</v>
      </c>
      <c r="O36" s="94">
        <v>23</v>
      </c>
      <c r="P36" s="240">
        <v>24</v>
      </c>
      <c r="Q36" s="240">
        <v>23.8462</v>
      </c>
      <c r="R36" s="185">
        <f t="shared" si="3"/>
        <v>99.359166666666667</v>
      </c>
      <c r="S36" s="240">
        <v>24</v>
      </c>
      <c r="T36" s="356">
        <v>0</v>
      </c>
      <c r="U36" s="357">
        <v>0</v>
      </c>
      <c r="V36" s="357">
        <v>0</v>
      </c>
      <c r="W36" s="358">
        <v>0</v>
      </c>
      <c r="X36" s="359">
        <v>0</v>
      </c>
    </row>
    <row r="37" spans="1:24" s="322" customFormat="1" ht="10.5" thickBot="1">
      <c r="A37" s="256" t="s">
        <v>240</v>
      </c>
      <c r="B37" s="1174" t="s">
        <v>467</v>
      </c>
      <c r="C37" s="1174"/>
      <c r="D37" s="360" t="s">
        <v>242</v>
      </c>
      <c r="E37" s="389">
        <v>0</v>
      </c>
      <c r="F37" s="361">
        <v>1</v>
      </c>
      <c r="G37" s="99">
        <v>1</v>
      </c>
      <c r="H37" s="202">
        <f t="shared" si="0"/>
        <v>100</v>
      </c>
      <c r="I37" s="99">
        <f t="shared" si="8"/>
        <v>1</v>
      </c>
      <c r="J37" s="390">
        <v>0</v>
      </c>
      <c r="K37" s="363">
        <v>0</v>
      </c>
      <c r="L37" s="363">
        <v>0</v>
      </c>
      <c r="M37" s="169">
        <v>0</v>
      </c>
      <c r="N37" s="170">
        <v>0</v>
      </c>
      <c r="O37" s="391">
        <v>0</v>
      </c>
      <c r="P37" s="361">
        <v>1</v>
      </c>
      <c r="Q37" s="361">
        <v>1</v>
      </c>
      <c r="R37" s="217">
        <f t="shared" si="3"/>
        <v>100</v>
      </c>
      <c r="S37" s="242">
        <v>1</v>
      </c>
      <c r="T37" s="152">
        <v>0</v>
      </c>
      <c r="U37" s="168">
        <v>0</v>
      </c>
      <c r="V37" s="168">
        <v>0</v>
      </c>
      <c r="W37" s="169">
        <v>0</v>
      </c>
      <c r="X37" s="170">
        <v>0</v>
      </c>
    </row>
  </sheetData>
  <mergeCells count="39">
    <mergeCell ref="B6:C6"/>
    <mergeCell ref="B7:C7"/>
    <mergeCell ref="B8:C8"/>
    <mergeCell ref="E4:E5"/>
    <mergeCell ref="B37:C37"/>
    <mergeCell ref="B13:C13"/>
    <mergeCell ref="B15:C15"/>
    <mergeCell ref="B16:C16"/>
    <mergeCell ref="B18:C18"/>
    <mergeCell ref="B19:C19"/>
    <mergeCell ref="B34:C34"/>
    <mergeCell ref="B35:C35"/>
    <mergeCell ref="B20:C20"/>
    <mergeCell ref="B21:C21"/>
    <mergeCell ref="B22:C22"/>
    <mergeCell ref="B26:C26"/>
    <mergeCell ref="S4:S5"/>
    <mergeCell ref="I4:I5"/>
    <mergeCell ref="J3:N3"/>
    <mergeCell ref="J4:J5"/>
    <mergeCell ref="E3:I3"/>
    <mergeCell ref="O4:O5"/>
    <mergeCell ref="K4:M4"/>
    <mergeCell ref="A1:X1"/>
    <mergeCell ref="B10:C10"/>
    <mergeCell ref="B11:C11"/>
    <mergeCell ref="B12:C12"/>
    <mergeCell ref="B36:C36"/>
    <mergeCell ref="T4:T5"/>
    <mergeCell ref="U4:W4"/>
    <mergeCell ref="X4:X5"/>
    <mergeCell ref="T3:X3"/>
    <mergeCell ref="A3:A5"/>
    <mergeCell ref="B3:C5"/>
    <mergeCell ref="D3:D5"/>
    <mergeCell ref="P4:R4"/>
    <mergeCell ref="N4:N5"/>
    <mergeCell ref="O3:S3"/>
    <mergeCell ref="F4:H4"/>
  </mergeCells>
  <pageMargins left="0.23622047244094491" right="0.23622047244094491" top="0.74803149606299213" bottom="0.74803149606299213" header="0.31496062992125984" footer="0.31496062992125984"/>
  <pageSetup paperSize="9" firstPageNumber="136"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zoomScaleNormal="100" workbookViewId="0">
      <selection activeCell="F13" sqref="F13"/>
    </sheetView>
  </sheetViews>
  <sheetFormatPr defaultColWidth="16" defaultRowHeight="12.75"/>
  <cols>
    <col min="1" max="1" width="58" style="14" customWidth="1"/>
    <col min="2" max="2" width="33.5" style="14" customWidth="1"/>
    <col min="3" max="5" width="25.75" style="14" customWidth="1"/>
    <col min="6" max="6" width="22.75" style="14" customWidth="1"/>
    <col min="7" max="8" width="16" style="14"/>
    <col min="9" max="9" width="16.75" style="14" customWidth="1"/>
    <col min="10" max="16384" width="16" style="14"/>
  </cols>
  <sheetData>
    <row r="1" spans="1:9" s="277" customFormat="1" ht="18.75">
      <c r="A1" s="277" t="s">
        <v>73</v>
      </c>
      <c r="B1" s="1299" t="s">
        <v>100</v>
      </c>
      <c r="C1" s="1299"/>
      <c r="D1" s="1299"/>
      <c r="E1" s="1299"/>
      <c r="F1" s="1299"/>
      <c r="G1" s="1299"/>
      <c r="H1" s="1299"/>
      <c r="I1" s="1299"/>
    </row>
    <row r="3" spans="1:9" s="281" customFormat="1" ht="10.5">
      <c r="A3" s="1189" t="s">
        <v>469</v>
      </c>
      <c r="B3" s="1189"/>
      <c r="C3" s="1189"/>
      <c r="D3" s="1189"/>
      <c r="E3" s="1189"/>
      <c r="F3" s="1189"/>
      <c r="G3" s="1189"/>
      <c r="H3" s="1189"/>
      <c r="I3" s="1189"/>
    </row>
    <row r="4" spans="1:9" s="2" customFormat="1" ht="11.25"/>
    <row r="5" spans="1:9" s="282" customFormat="1" ht="9.75">
      <c r="A5" s="1197" t="s">
        <v>74</v>
      </c>
      <c r="B5" s="1198"/>
      <c r="C5" s="271" t="s">
        <v>25</v>
      </c>
      <c r="D5" s="1193" t="s">
        <v>243</v>
      </c>
      <c r="E5" s="1193"/>
      <c r="F5" s="1193"/>
      <c r="G5" s="1193"/>
      <c r="H5" s="1193"/>
      <c r="I5" s="1193"/>
    </row>
    <row r="6" spans="1:9" s="2" customFormat="1" ht="15" customHeight="1">
      <c r="A6" s="1213" t="s">
        <v>414</v>
      </c>
      <c r="B6" s="1213"/>
      <c r="C6" s="365">
        <v>132211.26999999999</v>
      </c>
      <c r="D6" s="1207"/>
      <c r="E6" s="1208"/>
      <c r="F6" s="1208"/>
      <c r="G6" s="1208"/>
      <c r="H6" s="1208"/>
      <c r="I6" s="1209"/>
    </row>
    <row r="7" spans="1:9" s="2" customFormat="1" ht="33.75" customHeight="1">
      <c r="A7" s="1199" t="s">
        <v>75</v>
      </c>
      <c r="B7" s="1200"/>
      <c r="C7" s="366">
        <v>132211.26999999999</v>
      </c>
      <c r="D7" s="1302" t="s">
        <v>522</v>
      </c>
      <c r="E7" s="1303"/>
      <c r="F7" s="1303"/>
      <c r="G7" s="1303"/>
      <c r="H7" s="1303"/>
      <c r="I7" s="1304"/>
    </row>
    <row r="8" spans="1:9" s="281" customFormat="1" ht="27" customHeight="1">
      <c r="A8" s="1201" t="s">
        <v>76</v>
      </c>
      <c r="B8" s="1202"/>
      <c r="C8" s="367">
        <v>0</v>
      </c>
      <c r="D8" s="1205" t="s">
        <v>257</v>
      </c>
      <c r="E8" s="1290"/>
      <c r="F8" s="1290"/>
      <c r="G8" s="1290"/>
      <c r="H8" s="1290"/>
      <c r="I8" s="1291"/>
    </row>
    <row r="9" spans="1:9" s="281" customFormat="1" ht="15" customHeight="1">
      <c r="A9" s="1203" t="s">
        <v>77</v>
      </c>
      <c r="B9" s="1204"/>
      <c r="C9" s="62"/>
      <c r="D9" s="1210"/>
      <c r="E9" s="1211"/>
      <c r="F9" s="1211"/>
      <c r="G9" s="1211"/>
      <c r="H9" s="1211"/>
      <c r="I9" s="1212"/>
    </row>
    <row r="10" spans="1:9" s="2" customFormat="1" ht="11.25">
      <c r="C10" s="19"/>
    </row>
    <row r="11" spans="1:9" s="2" customFormat="1" ht="11.25">
      <c r="A11" s="1189" t="s">
        <v>471</v>
      </c>
      <c r="B11" s="1189"/>
      <c r="C11" s="1189"/>
      <c r="D11" s="1189"/>
      <c r="E11" s="1189"/>
      <c r="F11" s="1189"/>
      <c r="G11" s="1189"/>
      <c r="H11" s="1189"/>
      <c r="I11" s="1189"/>
    </row>
    <row r="12" spans="1:9" s="2" customFormat="1" ht="11.25">
      <c r="C12" s="19"/>
      <c r="D12" s="20"/>
      <c r="E12" s="20"/>
      <c r="F12" s="20"/>
      <c r="G12" s="20"/>
      <c r="H12" s="20"/>
      <c r="I12" s="20"/>
    </row>
    <row r="13" spans="1:9" s="283" customFormat="1" ht="9.75">
      <c r="A13" s="271" t="s">
        <v>74</v>
      </c>
      <c r="B13" s="271" t="s">
        <v>78</v>
      </c>
      <c r="C13" s="271" t="s">
        <v>25</v>
      </c>
      <c r="D13" s="21"/>
      <c r="E13" s="21"/>
      <c r="F13" s="21"/>
      <c r="G13" s="21"/>
      <c r="H13" s="21"/>
      <c r="I13" s="21"/>
    </row>
    <row r="14" spans="1:9" s="2" customFormat="1" ht="15" customHeight="1">
      <c r="A14" s="63" t="s">
        <v>79</v>
      </c>
      <c r="B14" s="4"/>
      <c r="C14" s="64">
        <v>0</v>
      </c>
      <c r="D14" s="22"/>
      <c r="E14" s="22"/>
      <c r="F14" s="22"/>
      <c r="G14" s="22"/>
      <c r="H14" s="22"/>
      <c r="I14" s="22"/>
    </row>
    <row r="15" spans="1:9" s="2" customFormat="1" ht="15" customHeight="1">
      <c r="A15" s="1190" t="s">
        <v>80</v>
      </c>
      <c r="B15" s="23" t="s">
        <v>91</v>
      </c>
      <c r="C15" s="65">
        <v>0</v>
      </c>
      <c r="D15" s="22"/>
      <c r="E15" s="22"/>
      <c r="F15" s="22"/>
      <c r="G15" s="22"/>
      <c r="H15" s="22"/>
      <c r="I15" s="22"/>
    </row>
    <row r="16" spans="1:9" s="2" customFormat="1" ht="15" customHeight="1">
      <c r="A16" s="1191"/>
      <c r="B16" s="5" t="s">
        <v>81</v>
      </c>
      <c r="C16" s="66">
        <v>112211.27</v>
      </c>
      <c r="D16" s="24"/>
      <c r="E16" s="24"/>
      <c r="F16" s="24"/>
      <c r="G16" s="24"/>
      <c r="H16" s="24"/>
      <c r="I16" s="24"/>
    </row>
    <row r="17" spans="1:9" s="2" customFormat="1" ht="15" customHeight="1">
      <c r="A17" s="1192"/>
      <c r="B17" s="6" t="s">
        <v>82</v>
      </c>
      <c r="C17" s="67">
        <v>20000</v>
      </c>
      <c r="D17" s="25"/>
      <c r="E17" s="25"/>
      <c r="F17" s="25"/>
      <c r="G17" s="25"/>
      <c r="H17" s="25"/>
      <c r="I17" s="25"/>
    </row>
    <row r="18" spans="1:9" s="2" customFormat="1" ht="15" customHeight="1">
      <c r="A18" s="275" t="s">
        <v>414</v>
      </c>
      <c r="B18" s="7"/>
      <c r="C18" s="26">
        <f>SUM(C14:C17)</f>
        <v>132211.27000000002</v>
      </c>
      <c r="D18" s="27"/>
      <c r="E18" s="27"/>
      <c r="F18" s="27"/>
      <c r="G18" s="27"/>
      <c r="H18" s="27"/>
      <c r="I18" s="27"/>
    </row>
    <row r="19" spans="1:9" s="29" customFormat="1" ht="11.25">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27" customHeight="1">
      <c r="A23" s="68" t="s">
        <v>83</v>
      </c>
      <c r="B23" s="148">
        <v>354430.24</v>
      </c>
      <c r="C23" s="32">
        <v>51656.26</v>
      </c>
      <c r="D23" s="32">
        <v>287457</v>
      </c>
      <c r="E23" s="32">
        <f>B23+C23-D23</f>
        <v>118629.5</v>
      </c>
      <c r="F23" s="1287" t="s">
        <v>523</v>
      </c>
      <c r="G23" s="1288"/>
      <c r="H23" s="1288"/>
      <c r="I23" s="1289"/>
    </row>
    <row r="24" spans="1:9" s="2" customFormat="1" ht="27" customHeight="1">
      <c r="A24" s="69" t="s">
        <v>84</v>
      </c>
      <c r="B24" s="148">
        <v>59544</v>
      </c>
      <c r="C24" s="370">
        <v>436860.5</v>
      </c>
      <c r="D24" s="392">
        <v>375099.5</v>
      </c>
      <c r="E24" s="369">
        <f t="shared" ref="E24:E26" si="0">B24+C24-D24</f>
        <v>121305</v>
      </c>
      <c r="F24" s="1311" t="s">
        <v>258</v>
      </c>
      <c r="G24" s="1312"/>
      <c r="H24" s="1312"/>
      <c r="I24" s="1313"/>
    </row>
    <row r="25" spans="1:9" s="2" customFormat="1" ht="24" customHeight="1">
      <c r="A25" s="69" t="s">
        <v>82</v>
      </c>
      <c r="B25" s="148">
        <v>48683.38</v>
      </c>
      <c r="C25" s="368">
        <v>0</v>
      </c>
      <c r="D25" s="33">
        <v>0</v>
      </c>
      <c r="E25" s="369">
        <f t="shared" si="0"/>
        <v>48683.38</v>
      </c>
      <c r="F25" s="1292" t="s">
        <v>473</v>
      </c>
      <c r="G25" s="1293"/>
      <c r="H25" s="1293"/>
      <c r="I25" s="1294"/>
    </row>
    <row r="26" spans="1:9" s="2" customFormat="1" ht="27" customHeight="1">
      <c r="A26" s="70" t="s">
        <v>85</v>
      </c>
      <c r="B26" s="148">
        <v>99757.52</v>
      </c>
      <c r="C26" s="370">
        <v>143757</v>
      </c>
      <c r="D26" s="370">
        <v>176092</v>
      </c>
      <c r="E26" s="369">
        <f t="shared" si="0"/>
        <v>67422.520000000019</v>
      </c>
      <c r="F26" s="1295" t="s">
        <v>476</v>
      </c>
      <c r="G26" s="1296"/>
      <c r="H26" s="1296"/>
      <c r="I26" s="1297"/>
    </row>
    <row r="27" spans="1:9" s="281" customFormat="1" ht="10.5">
      <c r="A27" s="3" t="s">
        <v>34</v>
      </c>
      <c r="B27" s="16">
        <f t="shared" ref="B27:E27" si="1">SUM(B23:B26)</f>
        <v>562415.14</v>
      </c>
      <c r="C27" s="16">
        <f t="shared" si="1"/>
        <v>632273.76</v>
      </c>
      <c r="D27" s="16">
        <f t="shared" si="1"/>
        <v>838648.5</v>
      </c>
      <c r="E27" s="16">
        <f t="shared" si="1"/>
        <v>356040.4</v>
      </c>
      <c r="F27" s="1214"/>
      <c r="G27" s="1214"/>
      <c r="H27" s="1214"/>
      <c r="I27" s="1214"/>
    </row>
    <row r="28" spans="1:9" s="2" customFormat="1" ht="13.15" customHeight="1">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25.15" customHeight="1">
      <c r="A32" s="371" t="s">
        <v>101</v>
      </c>
      <c r="B32" s="32">
        <v>0</v>
      </c>
      <c r="C32" s="372"/>
      <c r="D32" s="1215"/>
      <c r="E32" s="1216"/>
      <c r="F32" s="1216"/>
      <c r="G32" s="1216"/>
      <c r="H32" s="1216"/>
      <c r="I32" s="1217"/>
    </row>
    <row r="33" spans="1:9" s="281" customFormat="1" ht="11.25">
      <c r="A33" s="3" t="s">
        <v>34</v>
      </c>
      <c r="B33" s="16">
        <f>SUM(B32:B32)</f>
        <v>0</v>
      </c>
      <c r="C33" s="1300"/>
      <c r="D33" s="1300"/>
      <c r="E33" s="1300"/>
      <c r="F33" s="1300"/>
      <c r="G33" s="1300"/>
      <c r="H33" s="1300"/>
      <c r="I33" s="1301"/>
    </row>
    <row r="34" spans="1:9" s="2" customFormat="1" ht="11.25">
      <c r="C34" s="19"/>
    </row>
    <row r="35" spans="1:9" s="2" customFormat="1" ht="11.25">
      <c r="A35" s="1189" t="s">
        <v>431</v>
      </c>
      <c r="B35" s="1189"/>
      <c r="C35" s="1189"/>
      <c r="D35" s="1189"/>
      <c r="E35" s="1189"/>
      <c r="F35" s="1189"/>
      <c r="G35" s="1189"/>
      <c r="H35" s="1189"/>
      <c r="I35" s="1189"/>
    </row>
    <row r="36" spans="1:9" s="2" customFormat="1" ht="11.25">
      <c r="C36" s="19"/>
    </row>
    <row r="37" spans="1:9" s="2" customFormat="1" ht="11.25">
      <c r="A37" s="271" t="s">
        <v>86</v>
      </c>
      <c r="B37" s="271" t="s">
        <v>25</v>
      </c>
      <c r="C37" s="270" t="s">
        <v>87</v>
      </c>
      <c r="D37" s="1193" t="s">
        <v>88</v>
      </c>
      <c r="E37" s="1193"/>
      <c r="F37" s="1193"/>
      <c r="G37" s="1193"/>
      <c r="H37" s="1193"/>
      <c r="I37" s="1193"/>
    </row>
    <row r="38" spans="1:9" s="2" customFormat="1" ht="25.15" customHeight="1">
      <c r="A38" s="371" t="s">
        <v>102</v>
      </c>
      <c r="B38" s="32">
        <v>0</v>
      </c>
      <c r="C38" s="372"/>
      <c r="D38" s="1218"/>
      <c r="E38" s="1219"/>
      <c r="F38" s="1219"/>
      <c r="G38" s="1219"/>
      <c r="H38" s="1219"/>
      <c r="I38" s="1220"/>
    </row>
    <row r="39" spans="1:9" s="281" customFormat="1" ht="10.5">
      <c r="A39" s="3" t="s">
        <v>34</v>
      </c>
      <c r="B39" s="16">
        <f>SUM(B38:B38)</f>
        <v>0</v>
      </c>
      <c r="C39" s="1236"/>
      <c r="D39" s="1236"/>
      <c r="E39" s="1236"/>
      <c r="F39" s="1236"/>
      <c r="G39" s="1236"/>
      <c r="H39" s="1236"/>
      <c r="I39" s="1236"/>
    </row>
    <row r="40" spans="1:9" s="2" customFormat="1" ht="11.25">
      <c r="C40" s="19"/>
    </row>
    <row r="41" spans="1:9" s="2" customFormat="1" ht="11.25">
      <c r="A41" s="1189" t="s">
        <v>432</v>
      </c>
      <c r="B41" s="1189"/>
      <c r="C41" s="1189"/>
      <c r="D41" s="1189"/>
      <c r="E41" s="1189"/>
      <c r="F41" s="1189"/>
      <c r="G41" s="1189"/>
      <c r="H41" s="1189"/>
      <c r="I41" s="1189"/>
    </row>
    <row r="42" spans="1:9" s="2" customFormat="1" ht="11.25">
      <c r="C42" s="19"/>
    </row>
    <row r="43" spans="1:9" s="2" customFormat="1" ht="11.25">
      <c r="A43" s="271" t="s">
        <v>25</v>
      </c>
      <c r="B43" s="270" t="s">
        <v>433</v>
      </c>
      <c r="C43" s="1238" t="s">
        <v>89</v>
      </c>
      <c r="D43" s="1238"/>
      <c r="E43" s="1238"/>
      <c r="F43" s="1238"/>
      <c r="G43" s="1238"/>
      <c r="H43" s="1238"/>
      <c r="I43" s="1238"/>
    </row>
    <row r="44" spans="1:9" s="2" customFormat="1" ht="11.25">
      <c r="A44" s="87">
        <v>0</v>
      </c>
      <c r="B44" s="36">
        <v>0</v>
      </c>
      <c r="C44" s="1239" t="s">
        <v>477</v>
      </c>
      <c r="D44" s="1239"/>
      <c r="E44" s="1239"/>
      <c r="F44" s="1239"/>
      <c r="G44" s="1239"/>
      <c r="H44" s="1239"/>
      <c r="I44" s="1240"/>
    </row>
    <row r="45" spans="1:9" s="281" customFormat="1" ht="10.5">
      <c r="A45" s="16">
        <f>A44</f>
        <v>0</v>
      </c>
      <c r="B45" s="16">
        <f>B44</f>
        <v>0</v>
      </c>
      <c r="C45" s="1233" t="s">
        <v>34</v>
      </c>
      <c r="D45" s="1233"/>
      <c r="E45" s="1233"/>
      <c r="F45" s="1233"/>
      <c r="G45" s="1233"/>
      <c r="H45" s="1233"/>
      <c r="I45" s="1233"/>
    </row>
    <row r="46" spans="1:9" s="2" customFormat="1" ht="11.25">
      <c r="C46" s="19"/>
    </row>
    <row r="47" spans="1:9" s="2" customFormat="1" ht="11.25">
      <c r="A47" s="1189" t="s">
        <v>434</v>
      </c>
      <c r="B47" s="1189"/>
      <c r="C47" s="1189"/>
      <c r="D47" s="1189"/>
      <c r="E47" s="1189"/>
      <c r="F47" s="1189"/>
      <c r="G47" s="1189"/>
      <c r="H47" s="1189"/>
      <c r="I47" s="1189"/>
    </row>
    <row r="48" spans="1:9" s="2" customFormat="1" ht="11.25">
      <c r="C48" s="19"/>
    </row>
    <row r="49" spans="1:7" s="10" customFormat="1" ht="34.15" customHeight="1">
      <c r="A49" s="1234" t="s">
        <v>259</v>
      </c>
      <c r="B49" s="1235"/>
      <c r="C49" s="56" t="s">
        <v>179</v>
      </c>
      <c r="D49" s="56" t="s">
        <v>118</v>
      </c>
      <c r="E49" s="56" t="s">
        <v>119</v>
      </c>
      <c r="F49" s="56" t="s">
        <v>244</v>
      </c>
      <c r="G49" s="56" t="s">
        <v>180</v>
      </c>
    </row>
    <row r="50" spans="1:7" s="2" customFormat="1" ht="10.15" customHeight="1">
      <c r="A50" s="1283" t="s">
        <v>524</v>
      </c>
      <c r="B50" s="1283"/>
      <c r="C50" s="373" t="s">
        <v>271</v>
      </c>
      <c r="D50" s="374">
        <v>0</v>
      </c>
      <c r="E50" s="374">
        <v>67157</v>
      </c>
      <c r="F50" s="375" t="s">
        <v>482</v>
      </c>
      <c r="G50" s="376" t="s">
        <v>482</v>
      </c>
    </row>
    <row r="51" spans="1:7" s="2" customFormat="1" ht="10.15" customHeight="1">
      <c r="A51" s="1283" t="s">
        <v>525</v>
      </c>
      <c r="B51" s="1283"/>
      <c r="C51" s="373" t="s">
        <v>260</v>
      </c>
      <c r="D51" s="374">
        <v>67157</v>
      </c>
      <c r="E51" s="374">
        <v>0</v>
      </c>
      <c r="F51" s="375" t="s">
        <v>482</v>
      </c>
      <c r="G51" s="376" t="s">
        <v>482</v>
      </c>
    </row>
    <row r="52" spans="1:7" s="2" customFormat="1" ht="10.15" customHeight="1">
      <c r="A52" s="1281" t="s">
        <v>526</v>
      </c>
      <c r="B52" s="1282"/>
      <c r="C52" s="373" t="s">
        <v>260</v>
      </c>
      <c r="D52" s="374">
        <v>300000</v>
      </c>
      <c r="E52" s="374">
        <v>0</v>
      </c>
      <c r="F52" s="375" t="s">
        <v>527</v>
      </c>
      <c r="G52" s="376" t="s">
        <v>527</v>
      </c>
    </row>
    <row r="53" spans="1:7" s="2" customFormat="1" ht="10.15" customHeight="1">
      <c r="A53" s="1281" t="s">
        <v>526</v>
      </c>
      <c r="B53" s="1282"/>
      <c r="C53" s="373" t="s">
        <v>218</v>
      </c>
      <c r="D53" s="374">
        <v>0</v>
      </c>
      <c r="E53" s="374">
        <v>300000</v>
      </c>
      <c r="F53" s="375" t="s">
        <v>527</v>
      </c>
      <c r="G53" s="376" t="s">
        <v>527</v>
      </c>
    </row>
    <row r="54" spans="1:7" s="2" customFormat="1" ht="10.15" customHeight="1">
      <c r="A54" s="1283" t="s">
        <v>528</v>
      </c>
      <c r="B54" s="1283"/>
      <c r="C54" s="373" t="s">
        <v>529</v>
      </c>
      <c r="D54" s="374">
        <v>0</v>
      </c>
      <c r="E54" s="374">
        <v>-7000</v>
      </c>
      <c r="F54" s="375" t="s">
        <v>491</v>
      </c>
      <c r="G54" s="376" t="s">
        <v>491</v>
      </c>
    </row>
    <row r="55" spans="1:7" s="2" customFormat="1" ht="10.15" customHeight="1">
      <c r="A55" s="1281" t="s">
        <v>530</v>
      </c>
      <c r="B55" s="1282"/>
      <c r="C55" s="373" t="s">
        <v>272</v>
      </c>
      <c r="D55" s="374">
        <v>0</v>
      </c>
      <c r="E55" s="374">
        <v>4732</v>
      </c>
      <c r="F55" s="375" t="s">
        <v>491</v>
      </c>
      <c r="G55" s="376" t="s">
        <v>491</v>
      </c>
    </row>
    <row r="56" spans="1:7" s="2" customFormat="1" ht="10.15" customHeight="1">
      <c r="A56" s="1283" t="s">
        <v>531</v>
      </c>
      <c r="B56" s="1283"/>
      <c r="C56" s="373" t="s">
        <v>230</v>
      </c>
      <c r="D56" s="374">
        <v>0</v>
      </c>
      <c r="E56" s="374">
        <v>2268</v>
      </c>
      <c r="F56" s="375" t="s">
        <v>491</v>
      </c>
      <c r="G56" s="376" t="s">
        <v>491</v>
      </c>
    </row>
    <row r="57" spans="1:7" s="2" customFormat="1" ht="10.15" customHeight="1">
      <c r="A57" s="1283" t="s">
        <v>106</v>
      </c>
      <c r="B57" s="1283"/>
      <c r="C57" s="373" t="s">
        <v>266</v>
      </c>
      <c r="D57" s="374">
        <v>12500</v>
      </c>
      <c r="E57" s="374">
        <v>0</v>
      </c>
      <c r="F57" s="375" t="s">
        <v>491</v>
      </c>
      <c r="G57" s="376" t="s">
        <v>491</v>
      </c>
    </row>
    <row r="58" spans="1:7" s="2" customFormat="1" ht="10.15" customHeight="1">
      <c r="A58" s="1283" t="s">
        <v>105</v>
      </c>
      <c r="B58" s="1283"/>
      <c r="C58" s="373" t="s">
        <v>265</v>
      </c>
      <c r="D58" s="374">
        <v>0</v>
      </c>
      <c r="E58" s="374">
        <v>12500</v>
      </c>
      <c r="F58" s="375" t="s">
        <v>491</v>
      </c>
      <c r="G58" s="376" t="s">
        <v>491</v>
      </c>
    </row>
    <row r="59" spans="1:7" s="2" customFormat="1" ht="10.15" customHeight="1">
      <c r="A59" s="1283" t="s">
        <v>532</v>
      </c>
      <c r="B59" s="1283"/>
      <c r="C59" s="373" t="s">
        <v>228</v>
      </c>
      <c r="D59" s="374">
        <v>7000</v>
      </c>
      <c r="E59" s="374">
        <v>0</v>
      </c>
      <c r="F59" s="375" t="s">
        <v>491</v>
      </c>
      <c r="G59" s="376" t="s">
        <v>491</v>
      </c>
    </row>
    <row r="60" spans="1:7" s="2" customFormat="1" ht="10.15" customHeight="1">
      <c r="A60" s="1283" t="s">
        <v>533</v>
      </c>
      <c r="B60" s="1283"/>
      <c r="C60" s="373" t="s">
        <v>298</v>
      </c>
      <c r="D60" s="374">
        <v>0</v>
      </c>
      <c r="E60" s="374">
        <v>7000</v>
      </c>
      <c r="F60" s="375" t="s">
        <v>491</v>
      </c>
      <c r="G60" s="376" t="s">
        <v>491</v>
      </c>
    </row>
    <row r="61" spans="1:7" s="2" customFormat="1" ht="10.15" customHeight="1">
      <c r="A61" s="1283" t="s">
        <v>108</v>
      </c>
      <c r="B61" s="1283"/>
      <c r="C61" s="373" t="s">
        <v>225</v>
      </c>
      <c r="D61" s="374">
        <v>0</v>
      </c>
      <c r="E61" s="374">
        <v>7650</v>
      </c>
      <c r="F61" s="375" t="s">
        <v>491</v>
      </c>
      <c r="G61" s="376" t="s">
        <v>491</v>
      </c>
    </row>
    <row r="62" spans="1:7" s="2" customFormat="1" ht="10.15" customHeight="1">
      <c r="A62" s="1283" t="s">
        <v>534</v>
      </c>
      <c r="B62" s="1283"/>
      <c r="C62" s="373" t="s">
        <v>269</v>
      </c>
      <c r="D62" s="374">
        <v>7650</v>
      </c>
      <c r="E62" s="374">
        <v>0</v>
      </c>
      <c r="F62" s="375" t="s">
        <v>491</v>
      </c>
      <c r="G62" s="376" t="s">
        <v>491</v>
      </c>
    </row>
    <row r="63" spans="1:7" s="2" customFormat="1" ht="10.15" customHeight="1">
      <c r="A63" s="1281" t="s">
        <v>535</v>
      </c>
      <c r="B63" s="1282"/>
      <c r="C63" s="377" t="s">
        <v>536</v>
      </c>
      <c r="D63" s="379">
        <v>0</v>
      </c>
      <c r="E63" s="379">
        <v>167244.10999999999</v>
      </c>
      <c r="F63" s="375" t="s">
        <v>491</v>
      </c>
      <c r="G63" s="376" t="s">
        <v>491</v>
      </c>
    </row>
    <row r="64" spans="1:7" s="2" customFormat="1" ht="10.15" customHeight="1">
      <c r="A64" s="1281" t="s">
        <v>537</v>
      </c>
      <c r="B64" s="1282"/>
      <c r="C64" s="373" t="s">
        <v>218</v>
      </c>
      <c r="D64" s="380">
        <v>0</v>
      </c>
      <c r="E64" s="380">
        <v>35795.300000000003</v>
      </c>
      <c r="F64" s="375" t="s">
        <v>491</v>
      </c>
      <c r="G64" s="376" t="s">
        <v>491</v>
      </c>
    </row>
    <row r="65" spans="1:10" s="2" customFormat="1" ht="10.15" customHeight="1">
      <c r="A65" s="1283" t="s">
        <v>538</v>
      </c>
      <c r="B65" s="1283"/>
      <c r="C65" s="373" t="s">
        <v>225</v>
      </c>
      <c r="D65" s="380">
        <v>0</v>
      </c>
      <c r="E65" s="380">
        <v>348350.3</v>
      </c>
      <c r="F65" s="375" t="s">
        <v>491</v>
      </c>
      <c r="G65" s="376" t="s">
        <v>491</v>
      </c>
    </row>
    <row r="66" spans="1:10" s="2" customFormat="1" ht="10.15" customHeight="1">
      <c r="A66" s="1310" t="s">
        <v>539</v>
      </c>
      <c r="B66" s="1282"/>
      <c r="C66" s="373" t="s">
        <v>540</v>
      </c>
      <c r="D66" s="380">
        <v>0</v>
      </c>
      <c r="E66" s="380">
        <v>-83880.800000000003</v>
      </c>
      <c r="F66" s="375" t="s">
        <v>491</v>
      </c>
      <c r="G66" s="376" t="s">
        <v>491</v>
      </c>
    </row>
    <row r="67" spans="1:10" s="2" customFormat="1" ht="10.15" customHeight="1">
      <c r="A67" s="1286" t="s">
        <v>541</v>
      </c>
      <c r="B67" s="1286"/>
      <c r="C67" s="378" t="s">
        <v>542</v>
      </c>
      <c r="D67" s="381">
        <v>467508.91</v>
      </c>
      <c r="E67" s="381">
        <v>0</v>
      </c>
      <c r="F67" s="382" t="s">
        <v>491</v>
      </c>
      <c r="G67" s="393" t="s">
        <v>491</v>
      </c>
    </row>
    <row r="68" spans="1:10" s="2" customFormat="1" ht="10.15" customHeight="1">
      <c r="A68" s="1281" t="s">
        <v>104</v>
      </c>
      <c r="B68" s="1282"/>
      <c r="C68" s="373" t="s">
        <v>262</v>
      </c>
      <c r="D68" s="380">
        <v>0</v>
      </c>
      <c r="E68" s="380">
        <v>10000</v>
      </c>
      <c r="F68" s="375" t="s">
        <v>491</v>
      </c>
      <c r="G68" s="376" t="s">
        <v>491</v>
      </c>
    </row>
    <row r="69" spans="1:10" s="2" customFormat="1" ht="10.15" customHeight="1">
      <c r="A69" s="1281" t="s">
        <v>103</v>
      </c>
      <c r="B69" s="1282"/>
      <c r="C69" s="378" t="s">
        <v>261</v>
      </c>
      <c r="D69" s="381">
        <v>10000</v>
      </c>
      <c r="E69" s="381">
        <v>0</v>
      </c>
      <c r="F69" s="375" t="s">
        <v>491</v>
      </c>
      <c r="G69" s="376" t="s">
        <v>491</v>
      </c>
    </row>
    <row r="70" spans="1:10" s="2" customFormat="1" ht="10.15" customHeight="1">
      <c r="A70" s="1283" t="s">
        <v>497</v>
      </c>
      <c r="B70" s="1283"/>
      <c r="C70" s="378" t="s">
        <v>223</v>
      </c>
      <c r="D70" s="381">
        <v>0</v>
      </c>
      <c r="E70" s="381">
        <v>-45000</v>
      </c>
      <c r="F70" s="382" t="s">
        <v>543</v>
      </c>
      <c r="G70" s="393" t="s">
        <v>543</v>
      </c>
    </row>
    <row r="71" spans="1:10" s="2" customFormat="1" ht="10.15" customHeight="1">
      <c r="A71" s="1283" t="s">
        <v>544</v>
      </c>
      <c r="B71" s="1283"/>
      <c r="C71" s="378" t="s">
        <v>224</v>
      </c>
      <c r="D71" s="381">
        <v>0</v>
      </c>
      <c r="E71" s="381">
        <v>45000</v>
      </c>
      <c r="F71" s="375" t="s">
        <v>543</v>
      </c>
      <c r="G71" s="376" t="s">
        <v>543</v>
      </c>
    </row>
    <row r="72" spans="1:10" s="2" customFormat="1" ht="10.15" customHeight="1">
      <c r="A72" s="1281" t="s">
        <v>545</v>
      </c>
      <c r="B72" s="1282"/>
      <c r="C72" s="378" t="s">
        <v>224</v>
      </c>
      <c r="D72" s="381">
        <v>0</v>
      </c>
      <c r="E72" s="381">
        <v>40000</v>
      </c>
      <c r="F72" s="375" t="s">
        <v>546</v>
      </c>
      <c r="G72" s="376" t="s">
        <v>546</v>
      </c>
    </row>
    <row r="73" spans="1:10" s="2" customFormat="1" ht="10.15" customHeight="1">
      <c r="A73" s="1281" t="s">
        <v>545</v>
      </c>
      <c r="B73" s="1282"/>
      <c r="C73" s="378" t="s">
        <v>542</v>
      </c>
      <c r="D73" s="381">
        <v>40000</v>
      </c>
      <c r="E73" s="381">
        <v>0</v>
      </c>
      <c r="F73" s="375" t="s">
        <v>546</v>
      </c>
      <c r="G73" s="376" t="s">
        <v>546</v>
      </c>
    </row>
    <row r="74" spans="1:10" s="2" customFormat="1" ht="10.15" customHeight="1">
      <c r="A74" s="1283" t="s">
        <v>497</v>
      </c>
      <c r="B74" s="1283"/>
      <c r="C74" s="378" t="s">
        <v>223</v>
      </c>
      <c r="D74" s="381">
        <v>0</v>
      </c>
      <c r="E74" s="381">
        <v>-40000</v>
      </c>
      <c r="F74" s="375" t="s">
        <v>498</v>
      </c>
      <c r="G74" s="376" t="s">
        <v>498</v>
      </c>
      <c r="J74" s="394"/>
    </row>
    <row r="75" spans="1:10" s="2" customFormat="1" ht="10.15" customHeight="1">
      <c r="A75" s="1283" t="s">
        <v>501</v>
      </c>
      <c r="B75" s="1283"/>
      <c r="C75" s="378" t="s">
        <v>502</v>
      </c>
      <c r="D75" s="381">
        <v>0</v>
      </c>
      <c r="E75" s="381">
        <v>20000</v>
      </c>
      <c r="F75" s="375" t="s">
        <v>498</v>
      </c>
      <c r="G75" s="376" t="s">
        <v>498</v>
      </c>
    </row>
    <row r="76" spans="1:10" s="2" customFormat="1" ht="10.15" customHeight="1">
      <c r="A76" s="1283" t="s">
        <v>547</v>
      </c>
      <c r="B76" s="1283"/>
      <c r="C76" s="378" t="s">
        <v>225</v>
      </c>
      <c r="D76" s="381">
        <v>0</v>
      </c>
      <c r="E76" s="381">
        <v>20000</v>
      </c>
      <c r="F76" s="375" t="s">
        <v>498</v>
      </c>
      <c r="G76" s="376" t="s">
        <v>498</v>
      </c>
    </row>
    <row r="77" spans="1:10" s="2" customFormat="1" ht="10.15" customHeight="1">
      <c r="A77" s="1281" t="s">
        <v>548</v>
      </c>
      <c r="B77" s="1282"/>
      <c r="C77" s="378" t="s">
        <v>271</v>
      </c>
      <c r="D77" s="381">
        <v>0</v>
      </c>
      <c r="E77" s="381">
        <v>6000</v>
      </c>
      <c r="F77" s="375" t="s">
        <v>549</v>
      </c>
      <c r="G77" s="376" t="s">
        <v>549</v>
      </c>
    </row>
    <row r="78" spans="1:10" s="2" customFormat="1" ht="10.15" customHeight="1">
      <c r="A78" s="1281" t="s">
        <v>550</v>
      </c>
      <c r="B78" s="1282"/>
      <c r="C78" s="378" t="s">
        <v>263</v>
      </c>
      <c r="D78" s="381">
        <v>0</v>
      </c>
      <c r="E78" s="381">
        <v>-6000</v>
      </c>
      <c r="F78" s="375" t="s">
        <v>549</v>
      </c>
      <c r="G78" s="376" t="s">
        <v>549</v>
      </c>
    </row>
    <row r="79" spans="1:10" s="2" customFormat="1" ht="10.15" customHeight="1">
      <c r="A79" s="1281" t="s">
        <v>103</v>
      </c>
      <c r="B79" s="1282"/>
      <c r="C79" s="378" t="s">
        <v>261</v>
      </c>
      <c r="D79" s="381">
        <v>70000</v>
      </c>
      <c r="E79" s="381">
        <v>0</v>
      </c>
      <c r="F79" s="375" t="s">
        <v>505</v>
      </c>
      <c r="G79" s="376" t="s">
        <v>505</v>
      </c>
    </row>
    <row r="80" spans="1:10" s="2" customFormat="1" ht="10.15" customHeight="1">
      <c r="A80" s="1314" t="s">
        <v>104</v>
      </c>
      <c r="B80" s="1315"/>
      <c r="C80" s="395" t="s">
        <v>262</v>
      </c>
      <c r="D80" s="396">
        <v>0</v>
      </c>
      <c r="E80" s="396">
        <v>70000</v>
      </c>
      <c r="F80" s="395" t="s">
        <v>505</v>
      </c>
      <c r="G80" s="397" t="s">
        <v>505</v>
      </c>
    </row>
    <row r="81" spans="1:9" s="2" customFormat="1" ht="10.15" customHeight="1">
      <c r="A81" s="398"/>
      <c r="B81" s="398"/>
      <c r="C81" s="399"/>
      <c r="D81" s="400"/>
      <c r="E81" s="400"/>
      <c r="F81" s="399"/>
      <c r="G81" s="399"/>
    </row>
    <row r="82" spans="1:9" s="10" customFormat="1" ht="34.15" customHeight="1">
      <c r="A82" s="1234" t="s">
        <v>259</v>
      </c>
      <c r="B82" s="1235"/>
      <c r="C82" s="56" t="s">
        <v>179</v>
      </c>
      <c r="D82" s="56" t="s">
        <v>118</v>
      </c>
      <c r="E82" s="56" t="s">
        <v>119</v>
      </c>
      <c r="F82" s="56" t="s">
        <v>244</v>
      </c>
      <c r="G82" s="56" t="s">
        <v>180</v>
      </c>
    </row>
    <row r="83" spans="1:9" s="2" customFormat="1" ht="10.15" customHeight="1">
      <c r="A83" s="1281" t="s">
        <v>551</v>
      </c>
      <c r="B83" s="1282"/>
      <c r="C83" s="382" t="s">
        <v>502</v>
      </c>
      <c r="D83" s="381">
        <v>0</v>
      </c>
      <c r="E83" s="381">
        <v>42550</v>
      </c>
      <c r="F83" s="375" t="s">
        <v>505</v>
      </c>
      <c r="G83" s="376" t="s">
        <v>505</v>
      </c>
    </row>
    <row r="84" spans="1:9" s="2" customFormat="1" ht="10.15" customHeight="1">
      <c r="A84" s="1314" t="s">
        <v>552</v>
      </c>
      <c r="B84" s="1315"/>
      <c r="C84" s="382" t="s">
        <v>553</v>
      </c>
      <c r="D84" s="381">
        <v>42550</v>
      </c>
      <c r="E84" s="381">
        <v>0</v>
      </c>
      <c r="F84" s="375" t="s">
        <v>505</v>
      </c>
      <c r="G84" s="376" t="s">
        <v>505</v>
      </c>
    </row>
    <row r="85" spans="1:9" s="2" customFormat="1" ht="10.15" customHeight="1">
      <c r="A85" s="1254" t="s">
        <v>176</v>
      </c>
      <c r="B85" s="1255"/>
      <c r="C85" s="92"/>
      <c r="D85" s="93">
        <f>SUM(D50:D84)</f>
        <v>1024365.9099999999</v>
      </c>
      <c r="E85" s="93">
        <f>SUM(E50:E84)</f>
        <v>1024365.9099999999</v>
      </c>
      <c r="F85" s="1256"/>
      <c r="G85" s="1257"/>
    </row>
    <row r="86" spans="1:9" s="2" customFormat="1" ht="18" customHeight="1">
      <c r="A86" s="76"/>
      <c r="B86" s="76"/>
      <c r="C86" s="37"/>
      <c r="D86" s="37"/>
      <c r="E86" s="38"/>
    </row>
    <row r="87" spans="1:9" s="2" customFormat="1" ht="11.25">
      <c r="A87" s="1261" t="s">
        <v>459</v>
      </c>
      <c r="B87" s="1261"/>
      <c r="C87" s="1261"/>
      <c r="D87" s="1261"/>
      <c r="E87" s="1261"/>
      <c r="F87" s="1261"/>
      <c r="G87" s="1261"/>
      <c r="H87" s="1261"/>
      <c r="I87" s="1261"/>
    </row>
    <row r="88" spans="1:9" s="2" customFormat="1" ht="11.25">
      <c r="A88" s="2" t="s">
        <v>90</v>
      </c>
    </row>
    <row r="89" spans="1:9" s="2" customFormat="1" ht="11.25">
      <c r="A89" s="1258" t="s">
        <v>516</v>
      </c>
      <c r="B89" s="1259"/>
      <c r="C89" s="1259"/>
      <c r="D89" s="1259"/>
      <c r="E89" s="1259"/>
      <c r="F89" s="1259"/>
      <c r="G89" s="1259"/>
      <c r="H89" s="1259"/>
      <c r="I89" s="1260"/>
    </row>
    <row r="90" spans="1:9" s="2" customFormat="1" ht="11.25">
      <c r="A90" s="1258"/>
      <c r="B90" s="1259"/>
      <c r="C90" s="1259"/>
      <c r="D90" s="1259"/>
      <c r="E90" s="1259"/>
      <c r="F90" s="1259"/>
      <c r="G90" s="1259"/>
      <c r="H90" s="1259"/>
      <c r="I90" s="1260"/>
    </row>
    <row r="91" spans="1:9" s="2" customFormat="1" ht="0.75" customHeight="1">
      <c r="A91" s="1258"/>
      <c r="B91" s="1259"/>
      <c r="C91" s="1259"/>
      <c r="D91" s="1259"/>
      <c r="E91" s="1259"/>
      <c r="F91" s="1259"/>
      <c r="G91" s="1259"/>
      <c r="H91" s="1259"/>
      <c r="I91" s="1260"/>
    </row>
    <row r="92" spans="1:9" s="2" customFormat="1" ht="11.25" hidden="1"/>
    <row r="93" spans="1:9" s="281" customFormat="1" ht="10.5">
      <c r="A93" s="1189" t="s">
        <v>461</v>
      </c>
      <c r="B93" s="1189"/>
      <c r="C93" s="1189"/>
      <c r="D93" s="1189"/>
      <c r="E93" s="1189"/>
      <c r="F93" s="1189"/>
      <c r="G93" s="1189"/>
      <c r="H93" s="1189"/>
      <c r="I93" s="1189"/>
    </row>
    <row r="94" spans="1:9" s="2" customFormat="1" ht="11.25">
      <c r="A94" s="2" t="s">
        <v>90</v>
      </c>
    </row>
    <row r="95" spans="1:9" s="2" customFormat="1" ht="38.450000000000003" customHeight="1">
      <c r="A95" s="1258" t="s">
        <v>554</v>
      </c>
      <c r="B95" s="1259"/>
      <c r="C95" s="1259"/>
      <c r="D95" s="1259"/>
      <c r="E95" s="1259"/>
      <c r="F95" s="1259"/>
      <c r="G95" s="1259"/>
      <c r="H95" s="1259"/>
      <c r="I95" s="1260"/>
    </row>
    <row r="96" spans="1:9" s="2" customFormat="1" ht="16.149999999999999" customHeight="1">
      <c r="A96" s="1307"/>
      <c r="B96" s="1307"/>
      <c r="C96" s="1307"/>
      <c r="D96" s="1307"/>
      <c r="E96" s="1307"/>
      <c r="F96" s="1307"/>
      <c r="G96" s="1307"/>
      <c r="H96" s="1307"/>
      <c r="I96" s="1307"/>
    </row>
    <row r="97" spans="1:9" s="2" customFormat="1" ht="16.149999999999999" customHeight="1">
      <c r="A97" s="76"/>
      <c r="B97" s="76"/>
      <c r="C97" s="76"/>
      <c r="D97" s="76"/>
      <c r="E97" s="76"/>
      <c r="F97" s="76"/>
      <c r="G97" s="76"/>
      <c r="H97" s="76"/>
      <c r="I97" s="76"/>
    </row>
    <row r="98" spans="1:9">
      <c r="A98" s="2" t="s">
        <v>273</v>
      </c>
    </row>
    <row r="99" spans="1:9">
      <c r="A99" s="2" t="s">
        <v>274</v>
      </c>
    </row>
    <row r="100" spans="1:9">
      <c r="A100" s="2"/>
    </row>
    <row r="101" spans="1:9">
      <c r="A101" s="20" t="s">
        <v>555</v>
      </c>
    </row>
  </sheetData>
  <mergeCells count="78">
    <mergeCell ref="A96:I96"/>
    <mergeCell ref="A70:B70"/>
    <mergeCell ref="A85:B85"/>
    <mergeCell ref="A80:B80"/>
    <mergeCell ref="A82:B82"/>
    <mergeCell ref="A83:B83"/>
    <mergeCell ref="A84:B84"/>
    <mergeCell ref="A75:B75"/>
    <mergeCell ref="A76:B76"/>
    <mergeCell ref="A77:B77"/>
    <mergeCell ref="A78:B78"/>
    <mergeCell ref="A79:B79"/>
    <mergeCell ref="A71:B71"/>
    <mergeCell ref="F85:G85"/>
    <mergeCell ref="A87:I87"/>
    <mergeCell ref="A89:I89"/>
    <mergeCell ref="C39:I39"/>
    <mergeCell ref="D32:I32"/>
    <mergeCell ref="A91:I91"/>
    <mergeCell ref="A93:I93"/>
    <mergeCell ref="A95:I95"/>
    <mergeCell ref="A69:B69"/>
    <mergeCell ref="A90:I90"/>
    <mergeCell ref="A72:B72"/>
    <mergeCell ref="A73:B73"/>
    <mergeCell ref="A74:B74"/>
    <mergeCell ref="F26:I26"/>
    <mergeCell ref="F27:I27"/>
    <mergeCell ref="D31:I31"/>
    <mergeCell ref="C33:I33"/>
    <mergeCell ref="D37:I37"/>
    <mergeCell ref="B1:I1"/>
    <mergeCell ref="A3:I3"/>
    <mergeCell ref="A11:I11"/>
    <mergeCell ref="A5:B5"/>
    <mergeCell ref="A6:B6"/>
    <mergeCell ref="A7:B7"/>
    <mergeCell ref="A8:B8"/>
    <mergeCell ref="D5:I5"/>
    <mergeCell ref="D6:I6"/>
    <mergeCell ref="D7:I7"/>
    <mergeCell ref="D8:I8"/>
    <mergeCell ref="A9:B9"/>
    <mergeCell ref="D9:I9"/>
    <mergeCell ref="A57:B57"/>
    <mergeCell ref="A58:B58"/>
    <mergeCell ref="A59:B59"/>
    <mergeCell ref="A60:B60"/>
    <mergeCell ref="A61:B61"/>
    <mergeCell ref="A62:B62"/>
    <mergeCell ref="A68:B68"/>
    <mergeCell ref="A63:B63"/>
    <mergeCell ref="A64:B64"/>
    <mergeCell ref="A65:B65"/>
    <mergeCell ref="A66:B66"/>
    <mergeCell ref="A67:B67"/>
    <mergeCell ref="A53:B53"/>
    <mergeCell ref="A54:B54"/>
    <mergeCell ref="A55:B55"/>
    <mergeCell ref="A56:B56"/>
    <mergeCell ref="A51:B51"/>
    <mergeCell ref="A52:B52"/>
    <mergeCell ref="A15:A17"/>
    <mergeCell ref="A50:B50"/>
    <mergeCell ref="A29:I29"/>
    <mergeCell ref="A35:I35"/>
    <mergeCell ref="A41:I41"/>
    <mergeCell ref="C43:I43"/>
    <mergeCell ref="C45:I45"/>
    <mergeCell ref="A47:I47"/>
    <mergeCell ref="D38:I38"/>
    <mergeCell ref="A20:I20"/>
    <mergeCell ref="F22:I22"/>
    <mergeCell ref="F23:I23"/>
    <mergeCell ref="A49:B49"/>
    <mergeCell ref="F24:I24"/>
    <mergeCell ref="C44:I44"/>
    <mergeCell ref="F25:I25"/>
  </mergeCells>
  <pageMargins left="0.23622047244094491" right="0.23622047244094491" top="0.74803149606299213" bottom="0.74803149606299213" header="0.31496062992125984" footer="0.31496062992125984"/>
  <pageSetup paperSize="9" firstPageNumber="137" fitToHeight="4"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sqref="A1:XFD1048576"/>
    </sheetView>
  </sheetViews>
  <sheetFormatPr defaultColWidth="6.5" defaultRowHeight="8.25"/>
  <cols>
    <col min="1" max="1" width="5.5" style="276" customWidth="1"/>
    <col min="2" max="2" width="6.5" style="114" customWidth="1"/>
    <col min="3" max="3" width="42.75" style="114" customWidth="1"/>
    <col min="4" max="4" width="9.25" style="114" customWidth="1"/>
    <col min="5" max="5" width="11" style="114" customWidth="1"/>
    <col min="6" max="6" width="12" style="114" customWidth="1"/>
    <col min="7" max="7" width="11" style="114" customWidth="1"/>
    <col min="8" max="8" width="8.75" style="114" customWidth="1"/>
    <col min="9" max="9" width="11" style="114" customWidth="1"/>
    <col min="10" max="10" width="10.75" style="114" customWidth="1"/>
    <col min="11" max="11" width="13.5" style="114" customWidth="1"/>
    <col min="12" max="12" width="11" style="114" customWidth="1"/>
    <col min="13" max="13" width="8.75" style="114" customWidth="1"/>
    <col min="14" max="17" width="11" style="114" customWidth="1"/>
    <col min="18" max="18" width="8.75" style="114" customWidth="1"/>
    <col min="19" max="19" width="11" style="114" customWidth="1"/>
    <col min="20" max="20" width="11.25" style="114" customWidth="1"/>
    <col min="21" max="21" width="11" style="114" customWidth="1"/>
    <col min="22" max="22" width="10" style="114" customWidth="1"/>
    <col min="23" max="23" width="7.25" style="114" customWidth="1"/>
    <col min="24" max="24" width="9.75" style="114" customWidth="1"/>
    <col min="25" max="16384" width="6.5" style="114"/>
  </cols>
  <sheetData>
    <row r="1" spans="1:24" s="72" customFormat="1" ht="15.75">
      <c r="A1" s="1262" t="s">
        <v>110</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3" spans="1:24" s="315" customFormat="1" ht="9.75" customHeight="1">
      <c r="A3" s="1319" t="s">
        <v>39</v>
      </c>
      <c r="B3" s="1322" t="s">
        <v>40</v>
      </c>
      <c r="C3" s="1321"/>
      <c r="D3" s="1322" t="s">
        <v>41</v>
      </c>
      <c r="E3" s="1320" t="s">
        <v>34</v>
      </c>
      <c r="F3" s="1320"/>
      <c r="G3" s="1320"/>
      <c r="H3" s="1320"/>
      <c r="I3" s="1320"/>
      <c r="J3" s="1320" t="s">
        <v>38</v>
      </c>
      <c r="K3" s="1320"/>
      <c r="L3" s="1320"/>
      <c r="M3" s="1320"/>
      <c r="N3" s="1320"/>
      <c r="O3" s="1320" t="s">
        <v>42</v>
      </c>
      <c r="P3" s="1320"/>
      <c r="Q3" s="1320"/>
      <c r="R3" s="1320"/>
      <c r="S3" s="1320"/>
      <c r="T3" s="1320" t="s">
        <v>37</v>
      </c>
      <c r="U3" s="1320"/>
      <c r="V3" s="1320"/>
      <c r="W3" s="1320"/>
      <c r="X3" s="1320"/>
    </row>
    <row r="4" spans="1:24" s="316" customFormat="1" ht="9.75" customHeight="1">
      <c r="A4" s="1321"/>
      <c r="B4" s="1321"/>
      <c r="C4" s="1321"/>
      <c r="D4" s="1322"/>
      <c r="E4" s="1318" t="s">
        <v>96</v>
      </c>
      <c r="F4" s="1177" t="s">
        <v>465</v>
      </c>
      <c r="G4" s="1177"/>
      <c r="H4" s="1177"/>
      <c r="I4" s="1319" t="s">
        <v>466</v>
      </c>
      <c r="J4" s="1318" t="s">
        <v>96</v>
      </c>
      <c r="K4" s="1177" t="s">
        <v>465</v>
      </c>
      <c r="L4" s="1177"/>
      <c r="M4" s="1177"/>
      <c r="N4" s="1319" t="s">
        <v>466</v>
      </c>
      <c r="O4" s="1318" t="s">
        <v>96</v>
      </c>
      <c r="P4" s="1177" t="s">
        <v>465</v>
      </c>
      <c r="Q4" s="1177"/>
      <c r="R4" s="1177"/>
      <c r="S4" s="1319" t="s">
        <v>466</v>
      </c>
      <c r="T4" s="1318" t="s">
        <v>96</v>
      </c>
      <c r="U4" s="1177" t="s">
        <v>465</v>
      </c>
      <c r="V4" s="1177"/>
      <c r="W4" s="1177"/>
      <c r="X4" s="1319" t="s">
        <v>556</v>
      </c>
    </row>
    <row r="5" spans="1:24" s="317" customFormat="1" ht="9.75" customHeight="1">
      <c r="A5" s="1321"/>
      <c r="B5" s="1321"/>
      <c r="C5" s="1321"/>
      <c r="D5" s="1322"/>
      <c r="E5" s="1318"/>
      <c r="F5" s="115" t="s">
        <v>97</v>
      </c>
      <c r="G5" s="115" t="s">
        <v>35</v>
      </c>
      <c r="H5" s="115" t="s">
        <v>236</v>
      </c>
      <c r="I5" s="1319"/>
      <c r="J5" s="1318"/>
      <c r="K5" s="115" t="s">
        <v>97</v>
      </c>
      <c r="L5" s="115" t="s">
        <v>35</v>
      </c>
      <c r="M5" s="115" t="s">
        <v>236</v>
      </c>
      <c r="N5" s="1319"/>
      <c r="O5" s="1318"/>
      <c r="P5" s="115" t="s">
        <v>97</v>
      </c>
      <c r="Q5" s="115" t="s">
        <v>35</v>
      </c>
      <c r="R5" s="115" t="s">
        <v>236</v>
      </c>
      <c r="S5" s="1319"/>
      <c r="T5" s="1318"/>
      <c r="U5" s="115" t="s">
        <v>97</v>
      </c>
      <c r="V5" s="115" t="s">
        <v>35</v>
      </c>
      <c r="W5" s="115" t="s">
        <v>236</v>
      </c>
      <c r="X5" s="1319"/>
    </row>
    <row r="6" spans="1:24" s="315" customFormat="1" ht="9.75" customHeight="1">
      <c r="A6" s="116" t="s">
        <v>0</v>
      </c>
      <c r="B6" s="1158" t="s">
        <v>1</v>
      </c>
      <c r="C6" s="1158"/>
      <c r="D6" s="118" t="s">
        <v>25</v>
      </c>
      <c r="E6" s="181">
        <f>SUM(E7:E9)</f>
        <v>10834091</v>
      </c>
      <c r="F6" s="181">
        <f>SUM(F7:F9)</f>
        <v>12354198.560000001</v>
      </c>
      <c r="G6" s="181">
        <f>SUM(G7:G9)</f>
        <v>12357723.530000001</v>
      </c>
      <c r="H6" s="180">
        <f t="shared" ref="H6:H29" si="0">G6/F6*100</f>
        <v>100.02853256715021</v>
      </c>
      <c r="I6" s="181">
        <v>11539820</v>
      </c>
      <c r="J6" s="181">
        <f>SUM(J7:J9)</f>
        <v>1729000</v>
      </c>
      <c r="K6" s="181">
        <f t="shared" ref="K6:X6" si="1">SUM(K7:K9)</f>
        <v>3153564.56</v>
      </c>
      <c r="L6" s="181">
        <f t="shared" si="1"/>
        <v>3157089.13</v>
      </c>
      <c r="M6" s="180">
        <f t="shared" ref="M6:M29" si="2">L6/K6*100</f>
        <v>100.11176463753766</v>
      </c>
      <c r="N6" s="181">
        <f t="shared" ref="N6" si="3">SUM(N7:N9)</f>
        <v>2726551</v>
      </c>
      <c r="O6" s="181">
        <f t="shared" si="1"/>
        <v>9105091</v>
      </c>
      <c r="P6" s="181">
        <f t="shared" si="1"/>
        <v>9200634</v>
      </c>
      <c r="Q6" s="181">
        <f t="shared" si="1"/>
        <v>9200634.4000000004</v>
      </c>
      <c r="R6" s="180">
        <f t="shared" ref="R6:R28" si="4">Q6/P6*100</f>
        <v>100.0000043475265</v>
      </c>
      <c r="S6" s="181">
        <f t="shared" ref="S6" si="5">SUM(S7:S9)</f>
        <v>8813269</v>
      </c>
      <c r="T6" s="181">
        <f t="shared" si="1"/>
        <v>15000</v>
      </c>
      <c r="U6" s="181">
        <f t="shared" si="1"/>
        <v>15000</v>
      </c>
      <c r="V6" s="181">
        <f t="shared" si="1"/>
        <v>0</v>
      </c>
      <c r="W6" s="180">
        <f t="shared" ref="W6:W33" si="6">V6/U6*100</f>
        <v>0</v>
      </c>
      <c r="X6" s="181">
        <f t="shared" si="1"/>
        <v>0</v>
      </c>
    </row>
    <row r="7" spans="1:24" s="315" customFormat="1" ht="9.75">
      <c r="A7" s="117" t="s">
        <v>2</v>
      </c>
      <c r="B7" s="1160" t="s">
        <v>44</v>
      </c>
      <c r="C7" s="1160"/>
      <c r="D7" s="118" t="s">
        <v>25</v>
      </c>
      <c r="E7" s="184">
        <f t="shared" ref="E7:G10" si="7">SUM(J7,O7)</f>
        <v>478500</v>
      </c>
      <c r="F7" s="184">
        <f t="shared" si="7"/>
        <v>450822</v>
      </c>
      <c r="G7" s="184">
        <f t="shared" si="7"/>
        <v>454041.4</v>
      </c>
      <c r="H7" s="185">
        <f t="shared" si="0"/>
        <v>100.714117767101</v>
      </c>
      <c r="I7" s="184">
        <v>352726</v>
      </c>
      <c r="J7" s="103">
        <v>478500</v>
      </c>
      <c r="K7" s="186">
        <v>427217</v>
      </c>
      <c r="L7" s="186">
        <v>430436</v>
      </c>
      <c r="M7" s="185">
        <f t="shared" si="2"/>
        <v>100.75348125191648</v>
      </c>
      <c r="N7" s="186">
        <v>343012</v>
      </c>
      <c r="O7" s="186"/>
      <c r="P7" s="186">
        <v>23605</v>
      </c>
      <c r="Q7" s="186">
        <v>23605.4</v>
      </c>
      <c r="R7" s="185"/>
      <c r="S7" s="186">
        <v>9715</v>
      </c>
      <c r="T7" s="186">
        <v>15000</v>
      </c>
      <c r="U7" s="186">
        <v>15000</v>
      </c>
      <c r="V7" s="186">
        <v>0</v>
      </c>
      <c r="W7" s="185">
        <f t="shared" si="6"/>
        <v>0</v>
      </c>
      <c r="X7" s="186"/>
    </row>
    <row r="8" spans="1:24" s="315" customFormat="1" ht="9.75">
      <c r="A8" s="119" t="s">
        <v>3</v>
      </c>
      <c r="B8" s="1173" t="s">
        <v>45</v>
      </c>
      <c r="C8" s="1173"/>
      <c r="D8" s="118" t="s">
        <v>25</v>
      </c>
      <c r="E8" s="184">
        <f t="shared" si="7"/>
        <v>500</v>
      </c>
      <c r="F8" s="184">
        <f t="shared" si="7"/>
        <v>500</v>
      </c>
      <c r="G8" s="184">
        <f t="shared" si="7"/>
        <v>805.57</v>
      </c>
      <c r="H8" s="185">
        <f t="shared" si="0"/>
        <v>161.114</v>
      </c>
      <c r="I8" s="184">
        <f>SUM(N8,S8)</f>
        <v>740</v>
      </c>
      <c r="J8" s="104">
        <v>500</v>
      </c>
      <c r="K8" s="184">
        <v>500</v>
      </c>
      <c r="L8" s="184">
        <v>805.57</v>
      </c>
      <c r="M8" s="185">
        <f t="shared" si="2"/>
        <v>161.114</v>
      </c>
      <c r="N8" s="184">
        <v>740</v>
      </c>
      <c r="O8" s="184"/>
      <c r="P8" s="184"/>
      <c r="Q8" s="184"/>
      <c r="R8" s="185"/>
      <c r="S8" s="184"/>
      <c r="T8" s="184"/>
      <c r="U8" s="184"/>
      <c r="V8" s="184"/>
      <c r="W8" s="185"/>
      <c r="X8" s="184"/>
    </row>
    <row r="9" spans="1:24" s="315" customFormat="1" ht="9.75">
      <c r="A9" s="119" t="s">
        <v>4</v>
      </c>
      <c r="B9" s="187" t="s">
        <v>60</v>
      </c>
      <c r="C9" s="262"/>
      <c r="D9" s="118" t="s">
        <v>25</v>
      </c>
      <c r="E9" s="184">
        <f t="shared" si="7"/>
        <v>10355091</v>
      </c>
      <c r="F9" s="184">
        <f t="shared" si="7"/>
        <v>11902876.560000001</v>
      </c>
      <c r="G9" s="184">
        <f t="shared" si="7"/>
        <v>11902876.560000001</v>
      </c>
      <c r="H9" s="185">
        <f t="shared" si="0"/>
        <v>100</v>
      </c>
      <c r="I9" s="184">
        <f>SUM(N9,S9)</f>
        <v>11186353</v>
      </c>
      <c r="J9" s="104">
        <v>1250000</v>
      </c>
      <c r="K9" s="184">
        <v>2725847.56</v>
      </c>
      <c r="L9" s="184">
        <v>2725847.56</v>
      </c>
      <c r="M9" s="185">
        <f t="shared" si="2"/>
        <v>100</v>
      </c>
      <c r="N9" s="184">
        <v>2382799</v>
      </c>
      <c r="O9" s="184">
        <v>9105091</v>
      </c>
      <c r="P9" s="184">
        <v>9177029</v>
      </c>
      <c r="Q9" s="184">
        <v>9177029</v>
      </c>
      <c r="R9" s="185">
        <f t="shared" si="4"/>
        <v>100</v>
      </c>
      <c r="S9" s="184">
        <v>8803554</v>
      </c>
      <c r="T9" s="184"/>
      <c r="U9" s="184"/>
      <c r="V9" s="184"/>
      <c r="W9" s="185"/>
      <c r="X9" s="184"/>
    </row>
    <row r="10" spans="1:24" s="315" customFormat="1" ht="9.75">
      <c r="A10" s="116" t="s">
        <v>5</v>
      </c>
      <c r="B10" s="1158" t="s">
        <v>7</v>
      </c>
      <c r="C10" s="1158"/>
      <c r="D10" s="118" t="s">
        <v>25</v>
      </c>
      <c r="E10" s="182">
        <f t="shared" si="7"/>
        <v>0</v>
      </c>
      <c r="F10" s="182">
        <f t="shared" si="7"/>
        <v>58080</v>
      </c>
      <c r="G10" s="182">
        <f t="shared" si="7"/>
        <v>58080</v>
      </c>
      <c r="H10" s="180"/>
      <c r="I10" s="182">
        <v>108332</v>
      </c>
      <c r="J10" s="102"/>
      <c r="K10" s="182">
        <v>58080</v>
      </c>
      <c r="L10" s="182">
        <v>58080</v>
      </c>
      <c r="M10" s="180"/>
      <c r="N10" s="182">
        <v>108332</v>
      </c>
      <c r="O10" s="182"/>
      <c r="P10" s="182"/>
      <c r="Q10" s="182"/>
      <c r="R10" s="180"/>
      <c r="S10" s="182"/>
      <c r="T10" s="182"/>
      <c r="U10" s="182"/>
      <c r="V10" s="182"/>
      <c r="W10" s="180"/>
      <c r="X10" s="182"/>
    </row>
    <row r="11" spans="1:24" s="315" customFormat="1" ht="9.75">
      <c r="A11" s="116" t="s">
        <v>6</v>
      </c>
      <c r="B11" s="1158" t="s">
        <v>9</v>
      </c>
      <c r="C11" s="1158"/>
      <c r="D11" s="118" t="s">
        <v>25</v>
      </c>
      <c r="E11" s="181">
        <f>SUM(E12:E31)</f>
        <v>10834091</v>
      </c>
      <c r="F11" s="181">
        <f>SUM(F12:F31)</f>
        <v>12354198.560000001</v>
      </c>
      <c r="G11" s="181">
        <f>SUM(G12:G31)</f>
        <v>12294202.98</v>
      </c>
      <c r="H11" s="180">
        <f t="shared" si="0"/>
        <v>99.514370926542725</v>
      </c>
      <c r="I11" s="181">
        <v>11357544</v>
      </c>
      <c r="J11" s="181">
        <f>SUM(J12:J31)</f>
        <v>1729000</v>
      </c>
      <c r="K11" s="181">
        <f>SUM(K12:K31)</f>
        <v>3153564.56</v>
      </c>
      <c r="L11" s="181">
        <f>SUM(L12:L31)</f>
        <v>3093568.58</v>
      </c>
      <c r="M11" s="180">
        <f t="shared" si="2"/>
        <v>98.097518574346225</v>
      </c>
      <c r="N11" s="181">
        <v>2544276</v>
      </c>
      <c r="O11" s="181">
        <f>SUM(O12:O31)</f>
        <v>9105091</v>
      </c>
      <c r="P11" s="181">
        <f>SUM(P12:P31)</f>
        <v>9200634</v>
      </c>
      <c r="Q11" s="181">
        <f>SUM(Q12:Q31)</f>
        <v>9200634.4000000004</v>
      </c>
      <c r="R11" s="180">
        <f t="shared" si="4"/>
        <v>100.0000043475265</v>
      </c>
      <c r="S11" s="181">
        <f>SUM(S12:S31)</f>
        <v>8813269</v>
      </c>
      <c r="T11" s="181">
        <f>SUM(T12:T31)</f>
        <v>10000</v>
      </c>
      <c r="U11" s="181">
        <f>SUM(U12:U31)</f>
        <v>10000</v>
      </c>
      <c r="V11" s="181">
        <f>SUM(V12:V31)</f>
        <v>0</v>
      </c>
      <c r="W11" s="180">
        <f t="shared" si="6"/>
        <v>0</v>
      </c>
      <c r="X11" s="181">
        <f>SUM(X12:X31)</f>
        <v>0</v>
      </c>
    </row>
    <row r="12" spans="1:24" s="315" customFormat="1" ht="9.75">
      <c r="A12" s="105" t="s">
        <v>8</v>
      </c>
      <c r="B12" s="1159" t="s">
        <v>28</v>
      </c>
      <c r="C12" s="1159"/>
      <c r="D12" s="118" t="s">
        <v>25</v>
      </c>
      <c r="E12" s="184">
        <f>SUM(J12,O12)</f>
        <v>335265</v>
      </c>
      <c r="F12" s="184">
        <f t="shared" ref="E12:I28" si="8">SUM(K12,P12)</f>
        <v>540370.1</v>
      </c>
      <c r="G12" s="184">
        <f t="shared" si="8"/>
        <v>525238.93999999994</v>
      </c>
      <c r="H12" s="185">
        <f t="shared" si="0"/>
        <v>97.199852471482046</v>
      </c>
      <c r="I12" s="184">
        <v>315827</v>
      </c>
      <c r="J12" s="106">
        <v>283000</v>
      </c>
      <c r="K12" s="188">
        <v>478857.1</v>
      </c>
      <c r="L12" s="188">
        <v>463725.94</v>
      </c>
      <c r="M12" s="185">
        <f t="shared" si="2"/>
        <v>96.84015126850997</v>
      </c>
      <c r="N12" s="188">
        <v>282800</v>
      </c>
      <c r="O12" s="188">
        <v>52265</v>
      </c>
      <c r="P12" s="188">
        <v>61513</v>
      </c>
      <c r="Q12" s="188">
        <v>61513</v>
      </c>
      <c r="R12" s="185">
        <f t="shared" si="4"/>
        <v>100</v>
      </c>
      <c r="S12" s="188">
        <v>33027</v>
      </c>
      <c r="T12" s="188"/>
      <c r="U12" s="188"/>
      <c r="V12" s="188"/>
      <c r="W12" s="185"/>
      <c r="X12" s="189"/>
    </row>
    <row r="13" spans="1:24" s="315" customFormat="1" ht="9.75">
      <c r="A13" s="117" t="s">
        <v>10</v>
      </c>
      <c r="B13" s="1160" t="s">
        <v>29</v>
      </c>
      <c r="C13" s="1160"/>
      <c r="D13" s="118" t="s">
        <v>25</v>
      </c>
      <c r="E13" s="184">
        <f t="shared" si="8"/>
        <v>415000</v>
      </c>
      <c r="F13" s="184">
        <f t="shared" si="8"/>
        <v>415000</v>
      </c>
      <c r="G13" s="184">
        <f t="shared" si="8"/>
        <v>409942.67</v>
      </c>
      <c r="H13" s="185">
        <f t="shared" si="0"/>
        <v>98.781366265060228</v>
      </c>
      <c r="I13" s="184">
        <f t="shared" si="8"/>
        <v>366492</v>
      </c>
      <c r="J13" s="106">
        <v>415000</v>
      </c>
      <c r="K13" s="184">
        <v>415000</v>
      </c>
      <c r="L13" s="184">
        <v>409942.67</v>
      </c>
      <c r="M13" s="185">
        <f t="shared" si="2"/>
        <v>98.781366265060228</v>
      </c>
      <c r="N13" s="184">
        <v>366492</v>
      </c>
      <c r="O13" s="184"/>
      <c r="P13" s="184"/>
      <c r="Q13" s="184"/>
      <c r="R13" s="185"/>
      <c r="S13" s="184"/>
      <c r="T13" s="184"/>
      <c r="U13" s="184"/>
      <c r="V13" s="184"/>
      <c r="W13" s="185"/>
      <c r="X13" s="184"/>
    </row>
    <row r="14" spans="1:24" s="315" customFormat="1" ht="9.75">
      <c r="A14" s="117" t="s">
        <v>11</v>
      </c>
      <c r="B14" s="260" t="s">
        <v>61</v>
      </c>
      <c r="C14" s="260"/>
      <c r="D14" s="118" t="s">
        <v>25</v>
      </c>
      <c r="E14" s="184">
        <f t="shared" si="8"/>
        <v>0</v>
      </c>
      <c r="F14" s="184">
        <f t="shared" si="8"/>
        <v>0</v>
      </c>
      <c r="G14" s="184">
        <f t="shared" si="8"/>
        <v>0</v>
      </c>
      <c r="H14" s="185"/>
      <c r="I14" s="184">
        <f t="shared" si="8"/>
        <v>0</v>
      </c>
      <c r="J14" s="106"/>
      <c r="K14" s="184"/>
      <c r="L14" s="184"/>
      <c r="M14" s="185"/>
      <c r="N14" s="184"/>
      <c r="O14" s="184"/>
      <c r="P14" s="184"/>
      <c r="Q14" s="184"/>
      <c r="R14" s="185"/>
      <c r="S14" s="184"/>
      <c r="T14" s="184"/>
      <c r="U14" s="184"/>
      <c r="V14" s="184"/>
      <c r="W14" s="185"/>
      <c r="X14" s="184"/>
    </row>
    <row r="15" spans="1:24" s="315" customFormat="1" ht="9.75">
      <c r="A15" s="117" t="s">
        <v>12</v>
      </c>
      <c r="B15" s="1160" t="s">
        <v>62</v>
      </c>
      <c r="C15" s="1160"/>
      <c r="D15" s="118" t="s">
        <v>25</v>
      </c>
      <c r="E15" s="184">
        <f t="shared" si="8"/>
        <v>340500</v>
      </c>
      <c r="F15" s="184">
        <f t="shared" si="8"/>
        <v>1210500</v>
      </c>
      <c r="G15" s="184">
        <f t="shared" si="8"/>
        <v>1208924.8899999999</v>
      </c>
      <c r="H15" s="185">
        <f t="shared" si="0"/>
        <v>99.869879388682364</v>
      </c>
      <c r="I15" s="184">
        <f t="shared" si="8"/>
        <v>847781</v>
      </c>
      <c r="J15" s="106">
        <v>340500</v>
      </c>
      <c r="K15" s="184">
        <v>1210500</v>
      </c>
      <c r="L15" s="184">
        <v>1208924.8899999999</v>
      </c>
      <c r="M15" s="185">
        <f t="shared" si="2"/>
        <v>99.869879388682364</v>
      </c>
      <c r="N15" s="184">
        <v>847781</v>
      </c>
      <c r="O15" s="184"/>
      <c r="P15" s="184"/>
      <c r="Q15" s="184"/>
      <c r="R15" s="185"/>
      <c r="S15" s="184"/>
      <c r="T15" s="184"/>
      <c r="U15" s="184"/>
      <c r="V15" s="184"/>
      <c r="W15" s="185"/>
      <c r="X15" s="184"/>
    </row>
    <row r="16" spans="1:24" s="315" customFormat="1" ht="9.75">
      <c r="A16" s="117" t="s">
        <v>13</v>
      </c>
      <c r="B16" s="1160" t="s">
        <v>30</v>
      </c>
      <c r="C16" s="1160"/>
      <c r="D16" s="118" t="s">
        <v>25</v>
      </c>
      <c r="E16" s="184">
        <f t="shared" si="8"/>
        <v>2370</v>
      </c>
      <c r="F16" s="184">
        <f t="shared" si="8"/>
        <v>2370</v>
      </c>
      <c r="G16" s="184">
        <f t="shared" si="8"/>
        <v>1323</v>
      </c>
      <c r="H16" s="185">
        <f t="shared" si="0"/>
        <v>55.822784810126578</v>
      </c>
      <c r="I16" s="184">
        <f t="shared" si="8"/>
        <v>0</v>
      </c>
      <c r="J16" s="106">
        <v>2370</v>
      </c>
      <c r="K16" s="184">
        <v>2370</v>
      </c>
      <c r="L16" s="184">
        <v>1323</v>
      </c>
      <c r="M16" s="185">
        <f t="shared" si="2"/>
        <v>55.822784810126578</v>
      </c>
      <c r="N16" s="184">
        <v>0</v>
      </c>
      <c r="O16" s="184"/>
      <c r="P16" s="184"/>
      <c r="Q16" s="184"/>
      <c r="R16" s="185"/>
      <c r="S16" s="184"/>
      <c r="T16" s="184"/>
      <c r="U16" s="184"/>
      <c r="V16" s="184"/>
      <c r="W16" s="185"/>
      <c r="X16" s="184"/>
    </row>
    <row r="17" spans="1:24" s="315" customFormat="1" ht="9.75">
      <c r="A17" s="117" t="s">
        <v>14</v>
      </c>
      <c r="B17" s="260" t="s">
        <v>46</v>
      </c>
      <c r="C17" s="260"/>
      <c r="D17" s="118" t="s">
        <v>25</v>
      </c>
      <c r="E17" s="184">
        <f t="shared" si="8"/>
        <v>1308</v>
      </c>
      <c r="F17" s="184">
        <f t="shared" si="8"/>
        <v>1789</v>
      </c>
      <c r="G17" s="184">
        <f t="shared" si="8"/>
        <v>1789</v>
      </c>
      <c r="H17" s="185">
        <f t="shared" si="0"/>
        <v>100</v>
      </c>
      <c r="I17" s="184">
        <f t="shared" si="8"/>
        <v>1028</v>
      </c>
      <c r="J17" s="106">
        <v>1308</v>
      </c>
      <c r="K17" s="184">
        <v>1789</v>
      </c>
      <c r="L17" s="184">
        <v>1789</v>
      </c>
      <c r="M17" s="185">
        <f t="shared" si="2"/>
        <v>100</v>
      </c>
      <c r="N17" s="184">
        <v>1028</v>
      </c>
      <c r="O17" s="184"/>
      <c r="P17" s="184"/>
      <c r="Q17" s="184"/>
      <c r="R17" s="185"/>
      <c r="S17" s="184"/>
      <c r="T17" s="184"/>
      <c r="U17" s="184"/>
      <c r="V17" s="184"/>
      <c r="W17" s="185"/>
      <c r="X17" s="184"/>
    </row>
    <row r="18" spans="1:24" s="315" customFormat="1" ht="9.75">
      <c r="A18" s="117" t="s">
        <v>15</v>
      </c>
      <c r="B18" s="1160" t="s">
        <v>31</v>
      </c>
      <c r="C18" s="1160"/>
      <c r="D18" s="118" t="s">
        <v>25</v>
      </c>
      <c r="E18" s="184">
        <f t="shared" si="8"/>
        <v>440000</v>
      </c>
      <c r="F18" s="184">
        <f t="shared" si="8"/>
        <v>453484.9</v>
      </c>
      <c r="G18" s="184">
        <f t="shared" si="8"/>
        <v>436771.98</v>
      </c>
      <c r="H18" s="185">
        <f t="shared" si="0"/>
        <v>96.314558654543944</v>
      </c>
      <c r="I18" s="184">
        <f t="shared" si="8"/>
        <v>469771</v>
      </c>
      <c r="J18" s="106">
        <v>420650</v>
      </c>
      <c r="K18" s="184">
        <v>434134.9</v>
      </c>
      <c r="L18" s="184">
        <v>417421.98</v>
      </c>
      <c r="M18" s="185">
        <f t="shared" si="2"/>
        <v>96.150293376551843</v>
      </c>
      <c r="N18" s="184">
        <v>442980</v>
      </c>
      <c r="O18" s="184">
        <v>19350</v>
      </c>
      <c r="P18" s="184">
        <v>19350</v>
      </c>
      <c r="Q18" s="184">
        <v>19350</v>
      </c>
      <c r="R18" s="185">
        <f t="shared" si="4"/>
        <v>100</v>
      </c>
      <c r="S18" s="184">
        <v>26791</v>
      </c>
      <c r="T18" s="184"/>
      <c r="U18" s="184"/>
      <c r="V18" s="184"/>
      <c r="W18" s="185"/>
      <c r="X18" s="184"/>
    </row>
    <row r="19" spans="1:24" s="318" customFormat="1" ht="9.75">
      <c r="A19" s="117" t="s">
        <v>16</v>
      </c>
      <c r="B19" s="1160" t="s">
        <v>32</v>
      </c>
      <c r="C19" s="1160"/>
      <c r="D19" s="118" t="s">
        <v>25</v>
      </c>
      <c r="E19" s="184">
        <f t="shared" si="8"/>
        <v>6641296</v>
      </c>
      <c r="F19" s="184">
        <f t="shared" si="8"/>
        <v>6696596</v>
      </c>
      <c r="G19" s="184">
        <f t="shared" si="8"/>
        <v>6696596</v>
      </c>
      <c r="H19" s="185">
        <f t="shared" si="0"/>
        <v>100</v>
      </c>
      <c r="I19" s="184">
        <f t="shared" si="8"/>
        <v>6353853</v>
      </c>
      <c r="J19" s="107"/>
      <c r="K19" s="184"/>
      <c r="L19" s="184"/>
      <c r="M19" s="185"/>
      <c r="N19" s="184"/>
      <c r="O19" s="184">
        <v>6641296</v>
      </c>
      <c r="P19" s="184">
        <v>6696596</v>
      </c>
      <c r="Q19" s="184">
        <v>6696596</v>
      </c>
      <c r="R19" s="185">
        <f t="shared" si="4"/>
        <v>100</v>
      </c>
      <c r="S19" s="184">
        <v>6353853</v>
      </c>
      <c r="T19" s="190"/>
      <c r="U19" s="190"/>
      <c r="V19" s="190"/>
      <c r="W19" s="185"/>
      <c r="X19" s="190"/>
    </row>
    <row r="20" spans="1:24" s="315" customFormat="1" ht="9.75">
      <c r="A20" s="117" t="s">
        <v>17</v>
      </c>
      <c r="B20" s="1160" t="s">
        <v>47</v>
      </c>
      <c r="C20" s="1160"/>
      <c r="D20" s="118" t="s">
        <v>25</v>
      </c>
      <c r="E20" s="184">
        <f t="shared" si="8"/>
        <v>2229935</v>
      </c>
      <c r="F20" s="184">
        <f t="shared" si="8"/>
        <v>2245466</v>
      </c>
      <c r="G20" s="184">
        <f t="shared" si="8"/>
        <v>2245466</v>
      </c>
      <c r="H20" s="185">
        <f t="shared" si="0"/>
        <v>100</v>
      </c>
      <c r="I20" s="184">
        <f t="shared" si="8"/>
        <v>2126012</v>
      </c>
      <c r="J20" s="106"/>
      <c r="K20" s="184"/>
      <c r="L20" s="184"/>
      <c r="M20" s="185"/>
      <c r="N20" s="184"/>
      <c r="O20" s="184">
        <v>2229935</v>
      </c>
      <c r="P20" s="184">
        <v>2245466</v>
      </c>
      <c r="Q20" s="184">
        <v>2245466</v>
      </c>
      <c r="R20" s="185">
        <f t="shared" si="4"/>
        <v>100</v>
      </c>
      <c r="S20" s="184">
        <v>2126012</v>
      </c>
      <c r="T20" s="184"/>
      <c r="U20" s="184"/>
      <c r="V20" s="184"/>
      <c r="W20" s="185"/>
      <c r="X20" s="184"/>
    </row>
    <row r="21" spans="1:24" s="315" customFormat="1" ht="9.75">
      <c r="A21" s="117" t="s">
        <v>18</v>
      </c>
      <c r="B21" s="1160" t="s">
        <v>48</v>
      </c>
      <c r="C21" s="1160"/>
      <c r="D21" s="118" t="s">
        <v>25</v>
      </c>
      <c r="E21" s="184">
        <f t="shared" si="8"/>
        <v>163955</v>
      </c>
      <c r="F21" s="184">
        <f t="shared" si="8"/>
        <v>179419</v>
      </c>
      <c r="G21" s="184">
        <f t="shared" si="8"/>
        <v>179419.4</v>
      </c>
      <c r="H21" s="185">
        <f t="shared" si="0"/>
        <v>100.00022294182891</v>
      </c>
      <c r="I21" s="184">
        <f t="shared" si="8"/>
        <v>161000</v>
      </c>
      <c r="J21" s="106">
        <v>27000</v>
      </c>
      <c r="K21" s="184">
        <v>27000</v>
      </c>
      <c r="L21" s="184">
        <v>27000</v>
      </c>
      <c r="M21" s="185">
        <f t="shared" si="2"/>
        <v>100</v>
      </c>
      <c r="N21" s="184">
        <v>25000</v>
      </c>
      <c r="O21" s="184">
        <v>136955</v>
      </c>
      <c r="P21" s="184">
        <v>152419</v>
      </c>
      <c r="Q21" s="184">
        <v>152419.4</v>
      </c>
      <c r="R21" s="185">
        <f t="shared" si="4"/>
        <v>100.0002624344734</v>
      </c>
      <c r="S21" s="184">
        <v>136000</v>
      </c>
      <c r="T21" s="184"/>
      <c r="U21" s="184"/>
      <c r="V21" s="184"/>
      <c r="W21" s="185"/>
      <c r="X21" s="184"/>
    </row>
    <row r="22" spans="1:24" s="315" customFormat="1" ht="9.75">
      <c r="A22" s="117" t="s">
        <v>19</v>
      </c>
      <c r="B22" s="1160" t="s">
        <v>63</v>
      </c>
      <c r="C22" s="1160"/>
      <c r="D22" s="118" t="s">
        <v>25</v>
      </c>
      <c r="E22" s="184">
        <f t="shared" si="8"/>
        <v>0</v>
      </c>
      <c r="F22" s="184">
        <f t="shared" si="8"/>
        <v>0</v>
      </c>
      <c r="G22" s="184">
        <f t="shared" si="8"/>
        <v>0</v>
      </c>
      <c r="H22" s="185"/>
      <c r="I22" s="184">
        <f t="shared" si="8"/>
        <v>0</v>
      </c>
      <c r="J22" s="106"/>
      <c r="K22" s="184"/>
      <c r="L22" s="184"/>
      <c r="M22" s="185"/>
      <c r="N22" s="184"/>
      <c r="O22" s="184"/>
      <c r="P22" s="184"/>
      <c r="Q22" s="184"/>
      <c r="R22" s="185"/>
      <c r="S22" s="184"/>
      <c r="T22" s="184"/>
      <c r="U22" s="184"/>
      <c r="V22" s="184"/>
      <c r="W22" s="185"/>
      <c r="X22" s="184"/>
    </row>
    <row r="23" spans="1:24" s="315" customFormat="1" ht="9.75">
      <c r="A23" s="117" t="s">
        <v>20</v>
      </c>
      <c r="B23" s="260" t="s">
        <v>64</v>
      </c>
      <c r="C23" s="260"/>
      <c r="D23" s="118" t="s">
        <v>25</v>
      </c>
      <c r="E23" s="184">
        <f t="shared" si="8"/>
        <v>0</v>
      </c>
      <c r="F23" s="184">
        <f t="shared" si="8"/>
        <v>2028</v>
      </c>
      <c r="G23" s="184">
        <f t="shared" si="8"/>
        <v>2028</v>
      </c>
      <c r="H23" s="185"/>
      <c r="I23" s="184">
        <f t="shared" si="8"/>
        <v>0</v>
      </c>
      <c r="J23" s="106"/>
      <c r="K23" s="184">
        <v>2028</v>
      </c>
      <c r="L23" s="184">
        <v>2028</v>
      </c>
      <c r="M23" s="185">
        <f t="shared" si="2"/>
        <v>100</v>
      </c>
      <c r="N23" s="184"/>
      <c r="O23" s="184"/>
      <c r="P23" s="184"/>
      <c r="Q23" s="184"/>
      <c r="R23" s="185"/>
      <c r="S23" s="184"/>
      <c r="T23" s="184"/>
      <c r="U23" s="184"/>
      <c r="V23" s="184"/>
      <c r="W23" s="185"/>
      <c r="X23" s="184"/>
    </row>
    <row r="24" spans="1:24" s="315" customFormat="1" ht="9.75">
      <c r="A24" s="117" t="s">
        <v>21</v>
      </c>
      <c r="B24" s="260" t="s">
        <v>71</v>
      </c>
      <c r="C24" s="260"/>
      <c r="D24" s="118" t="s">
        <v>25</v>
      </c>
      <c r="E24" s="184">
        <f t="shared" si="8"/>
        <v>0</v>
      </c>
      <c r="F24" s="184">
        <f t="shared" si="8"/>
        <v>0</v>
      </c>
      <c r="G24" s="184">
        <f t="shared" si="8"/>
        <v>0</v>
      </c>
      <c r="H24" s="185"/>
      <c r="I24" s="184">
        <f t="shared" si="8"/>
        <v>0</v>
      </c>
      <c r="J24" s="106"/>
      <c r="K24" s="184"/>
      <c r="L24" s="184"/>
      <c r="M24" s="185"/>
      <c r="N24" s="184"/>
      <c r="O24" s="184"/>
      <c r="P24" s="184"/>
      <c r="Q24" s="184"/>
      <c r="R24" s="185"/>
      <c r="S24" s="184"/>
      <c r="T24" s="184"/>
      <c r="U24" s="184"/>
      <c r="V24" s="184"/>
      <c r="W24" s="185"/>
      <c r="X24" s="184"/>
    </row>
    <row r="25" spans="1:24" s="315" customFormat="1" ht="9.75">
      <c r="A25" s="105" t="s">
        <v>22</v>
      </c>
      <c r="B25" s="264" t="s">
        <v>66</v>
      </c>
      <c r="C25" s="264"/>
      <c r="D25" s="118" t="s">
        <v>25</v>
      </c>
      <c r="E25" s="184">
        <f t="shared" si="8"/>
        <v>0</v>
      </c>
      <c r="F25" s="184">
        <f t="shared" si="8"/>
        <v>0</v>
      </c>
      <c r="G25" s="184">
        <f t="shared" si="8"/>
        <v>0</v>
      </c>
      <c r="H25" s="185"/>
      <c r="I25" s="184">
        <f t="shared" si="8"/>
        <v>0</v>
      </c>
      <c r="J25" s="106"/>
      <c r="K25" s="188"/>
      <c r="L25" s="188"/>
      <c r="M25" s="185"/>
      <c r="N25" s="188"/>
      <c r="O25" s="188"/>
      <c r="P25" s="188"/>
      <c r="Q25" s="188"/>
      <c r="R25" s="185"/>
      <c r="S25" s="188"/>
      <c r="T25" s="188"/>
      <c r="U25" s="188"/>
      <c r="V25" s="188"/>
      <c r="W25" s="185"/>
      <c r="X25" s="188"/>
    </row>
    <row r="26" spans="1:24" s="319" customFormat="1" ht="9.75">
      <c r="A26" s="117" t="s">
        <v>23</v>
      </c>
      <c r="B26" s="1160" t="s">
        <v>67</v>
      </c>
      <c r="C26" s="1160"/>
      <c r="D26" s="118" t="s">
        <v>25</v>
      </c>
      <c r="E26" s="184">
        <f t="shared" si="8"/>
        <v>130672</v>
      </c>
      <c r="F26" s="184">
        <f t="shared" si="8"/>
        <v>133329</v>
      </c>
      <c r="G26" s="184">
        <f t="shared" si="8"/>
        <v>133329</v>
      </c>
      <c r="H26" s="191">
        <f t="shared" si="0"/>
        <v>100</v>
      </c>
      <c r="I26" s="184">
        <f t="shared" si="8"/>
        <v>131214</v>
      </c>
      <c r="J26" s="106">
        <v>130672</v>
      </c>
      <c r="K26" s="189">
        <v>133329</v>
      </c>
      <c r="L26" s="189">
        <v>133329</v>
      </c>
      <c r="M26" s="185">
        <f t="shared" si="2"/>
        <v>100</v>
      </c>
      <c r="N26" s="189">
        <v>131214</v>
      </c>
      <c r="O26" s="189"/>
      <c r="P26" s="189"/>
      <c r="Q26" s="189"/>
      <c r="R26" s="185"/>
      <c r="S26" s="189"/>
      <c r="T26" s="192"/>
      <c r="U26" s="192"/>
      <c r="V26" s="192"/>
      <c r="W26" s="185"/>
      <c r="X26" s="192"/>
    </row>
    <row r="27" spans="1:24" s="320" customFormat="1" ht="9.75">
      <c r="A27" s="117" t="s">
        <v>43</v>
      </c>
      <c r="B27" s="260" t="s">
        <v>68</v>
      </c>
      <c r="C27" s="260"/>
      <c r="D27" s="118" t="s">
        <v>25</v>
      </c>
      <c r="E27" s="184">
        <f t="shared" si="8"/>
        <v>0</v>
      </c>
      <c r="F27" s="184">
        <f t="shared" si="8"/>
        <v>0</v>
      </c>
      <c r="G27" s="184">
        <f t="shared" si="8"/>
        <v>0</v>
      </c>
      <c r="H27" s="191"/>
      <c r="I27" s="184">
        <f t="shared" si="8"/>
        <v>0</v>
      </c>
      <c r="J27" s="106"/>
      <c r="K27" s="189"/>
      <c r="L27" s="189"/>
      <c r="M27" s="185"/>
      <c r="N27" s="189"/>
      <c r="O27" s="189"/>
      <c r="P27" s="189"/>
      <c r="Q27" s="189"/>
      <c r="R27" s="185"/>
      <c r="S27" s="189"/>
      <c r="T27" s="192"/>
      <c r="U27" s="192"/>
      <c r="V27" s="192"/>
      <c r="W27" s="185"/>
      <c r="X27" s="192"/>
    </row>
    <row r="28" spans="1:24" s="320" customFormat="1" ht="9.75">
      <c r="A28" s="117" t="s">
        <v>49</v>
      </c>
      <c r="B28" s="260" t="s">
        <v>72</v>
      </c>
      <c r="C28" s="260"/>
      <c r="D28" s="118" t="s">
        <v>25</v>
      </c>
      <c r="E28" s="184">
        <f t="shared" si="8"/>
        <v>130290</v>
      </c>
      <c r="F28" s="184">
        <f t="shared" si="8"/>
        <v>470827.56</v>
      </c>
      <c r="G28" s="184">
        <f t="shared" si="8"/>
        <v>453058.1</v>
      </c>
      <c r="H28" s="191">
        <f t="shared" si="0"/>
        <v>96.225909120528115</v>
      </c>
      <c r="I28" s="184">
        <f t="shared" si="8"/>
        <v>584252</v>
      </c>
      <c r="J28" s="106">
        <v>105000</v>
      </c>
      <c r="K28" s="189">
        <v>445537.56</v>
      </c>
      <c r="L28" s="189">
        <v>427768.1</v>
      </c>
      <c r="M28" s="185">
        <f t="shared" si="2"/>
        <v>96.011680810928709</v>
      </c>
      <c r="N28" s="189">
        <v>446666</v>
      </c>
      <c r="O28" s="189">
        <v>25290</v>
      </c>
      <c r="P28" s="189">
        <v>25290</v>
      </c>
      <c r="Q28" s="189">
        <v>25290</v>
      </c>
      <c r="R28" s="185">
        <f t="shared" si="4"/>
        <v>100</v>
      </c>
      <c r="S28" s="189">
        <v>137586</v>
      </c>
      <c r="T28" s="192">
        <v>10000</v>
      </c>
      <c r="U28" s="192">
        <v>10000</v>
      </c>
      <c r="V28" s="192">
        <v>0</v>
      </c>
      <c r="W28" s="185">
        <f t="shared" si="6"/>
        <v>0</v>
      </c>
      <c r="X28" s="192"/>
    </row>
    <row r="29" spans="1:24" s="319" customFormat="1" ht="9.75">
      <c r="A29" s="117" t="s">
        <v>50</v>
      </c>
      <c r="B29" s="1160" t="s">
        <v>65</v>
      </c>
      <c r="C29" s="1160"/>
      <c r="D29" s="118" t="s">
        <v>25</v>
      </c>
      <c r="E29" s="184">
        <f t="shared" ref="E29:G31" si="9">SUM(J29,O29)</f>
        <v>3500</v>
      </c>
      <c r="F29" s="184">
        <f t="shared" si="9"/>
        <v>3019</v>
      </c>
      <c r="G29" s="184">
        <f t="shared" si="9"/>
        <v>316</v>
      </c>
      <c r="H29" s="191">
        <f t="shared" si="0"/>
        <v>10.467042066909572</v>
      </c>
      <c r="I29" s="184">
        <f>SUM(N29,S29)</f>
        <v>316</v>
      </c>
      <c r="J29" s="106">
        <v>3500</v>
      </c>
      <c r="K29" s="189">
        <v>3019</v>
      </c>
      <c r="L29" s="189">
        <v>316</v>
      </c>
      <c r="M29" s="185">
        <f t="shared" si="2"/>
        <v>10.467042066909572</v>
      </c>
      <c r="N29" s="189">
        <v>316</v>
      </c>
      <c r="O29" s="189"/>
      <c r="P29" s="189"/>
      <c r="Q29" s="189"/>
      <c r="R29" s="185"/>
      <c r="S29" s="189"/>
      <c r="T29" s="192"/>
      <c r="U29" s="192"/>
      <c r="V29" s="192"/>
      <c r="W29" s="185"/>
      <c r="X29" s="192"/>
    </row>
    <row r="30" spans="1:24" s="315" customFormat="1" ht="9.75">
      <c r="A30" s="117" t="s">
        <v>52</v>
      </c>
      <c r="B30" s="260" t="s">
        <v>51</v>
      </c>
      <c r="C30" s="260"/>
      <c r="D30" s="118" t="s">
        <v>25</v>
      </c>
      <c r="E30" s="184">
        <f t="shared" si="9"/>
        <v>0</v>
      </c>
      <c r="F30" s="184">
        <f t="shared" si="9"/>
        <v>0</v>
      </c>
      <c r="G30" s="184">
        <f t="shared" si="9"/>
        <v>0</v>
      </c>
      <c r="H30" s="191"/>
      <c r="I30" s="184">
        <f>SUM(N30,S30)</f>
        <v>0</v>
      </c>
      <c r="J30" s="106"/>
      <c r="K30" s="189"/>
      <c r="L30" s="189"/>
      <c r="M30" s="185"/>
      <c r="N30" s="189"/>
      <c r="O30" s="189"/>
      <c r="P30" s="189"/>
      <c r="Q30" s="189"/>
      <c r="R30" s="185"/>
      <c r="S30" s="189"/>
      <c r="T30" s="192"/>
      <c r="U30" s="192"/>
      <c r="V30" s="192"/>
      <c r="W30" s="185"/>
      <c r="X30" s="192"/>
    </row>
    <row r="31" spans="1:24" s="321" customFormat="1" ht="9.75">
      <c r="A31" s="117" t="s">
        <v>53</v>
      </c>
      <c r="B31" s="187" t="s">
        <v>69</v>
      </c>
      <c r="C31" s="187"/>
      <c r="D31" s="118" t="s">
        <v>25</v>
      </c>
      <c r="E31" s="184">
        <f t="shared" si="9"/>
        <v>0</v>
      </c>
      <c r="F31" s="184">
        <f t="shared" si="9"/>
        <v>0</v>
      </c>
      <c r="G31" s="184">
        <f t="shared" si="9"/>
        <v>0</v>
      </c>
      <c r="H31" s="191"/>
      <c r="I31" s="184">
        <f>SUM(N31,S31)</f>
        <v>0</v>
      </c>
      <c r="J31" s="106"/>
      <c r="K31" s="193"/>
      <c r="L31" s="193"/>
      <c r="M31" s="185"/>
      <c r="N31" s="193"/>
      <c r="O31" s="193"/>
      <c r="P31" s="193"/>
      <c r="Q31" s="193"/>
      <c r="R31" s="185"/>
      <c r="S31" s="193"/>
      <c r="T31" s="194"/>
      <c r="U31" s="194"/>
      <c r="V31" s="194"/>
      <c r="W31" s="185"/>
      <c r="X31" s="194"/>
    </row>
    <row r="32" spans="1:24" s="321" customFormat="1" ht="9.75">
      <c r="A32" s="105" t="s">
        <v>54</v>
      </c>
      <c r="B32" s="264" t="s">
        <v>70</v>
      </c>
      <c r="C32" s="264"/>
      <c r="D32" s="118" t="s">
        <v>25</v>
      </c>
      <c r="E32" s="184">
        <f>SUM(J32,O32)</f>
        <v>0</v>
      </c>
      <c r="F32" s="184">
        <f>SUM(K32,P32)</f>
        <v>0</v>
      </c>
      <c r="G32" s="184">
        <f>SUM(L32,Q32)</f>
        <v>0</v>
      </c>
      <c r="H32" s="191"/>
      <c r="I32" s="184">
        <f>SUM(N32,S32)</f>
        <v>0</v>
      </c>
      <c r="J32" s="108"/>
      <c r="K32" s="194"/>
      <c r="L32" s="194"/>
      <c r="M32" s="185"/>
      <c r="N32" s="194"/>
      <c r="O32" s="194"/>
      <c r="P32" s="194"/>
      <c r="Q32" s="194"/>
      <c r="R32" s="185"/>
      <c r="S32" s="194"/>
      <c r="T32" s="194"/>
      <c r="U32" s="194"/>
      <c r="V32" s="194"/>
      <c r="W32" s="185"/>
      <c r="X32" s="194"/>
    </row>
    <row r="33" spans="1:24" s="321" customFormat="1" ht="9.75">
      <c r="A33" s="116" t="s">
        <v>55</v>
      </c>
      <c r="B33" s="263" t="s">
        <v>56</v>
      </c>
      <c r="C33" s="263"/>
      <c r="D33" s="118" t="s">
        <v>25</v>
      </c>
      <c r="E33" s="181">
        <f>E6-E11</f>
        <v>0</v>
      </c>
      <c r="F33" s="181">
        <f t="shared" ref="F33:G33" si="10">F6-F11</f>
        <v>0</v>
      </c>
      <c r="G33" s="181">
        <f t="shared" si="10"/>
        <v>63520.550000000745</v>
      </c>
      <c r="H33" s="195"/>
      <c r="I33" s="181">
        <v>182275</v>
      </c>
      <c r="J33" s="181">
        <f t="shared" ref="J33:L33" si="11">J6-J11</f>
        <v>0</v>
      </c>
      <c r="K33" s="181">
        <f t="shared" si="11"/>
        <v>0</v>
      </c>
      <c r="L33" s="181">
        <f t="shared" si="11"/>
        <v>63520.549999999814</v>
      </c>
      <c r="M33" s="180"/>
      <c r="N33" s="181">
        <f t="shared" ref="N33:Q33" si="12">N6-N11</f>
        <v>182275</v>
      </c>
      <c r="O33" s="181">
        <f t="shared" si="12"/>
        <v>0</v>
      </c>
      <c r="P33" s="181">
        <f t="shared" si="12"/>
        <v>0</v>
      </c>
      <c r="Q33" s="181">
        <f t="shared" si="12"/>
        <v>0</v>
      </c>
      <c r="R33" s="180"/>
      <c r="S33" s="181">
        <f t="shared" ref="S33:V33" si="13">S6-S11</f>
        <v>0</v>
      </c>
      <c r="T33" s="181">
        <f t="shared" si="13"/>
        <v>5000</v>
      </c>
      <c r="U33" s="181">
        <f t="shared" si="13"/>
        <v>5000</v>
      </c>
      <c r="V33" s="181">
        <f t="shared" si="13"/>
        <v>0</v>
      </c>
      <c r="W33" s="185">
        <f t="shared" si="6"/>
        <v>0</v>
      </c>
      <c r="X33" s="181">
        <f>X6-X11</f>
        <v>0</v>
      </c>
    </row>
    <row r="34" spans="1:24" s="322" customFormat="1" ht="9.75">
      <c r="A34" s="120" t="s">
        <v>57</v>
      </c>
      <c r="B34" s="1157" t="s">
        <v>237</v>
      </c>
      <c r="C34" s="1157"/>
      <c r="D34" s="109" t="s">
        <v>25</v>
      </c>
      <c r="E34" s="184"/>
      <c r="F34" s="184"/>
      <c r="G34" s="184"/>
      <c r="H34" s="191"/>
      <c r="I34" s="194"/>
      <c r="J34" s="183"/>
      <c r="K34" s="183"/>
      <c r="L34" s="183"/>
      <c r="M34" s="185"/>
      <c r="N34" s="183"/>
      <c r="O34" s="183"/>
      <c r="P34" s="183"/>
      <c r="Q34" s="183"/>
      <c r="R34" s="185"/>
      <c r="S34" s="183"/>
      <c r="T34" s="183"/>
      <c r="U34" s="183"/>
      <c r="V34" s="183"/>
      <c r="W34" s="185"/>
      <c r="X34" s="183"/>
    </row>
    <row r="35" spans="1:24" s="322" customFormat="1" ht="9.75">
      <c r="A35" s="121" t="s">
        <v>58</v>
      </c>
      <c r="B35" s="1156" t="s">
        <v>557</v>
      </c>
      <c r="C35" s="1156"/>
      <c r="D35" s="110" t="s">
        <v>26</v>
      </c>
      <c r="E35" s="112">
        <f t="shared" ref="E35:F37" si="14">J35+O35</f>
        <v>15.768000000000001</v>
      </c>
      <c r="F35" s="112">
        <f t="shared" si="14"/>
        <v>15.768000000000001</v>
      </c>
      <c r="G35" s="112">
        <f t="shared" ref="G35:G37" si="15">SUM(L35,Q35)</f>
        <v>15.768000000000001</v>
      </c>
      <c r="H35" s="191">
        <f t="shared" ref="H35:H37" si="16">G35/F35*100</f>
        <v>100</v>
      </c>
      <c r="I35" s="113">
        <f>N35+S35</f>
        <v>15.77</v>
      </c>
      <c r="J35" s="183"/>
      <c r="K35" s="183"/>
      <c r="L35" s="183"/>
      <c r="M35" s="185"/>
      <c r="N35" s="183"/>
      <c r="O35" s="111">
        <v>15.768000000000001</v>
      </c>
      <c r="P35" s="111">
        <v>15.768000000000001</v>
      </c>
      <c r="Q35" s="111">
        <v>15.768000000000001</v>
      </c>
      <c r="R35" s="185">
        <f t="shared" ref="R35:R37" si="17">Q35/P35*100</f>
        <v>100</v>
      </c>
      <c r="S35" s="171">
        <v>15.77</v>
      </c>
      <c r="T35" s="183"/>
      <c r="U35" s="183"/>
      <c r="V35" s="183"/>
      <c r="W35" s="185"/>
      <c r="X35" s="183"/>
    </row>
    <row r="36" spans="1:24" s="322" customFormat="1" ht="9.75">
      <c r="A36" s="121" t="s">
        <v>59</v>
      </c>
      <c r="B36" s="1316" t="s">
        <v>558</v>
      </c>
      <c r="C36" s="1317"/>
      <c r="D36" s="110" t="s">
        <v>26</v>
      </c>
      <c r="E36" s="112">
        <f t="shared" si="14"/>
        <v>18</v>
      </c>
      <c r="F36" s="112">
        <f t="shared" si="14"/>
        <v>18</v>
      </c>
      <c r="G36" s="112">
        <f t="shared" si="15"/>
        <v>18</v>
      </c>
      <c r="H36" s="191">
        <f t="shared" si="16"/>
        <v>100</v>
      </c>
      <c r="I36" s="113">
        <f>N36+S36</f>
        <v>18</v>
      </c>
      <c r="J36" s="183"/>
      <c r="K36" s="183"/>
      <c r="L36" s="183"/>
      <c r="M36" s="185"/>
      <c r="N36" s="183"/>
      <c r="O36" s="111">
        <v>18</v>
      </c>
      <c r="P36" s="111">
        <v>18</v>
      </c>
      <c r="Q36" s="111">
        <v>18</v>
      </c>
      <c r="R36" s="185">
        <f t="shared" si="17"/>
        <v>100</v>
      </c>
      <c r="S36" s="171">
        <v>18</v>
      </c>
      <c r="T36" s="183"/>
      <c r="U36" s="183"/>
      <c r="V36" s="183"/>
      <c r="W36" s="185"/>
      <c r="X36" s="183"/>
    </row>
    <row r="37" spans="1:24" s="322" customFormat="1" ht="9.75">
      <c r="A37" s="120" t="s">
        <v>240</v>
      </c>
      <c r="B37" s="261" t="s">
        <v>241</v>
      </c>
      <c r="C37" s="261"/>
      <c r="D37" s="109" t="s">
        <v>242</v>
      </c>
      <c r="E37" s="112">
        <f t="shared" si="14"/>
        <v>2</v>
      </c>
      <c r="F37" s="112">
        <f t="shared" si="14"/>
        <v>4</v>
      </c>
      <c r="G37" s="112">
        <f t="shared" si="15"/>
        <v>4</v>
      </c>
      <c r="H37" s="191">
        <f t="shared" si="16"/>
        <v>100</v>
      </c>
      <c r="I37" s="113">
        <f>N37+S37</f>
        <v>2</v>
      </c>
      <c r="J37" s="183"/>
      <c r="K37" s="183"/>
      <c r="L37" s="183"/>
      <c r="M37" s="185"/>
      <c r="N37" s="183"/>
      <c r="O37" s="111">
        <v>2</v>
      </c>
      <c r="P37" s="111">
        <v>4</v>
      </c>
      <c r="Q37" s="111">
        <v>4</v>
      </c>
      <c r="R37" s="185">
        <f t="shared" si="17"/>
        <v>100</v>
      </c>
      <c r="S37" s="171">
        <v>2</v>
      </c>
      <c r="T37" s="183"/>
      <c r="U37" s="183"/>
      <c r="V37" s="183"/>
      <c r="W37" s="185"/>
      <c r="X37" s="183"/>
    </row>
  </sheetData>
  <mergeCells count="39">
    <mergeCell ref="B16:C16"/>
    <mergeCell ref="B18:C18"/>
    <mergeCell ref="B19:C19"/>
    <mergeCell ref="B34:C34"/>
    <mergeCell ref="B20:C20"/>
    <mergeCell ref="B21:C21"/>
    <mergeCell ref="B22:C22"/>
    <mergeCell ref="B26:C26"/>
    <mergeCell ref="B29:C29"/>
    <mergeCell ref="B6:C6"/>
    <mergeCell ref="B7:C7"/>
    <mergeCell ref="B8:C8"/>
    <mergeCell ref="E4:E5"/>
    <mergeCell ref="B15:C15"/>
    <mergeCell ref="O3:S3"/>
    <mergeCell ref="F4:H4"/>
    <mergeCell ref="S4:S5"/>
    <mergeCell ref="I4:I5"/>
    <mergeCell ref="J3:N3"/>
    <mergeCell ref="J4:J5"/>
    <mergeCell ref="E3:I3"/>
    <mergeCell ref="O4:O5"/>
    <mergeCell ref="K4:M4"/>
    <mergeCell ref="B35:C35"/>
    <mergeCell ref="B36:C36"/>
    <mergeCell ref="A1:X1"/>
    <mergeCell ref="B10:C10"/>
    <mergeCell ref="B11:C11"/>
    <mergeCell ref="B12:C12"/>
    <mergeCell ref="B13:C13"/>
    <mergeCell ref="T4:T5"/>
    <mergeCell ref="U4:W4"/>
    <mergeCell ref="X4:X5"/>
    <mergeCell ref="T3:X3"/>
    <mergeCell ref="A3:A5"/>
    <mergeCell ref="B3:C5"/>
    <mergeCell ref="D3:D5"/>
    <mergeCell ref="P4:R4"/>
    <mergeCell ref="N4:N5"/>
  </mergeCells>
  <pageMargins left="0.23622047244094491" right="0.23622047244094491" top="0.74803149606299213" bottom="0.74803149606299213" header="0.31496062992125984" footer="0.31496062992125984"/>
  <pageSetup paperSize="9" scale="97" firstPageNumber="140"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zoomScaleNormal="100" workbookViewId="0">
      <selection sqref="A1:XFD1048576"/>
    </sheetView>
  </sheetViews>
  <sheetFormatPr defaultColWidth="16" defaultRowHeight="12.75"/>
  <cols>
    <col min="1" max="1" width="58" style="14" customWidth="1"/>
    <col min="2" max="2" width="33.5" style="14" customWidth="1"/>
    <col min="3" max="5" width="25.75" style="14" customWidth="1"/>
    <col min="6" max="6" width="22.75" style="14" customWidth="1"/>
    <col min="7" max="16384" width="16" style="14"/>
  </cols>
  <sheetData>
    <row r="1" spans="1:11" s="277" customFormat="1" ht="18.75">
      <c r="A1" s="401" t="s">
        <v>559</v>
      </c>
      <c r="B1" s="401"/>
      <c r="C1" s="401"/>
      <c r="D1" s="401"/>
      <c r="E1" s="401"/>
      <c r="F1" s="401"/>
    </row>
    <row r="3" spans="1:11" s="281" customFormat="1" ht="10.5">
      <c r="A3" s="1189" t="s">
        <v>412</v>
      </c>
      <c r="B3" s="1189"/>
      <c r="C3" s="1189"/>
      <c r="D3" s="1189"/>
      <c r="E3" s="1189"/>
      <c r="F3" s="1189"/>
      <c r="G3" s="1189"/>
      <c r="H3" s="1189"/>
      <c r="I3" s="1189"/>
    </row>
    <row r="4" spans="1:11" s="2" customFormat="1" ht="11.25"/>
    <row r="5" spans="1:11" s="282" customFormat="1" ht="9.75">
      <c r="A5" s="1197" t="s">
        <v>74</v>
      </c>
      <c r="B5" s="1198"/>
      <c r="C5" s="271" t="s">
        <v>25</v>
      </c>
      <c r="D5" s="1193" t="s">
        <v>413</v>
      </c>
      <c r="E5" s="1193"/>
      <c r="F5" s="1193"/>
      <c r="G5" s="1193"/>
      <c r="H5" s="1193"/>
      <c r="I5" s="1193"/>
    </row>
    <row r="6" spans="1:11" s="2" customFormat="1" ht="15" customHeight="1">
      <c r="A6" s="1213" t="s">
        <v>414</v>
      </c>
      <c r="B6" s="1213"/>
      <c r="C6" s="16">
        <f>SUM(C7:C9)</f>
        <v>63520.55</v>
      </c>
      <c r="D6" s="1207"/>
      <c r="E6" s="1208"/>
      <c r="F6" s="1208"/>
      <c r="G6" s="1208"/>
      <c r="H6" s="1208"/>
      <c r="I6" s="1209"/>
    </row>
    <row r="7" spans="1:11" s="2" customFormat="1" ht="43.5" customHeight="1">
      <c r="A7" s="1199" t="s">
        <v>75</v>
      </c>
      <c r="B7" s="1200"/>
      <c r="C7" s="17">
        <v>63520.55</v>
      </c>
      <c r="D7" s="1205" t="s">
        <v>560</v>
      </c>
      <c r="E7" s="1205"/>
      <c r="F7" s="1205"/>
      <c r="G7" s="1205"/>
      <c r="H7" s="1205"/>
      <c r="I7" s="1206"/>
      <c r="K7" s="2">
        <v>0</v>
      </c>
    </row>
    <row r="8" spans="1:11" s="281" customFormat="1" ht="23.25" customHeight="1">
      <c r="A8" s="1201" t="s">
        <v>76</v>
      </c>
      <c r="B8" s="1202"/>
      <c r="C8" s="18">
        <v>0</v>
      </c>
      <c r="D8" s="1205" t="s">
        <v>561</v>
      </c>
      <c r="E8" s="1205"/>
      <c r="F8" s="1205"/>
      <c r="G8" s="1205"/>
      <c r="H8" s="1205"/>
      <c r="I8" s="1206"/>
    </row>
    <row r="9" spans="1:11" s="281" customFormat="1" ht="15" customHeight="1">
      <c r="A9" s="1203" t="s">
        <v>77</v>
      </c>
      <c r="B9" s="1204"/>
      <c r="C9" s="62">
        <v>0</v>
      </c>
      <c r="D9" s="1210"/>
      <c r="E9" s="1211"/>
      <c r="F9" s="1211"/>
      <c r="G9" s="1211"/>
      <c r="H9" s="1211"/>
      <c r="I9" s="1212"/>
    </row>
    <row r="10" spans="1:11" s="2" customFormat="1" ht="11.25">
      <c r="C10" s="19"/>
    </row>
    <row r="11" spans="1:11" s="2" customFormat="1" ht="11.25">
      <c r="A11" s="1189" t="s">
        <v>419</v>
      </c>
      <c r="B11" s="1189"/>
      <c r="C11" s="1189"/>
      <c r="D11" s="1189"/>
      <c r="E11" s="1189"/>
      <c r="F11" s="1189"/>
      <c r="G11" s="1189"/>
      <c r="H11" s="1189"/>
      <c r="I11" s="1189"/>
    </row>
    <row r="12" spans="1:11" s="2" customFormat="1" ht="11.25">
      <c r="C12" s="19"/>
      <c r="D12" s="20"/>
      <c r="E12" s="20"/>
      <c r="F12" s="20"/>
      <c r="G12" s="20"/>
      <c r="H12" s="20"/>
      <c r="I12" s="20"/>
    </row>
    <row r="13" spans="1:11" s="283" customFormat="1" ht="9.75">
      <c r="A13" s="271" t="s">
        <v>74</v>
      </c>
      <c r="B13" s="271" t="s">
        <v>78</v>
      </c>
      <c r="C13" s="271" t="s">
        <v>25</v>
      </c>
      <c r="D13" s="21"/>
      <c r="E13" s="21"/>
      <c r="F13" s="21"/>
      <c r="G13" s="21"/>
      <c r="H13" s="21"/>
      <c r="I13" s="21"/>
    </row>
    <row r="14" spans="1:11" s="2" customFormat="1" ht="15" customHeight="1">
      <c r="A14" s="63" t="s">
        <v>79</v>
      </c>
      <c r="B14" s="4"/>
      <c r="C14" s="64"/>
      <c r="D14" s="22"/>
      <c r="E14" s="22"/>
      <c r="F14" s="22"/>
      <c r="G14" s="22"/>
      <c r="H14" s="22"/>
      <c r="I14" s="22"/>
    </row>
    <row r="15" spans="1:11" s="2" customFormat="1" ht="15" customHeight="1">
      <c r="A15" s="1190" t="s">
        <v>80</v>
      </c>
      <c r="B15" s="23" t="s">
        <v>562</v>
      </c>
      <c r="C15" s="65">
        <v>0</v>
      </c>
      <c r="D15" s="22"/>
      <c r="E15" s="22"/>
      <c r="F15" s="22"/>
      <c r="G15" s="22"/>
      <c r="H15" s="22"/>
      <c r="I15" s="22"/>
    </row>
    <row r="16" spans="1:11" s="2" customFormat="1" ht="15" customHeight="1">
      <c r="A16" s="1191"/>
      <c r="B16" s="5" t="s">
        <v>81</v>
      </c>
      <c r="C16" s="66">
        <v>53520.55</v>
      </c>
      <c r="D16" s="1340" t="s">
        <v>563</v>
      </c>
      <c r="E16" s="1341"/>
      <c r="F16" s="1341"/>
      <c r="G16" s="1341"/>
      <c r="H16" s="1341"/>
      <c r="I16" s="1341"/>
    </row>
    <row r="17" spans="1:9" s="2" customFormat="1" ht="15" customHeight="1">
      <c r="A17" s="1192"/>
      <c r="B17" s="6" t="s">
        <v>82</v>
      </c>
      <c r="C17" s="67">
        <v>10000</v>
      </c>
      <c r="D17" s="1342" t="s">
        <v>564</v>
      </c>
      <c r="E17" s="1343"/>
      <c r="F17" s="1343"/>
      <c r="G17" s="1343"/>
      <c r="H17" s="1343"/>
      <c r="I17" s="1343"/>
    </row>
    <row r="18" spans="1:9" s="2" customFormat="1" ht="15" customHeight="1">
      <c r="A18" s="275" t="s">
        <v>414</v>
      </c>
      <c r="B18" s="7"/>
      <c r="C18" s="26">
        <f>SUM(C14:C17)</f>
        <v>63520.55</v>
      </c>
      <c r="D18" s="27"/>
      <c r="E18" s="27"/>
      <c r="F18" s="27"/>
      <c r="G18" s="27"/>
      <c r="H18" s="27"/>
      <c r="I18" s="27"/>
    </row>
    <row r="19" spans="1:9" s="29" customFormat="1" ht="26.25" customHeight="1">
      <c r="A19" s="28"/>
      <c r="C19" s="30"/>
      <c r="D19" s="31"/>
      <c r="E19" s="31"/>
      <c r="F19" s="31"/>
      <c r="G19" s="31"/>
      <c r="H19" s="31"/>
      <c r="I19" s="31"/>
    </row>
    <row r="20" spans="1:9" s="2" customFormat="1" ht="11.25">
      <c r="A20" s="1189" t="s">
        <v>420</v>
      </c>
      <c r="B20" s="1189"/>
      <c r="C20" s="1189"/>
      <c r="D20" s="1189"/>
      <c r="E20" s="1189"/>
      <c r="F20" s="1189"/>
      <c r="G20" s="1189"/>
      <c r="H20" s="1189"/>
      <c r="I20" s="1189"/>
    </row>
    <row r="21" spans="1:9" s="2" customFormat="1" ht="11.25">
      <c r="C21" s="19"/>
    </row>
    <row r="22" spans="1:9" s="284" customFormat="1" ht="9.75">
      <c r="A22" s="271" t="s">
        <v>78</v>
      </c>
      <c r="B22" s="271" t="s">
        <v>421</v>
      </c>
      <c r="C22" s="270" t="s">
        <v>422</v>
      </c>
      <c r="D22" s="271" t="s">
        <v>423</v>
      </c>
      <c r="E22" s="271" t="s">
        <v>424</v>
      </c>
      <c r="F22" s="1193" t="s">
        <v>425</v>
      </c>
      <c r="G22" s="1193"/>
      <c r="H22" s="1193"/>
      <c r="I22" s="1193"/>
    </row>
    <row r="23" spans="1:9" s="2" customFormat="1" ht="37.5" customHeight="1">
      <c r="A23" s="68" t="s">
        <v>83</v>
      </c>
      <c r="B23" s="32">
        <v>412769.72</v>
      </c>
      <c r="C23" s="32">
        <v>497434.3</v>
      </c>
      <c r="D23" s="32">
        <v>177204</v>
      </c>
      <c r="E23" s="32">
        <f>B23+C23-D23</f>
        <v>733000.02</v>
      </c>
      <c r="F23" s="1194" t="s">
        <v>565</v>
      </c>
      <c r="G23" s="1195"/>
      <c r="H23" s="1195"/>
      <c r="I23" s="1196"/>
    </row>
    <row r="24" spans="1:9" s="2" customFormat="1" ht="31.5" customHeight="1">
      <c r="A24" s="69" t="s">
        <v>84</v>
      </c>
      <c r="B24" s="33">
        <v>31903</v>
      </c>
      <c r="C24" s="33">
        <v>191409</v>
      </c>
      <c r="D24" s="33">
        <v>183288</v>
      </c>
      <c r="E24" s="33">
        <f t="shared" ref="E24:E26" si="0">B24+C24-D24</f>
        <v>40024</v>
      </c>
      <c r="F24" s="1183" t="s">
        <v>566</v>
      </c>
      <c r="G24" s="1184"/>
      <c r="H24" s="1184"/>
      <c r="I24" s="1185"/>
    </row>
    <row r="25" spans="1:9" s="2" customFormat="1" ht="31.5" customHeight="1">
      <c r="A25" s="69" t="s">
        <v>82</v>
      </c>
      <c r="B25" s="33">
        <v>53000</v>
      </c>
      <c r="C25" s="33">
        <v>17000</v>
      </c>
      <c r="D25" s="33">
        <v>0</v>
      </c>
      <c r="E25" s="33">
        <f t="shared" si="0"/>
        <v>70000</v>
      </c>
      <c r="F25" s="1183" t="s">
        <v>564</v>
      </c>
      <c r="G25" s="1184"/>
      <c r="H25" s="1184"/>
      <c r="I25" s="1185"/>
    </row>
    <row r="26" spans="1:9" s="2" customFormat="1" ht="31.5" customHeight="1">
      <c r="A26" s="70" t="s">
        <v>85</v>
      </c>
      <c r="B26" s="34">
        <v>115015.02</v>
      </c>
      <c r="C26" s="34">
        <v>132956</v>
      </c>
      <c r="D26" s="34">
        <v>112305</v>
      </c>
      <c r="E26" s="33">
        <f t="shared" si="0"/>
        <v>135666.02000000002</v>
      </c>
      <c r="F26" s="1186" t="s">
        <v>567</v>
      </c>
      <c r="G26" s="1187"/>
      <c r="H26" s="1187"/>
      <c r="I26" s="1188"/>
    </row>
    <row r="27" spans="1:9" s="281" customFormat="1" ht="10.5">
      <c r="A27" s="3" t="s">
        <v>34</v>
      </c>
      <c r="B27" s="16">
        <f>SUM(B23:B26)</f>
        <v>612687.74</v>
      </c>
      <c r="C27" s="16">
        <f t="shared" ref="C27:E27" si="1">SUM(C23:C26)</f>
        <v>838799.3</v>
      </c>
      <c r="D27" s="16">
        <f t="shared" si="1"/>
        <v>472797</v>
      </c>
      <c r="E27" s="16">
        <f t="shared" si="1"/>
        <v>978690.04</v>
      </c>
      <c r="F27" s="1214"/>
      <c r="G27" s="1214"/>
      <c r="H27" s="1214"/>
      <c r="I27" s="1214"/>
    </row>
    <row r="28" spans="1:9" s="2" customFormat="1" ht="11.25">
      <c r="C28" s="19"/>
    </row>
    <row r="29" spans="1:9" s="2" customFormat="1" ht="11.25">
      <c r="A29" s="1189" t="s">
        <v>430</v>
      </c>
      <c r="B29" s="1189"/>
      <c r="C29" s="1189"/>
      <c r="D29" s="1189"/>
      <c r="E29" s="1189"/>
      <c r="F29" s="1189"/>
      <c r="G29" s="1189"/>
      <c r="H29" s="1189"/>
      <c r="I29" s="1189"/>
    </row>
    <row r="30" spans="1:9" s="2" customFormat="1" ht="11.25">
      <c r="C30" s="19"/>
    </row>
    <row r="31" spans="1:9" s="2" customFormat="1" ht="11.25">
      <c r="A31" s="271" t="s">
        <v>86</v>
      </c>
      <c r="B31" s="271" t="s">
        <v>25</v>
      </c>
      <c r="C31" s="270" t="s">
        <v>87</v>
      </c>
      <c r="D31" s="1193" t="s">
        <v>88</v>
      </c>
      <c r="E31" s="1193"/>
      <c r="F31" s="1193"/>
      <c r="G31" s="1193"/>
      <c r="H31" s="1193"/>
      <c r="I31" s="1193"/>
    </row>
    <row r="32" spans="1:9" s="2" customFormat="1" ht="15" customHeight="1">
      <c r="A32" s="402" t="s">
        <v>568</v>
      </c>
      <c r="B32" s="403"/>
      <c r="C32" s="404"/>
      <c r="D32" s="1215"/>
      <c r="E32" s="1216"/>
      <c r="F32" s="1216"/>
      <c r="G32" s="1216"/>
      <c r="H32" s="1216"/>
      <c r="I32" s="1217"/>
    </row>
    <row r="33" spans="1:9" s="281" customFormat="1" ht="11.25">
      <c r="A33" s="84" t="s">
        <v>34</v>
      </c>
      <c r="B33" s="85">
        <f>SUM(B32:B32)</f>
        <v>0</v>
      </c>
      <c r="C33" s="1224"/>
      <c r="D33" s="1224"/>
      <c r="E33" s="1224"/>
      <c r="F33" s="1224"/>
      <c r="G33" s="1224"/>
      <c r="H33" s="1224"/>
      <c r="I33" s="1225"/>
    </row>
    <row r="34" spans="1:9" s="2" customFormat="1" ht="11.25">
      <c r="C34" s="19"/>
    </row>
    <row r="35" spans="1:9" s="2" customFormat="1" ht="11.25">
      <c r="A35" s="1189" t="s">
        <v>431</v>
      </c>
      <c r="B35" s="1189"/>
      <c r="C35" s="1189"/>
      <c r="D35" s="1189"/>
      <c r="E35" s="1189"/>
      <c r="F35" s="1189"/>
      <c r="G35" s="1189"/>
      <c r="H35" s="1189"/>
      <c r="I35" s="1189"/>
    </row>
    <row r="36" spans="1:9" s="2" customFormat="1" ht="11.25">
      <c r="C36" s="19"/>
    </row>
    <row r="37" spans="1:9" s="2" customFormat="1" ht="11.25">
      <c r="A37" s="271" t="s">
        <v>86</v>
      </c>
      <c r="B37" s="271" t="s">
        <v>25</v>
      </c>
      <c r="C37" s="270" t="s">
        <v>87</v>
      </c>
      <c r="D37" s="1193" t="s">
        <v>88</v>
      </c>
      <c r="E37" s="1193"/>
      <c r="F37" s="1193"/>
      <c r="G37" s="1193"/>
      <c r="H37" s="1193"/>
      <c r="I37" s="1193"/>
    </row>
    <row r="38" spans="1:9" s="2" customFormat="1" ht="15" customHeight="1">
      <c r="A38" s="402" t="s">
        <v>569</v>
      </c>
      <c r="B38" s="32"/>
      <c r="C38" s="8"/>
      <c r="D38" s="1226"/>
      <c r="E38" s="1227"/>
      <c r="F38" s="1227"/>
      <c r="G38" s="1227"/>
      <c r="H38" s="1227"/>
      <c r="I38" s="1228"/>
    </row>
    <row r="39" spans="1:9" s="281" customFormat="1" ht="10.5">
      <c r="A39" s="3" t="s">
        <v>34</v>
      </c>
      <c r="B39" s="16">
        <f>SUM(B38:B38)</f>
        <v>0</v>
      </c>
      <c r="C39" s="1236"/>
      <c r="D39" s="1237"/>
      <c r="E39" s="1237"/>
      <c r="F39" s="1237"/>
      <c r="G39" s="1237"/>
      <c r="H39" s="1237"/>
      <c r="I39" s="1237"/>
    </row>
    <row r="40" spans="1:9" s="2" customFormat="1" ht="11.25">
      <c r="C40" s="19"/>
    </row>
    <row r="41" spans="1:9" s="2" customFormat="1" ht="11.25">
      <c r="A41" s="1189" t="s">
        <v>432</v>
      </c>
      <c r="B41" s="1189"/>
      <c r="C41" s="1189"/>
      <c r="D41" s="1189"/>
      <c r="E41" s="1189"/>
      <c r="F41" s="1189"/>
      <c r="G41" s="1189"/>
      <c r="H41" s="1189"/>
      <c r="I41" s="1189"/>
    </row>
    <row r="42" spans="1:9" s="2" customFormat="1" ht="11.25">
      <c r="C42" s="19"/>
    </row>
    <row r="43" spans="1:9" s="2" customFormat="1" ht="11.25">
      <c r="A43" s="271" t="s">
        <v>25</v>
      </c>
      <c r="B43" s="270" t="s">
        <v>433</v>
      </c>
      <c r="C43" s="1238" t="s">
        <v>89</v>
      </c>
      <c r="D43" s="1238"/>
      <c r="E43" s="1238"/>
      <c r="F43" s="1238"/>
      <c r="G43" s="1238"/>
      <c r="H43" s="1238"/>
      <c r="I43" s="1238"/>
    </row>
    <row r="44" spans="1:9" s="2" customFormat="1" ht="11.25">
      <c r="A44" s="87">
        <v>7500</v>
      </c>
      <c r="B44" s="36">
        <v>0</v>
      </c>
      <c r="C44" s="1323" t="s">
        <v>570</v>
      </c>
      <c r="D44" s="1323"/>
      <c r="E44" s="1323"/>
      <c r="F44" s="1323"/>
      <c r="G44" s="1323"/>
      <c r="H44" s="1323"/>
      <c r="I44" s="1324"/>
    </row>
    <row r="45" spans="1:9" s="2" customFormat="1" ht="10.15" customHeight="1">
      <c r="A45" s="71">
        <v>6750</v>
      </c>
      <c r="B45" s="33">
        <v>0</v>
      </c>
      <c r="C45" s="1241"/>
      <c r="D45" s="1242"/>
      <c r="E45" s="1242"/>
      <c r="F45" s="1242"/>
      <c r="G45" s="1242"/>
      <c r="H45" s="1242"/>
      <c r="I45" s="1243"/>
    </row>
    <row r="46" spans="1:9" s="2" customFormat="1" ht="11.25">
      <c r="A46" s="88"/>
      <c r="B46" s="55"/>
      <c r="C46" s="1231"/>
      <c r="D46" s="1231"/>
      <c r="E46" s="1231"/>
      <c r="F46" s="1231"/>
      <c r="G46" s="1231"/>
      <c r="H46" s="1231"/>
      <c r="I46" s="1232"/>
    </row>
    <row r="47" spans="1:9" s="281" customFormat="1" ht="10.5">
      <c r="A47" s="16">
        <f>A44+A45+A46</f>
        <v>14250</v>
      </c>
      <c r="B47" s="16">
        <f>B44+B45+B46</f>
        <v>0</v>
      </c>
      <c r="C47" s="1233" t="s">
        <v>34</v>
      </c>
      <c r="D47" s="1233"/>
      <c r="E47" s="1233"/>
      <c r="F47" s="1233"/>
      <c r="G47" s="1233"/>
      <c r="H47" s="1233"/>
      <c r="I47" s="1233"/>
    </row>
    <row r="48" spans="1:9" s="2" customFormat="1" ht="15.75" customHeight="1">
      <c r="C48" s="19"/>
    </row>
    <row r="49" spans="1:13" s="2" customFormat="1" ht="11.25">
      <c r="A49" s="1189" t="s">
        <v>434</v>
      </c>
      <c r="B49" s="1189"/>
      <c r="C49" s="1189"/>
      <c r="D49" s="1189"/>
      <c r="E49" s="1189"/>
      <c r="F49" s="1189"/>
      <c r="G49" s="1189"/>
      <c r="H49" s="1189"/>
      <c r="I49" s="1189"/>
    </row>
    <row r="50" spans="1:13" s="2" customFormat="1" ht="11.25">
      <c r="C50" s="19"/>
    </row>
    <row r="51" spans="1:13" s="406" customFormat="1" ht="35.25" customHeight="1">
      <c r="A51" s="1335" t="s">
        <v>191</v>
      </c>
      <c r="B51" s="1336"/>
      <c r="C51" s="405" t="s">
        <v>179</v>
      </c>
      <c r="D51" s="405" t="s">
        <v>118</v>
      </c>
      <c r="E51" s="405" t="s">
        <v>119</v>
      </c>
      <c r="F51" s="405" t="s">
        <v>187</v>
      </c>
      <c r="G51" s="405" t="s">
        <v>180</v>
      </c>
    </row>
    <row r="52" spans="1:13" s="410" customFormat="1" ht="65.25" customHeight="1">
      <c r="A52" s="1337" t="s">
        <v>571</v>
      </c>
      <c r="B52" s="1338"/>
      <c r="C52" s="407">
        <v>672</v>
      </c>
      <c r="D52" s="408">
        <v>400000</v>
      </c>
      <c r="E52" s="408" t="s">
        <v>572</v>
      </c>
      <c r="F52" s="409">
        <v>44250</v>
      </c>
      <c r="G52" s="409">
        <v>44286</v>
      </c>
    </row>
    <row r="53" spans="1:13" s="410" customFormat="1" ht="35.25" customHeight="1">
      <c r="A53" s="1327" t="s">
        <v>573</v>
      </c>
      <c r="B53" s="1339"/>
      <c r="C53" s="411" t="s">
        <v>145</v>
      </c>
      <c r="D53" s="412"/>
      <c r="E53" s="412">
        <v>400000</v>
      </c>
      <c r="F53" s="413">
        <v>44250</v>
      </c>
      <c r="G53" s="413">
        <v>44286</v>
      </c>
    </row>
    <row r="54" spans="1:13" s="410" customFormat="1" ht="72.75" customHeight="1">
      <c r="A54" s="1346" t="s">
        <v>574</v>
      </c>
      <c r="B54" s="1347"/>
      <c r="C54" s="414" t="s">
        <v>575</v>
      </c>
      <c r="D54" s="415"/>
      <c r="E54" s="415">
        <v>-2657</v>
      </c>
      <c r="F54" s="416">
        <v>44222</v>
      </c>
      <c r="G54" s="416">
        <v>44286</v>
      </c>
      <c r="M54" s="410" t="s">
        <v>576</v>
      </c>
    </row>
    <row r="55" spans="1:13" s="410" customFormat="1" ht="35.25" customHeight="1">
      <c r="A55" s="1327" t="s">
        <v>577</v>
      </c>
      <c r="B55" s="1330"/>
      <c r="C55" s="417" t="s">
        <v>142</v>
      </c>
      <c r="D55" s="418"/>
      <c r="E55" s="418">
        <v>2657</v>
      </c>
      <c r="F55" s="419">
        <v>44222</v>
      </c>
      <c r="G55" s="419">
        <v>44286</v>
      </c>
    </row>
    <row r="56" spans="1:13" s="410" customFormat="1" ht="78" customHeight="1">
      <c r="A56" s="1331" t="s">
        <v>578</v>
      </c>
      <c r="B56" s="1332"/>
      <c r="C56" s="417">
        <v>672</v>
      </c>
      <c r="D56" s="418">
        <v>56255.88</v>
      </c>
      <c r="E56" s="418"/>
      <c r="F56" s="419">
        <v>44068</v>
      </c>
      <c r="G56" s="419">
        <v>44377</v>
      </c>
    </row>
    <row r="57" spans="1:13" s="410" customFormat="1" ht="35.25" customHeight="1">
      <c r="A57" s="1327" t="s">
        <v>579</v>
      </c>
      <c r="B57" s="1328"/>
      <c r="C57" s="417" t="s">
        <v>276</v>
      </c>
      <c r="D57" s="418"/>
      <c r="E57" s="418">
        <v>43291.38</v>
      </c>
      <c r="F57" s="419">
        <v>44068</v>
      </c>
      <c r="G57" s="419">
        <v>44377</v>
      </c>
    </row>
    <row r="58" spans="1:13" s="410" customFormat="1" ht="46.5" customHeight="1">
      <c r="A58" s="1327" t="s">
        <v>580</v>
      </c>
      <c r="B58" s="1348"/>
      <c r="C58" s="417" t="s">
        <v>581</v>
      </c>
      <c r="D58" s="418"/>
      <c r="E58" s="418">
        <v>12964.5</v>
      </c>
      <c r="F58" s="419">
        <v>44433</v>
      </c>
      <c r="G58" s="419">
        <v>44377</v>
      </c>
    </row>
    <row r="59" spans="1:13" s="410" customFormat="1" ht="58.5" customHeight="1">
      <c r="A59" s="1329" t="s">
        <v>582</v>
      </c>
      <c r="B59" s="1330"/>
      <c r="C59" s="417">
        <v>672</v>
      </c>
      <c r="D59" s="418">
        <v>470000</v>
      </c>
      <c r="E59" s="418"/>
      <c r="F59" s="419">
        <v>44379</v>
      </c>
      <c r="G59" s="419">
        <v>44408</v>
      </c>
    </row>
    <row r="60" spans="1:13" s="410" customFormat="1" ht="35.25" customHeight="1">
      <c r="A60" s="1327" t="s">
        <v>583</v>
      </c>
      <c r="B60" s="1328"/>
      <c r="C60" s="417" t="s">
        <v>145</v>
      </c>
      <c r="D60" s="418"/>
      <c r="E60" s="418">
        <v>470000</v>
      </c>
      <c r="F60" s="419">
        <v>44379</v>
      </c>
      <c r="G60" s="419">
        <v>44408</v>
      </c>
    </row>
    <row r="61" spans="1:13" s="410" customFormat="1" ht="69" customHeight="1">
      <c r="A61" s="1331" t="s">
        <v>584</v>
      </c>
      <c r="B61" s="1332"/>
      <c r="C61" s="417">
        <v>672</v>
      </c>
      <c r="D61" s="418">
        <v>549591.68000000005</v>
      </c>
      <c r="E61" s="418"/>
      <c r="F61" s="419">
        <v>44068</v>
      </c>
      <c r="G61" s="419">
        <v>44561</v>
      </c>
    </row>
    <row r="62" spans="1:13" s="410" customFormat="1" ht="50.25" customHeight="1">
      <c r="A62" s="1327" t="s">
        <v>585</v>
      </c>
      <c r="B62" s="1332"/>
      <c r="C62" s="417" t="s">
        <v>276</v>
      </c>
      <c r="D62" s="418"/>
      <c r="E62" s="418">
        <v>178876.72</v>
      </c>
      <c r="F62" s="419">
        <v>44068</v>
      </c>
      <c r="G62" s="419">
        <v>44561</v>
      </c>
    </row>
    <row r="63" spans="1:13" s="410" customFormat="1" ht="50.25" customHeight="1">
      <c r="A63" s="1325" t="s">
        <v>586</v>
      </c>
      <c r="B63" s="1326"/>
      <c r="C63" s="414" t="s">
        <v>275</v>
      </c>
      <c r="D63" s="415"/>
      <c r="E63" s="415">
        <v>30177.4</v>
      </c>
      <c r="F63" s="416">
        <v>44068</v>
      </c>
      <c r="G63" s="416">
        <v>44561</v>
      </c>
    </row>
    <row r="64" spans="1:13" s="410" customFormat="1" ht="58.5" customHeight="1">
      <c r="A64" s="1344" t="s">
        <v>587</v>
      </c>
      <c r="B64" s="1349"/>
      <c r="C64" s="414" t="s">
        <v>173</v>
      </c>
      <c r="D64" s="415"/>
      <c r="E64" s="415">
        <v>340537.56</v>
      </c>
      <c r="F64" s="416">
        <v>44068</v>
      </c>
      <c r="G64" s="416">
        <v>44561</v>
      </c>
    </row>
    <row r="65" spans="1:9" s="410" customFormat="1" ht="50.25" customHeight="1">
      <c r="A65" s="1346" t="s">
        <v>588</v>
      </c>
      <c r="B65" s="1347"/>
      <c r="C65" s="414" t="s">
        <v>277</v>
      </c>
      <c r="D65" s="415"/>
      <c r="E65" s="415">
        <v>-481</v>
      </c>
      <c r="F65" s="416">
        <v>44557</v>
      </c>
      <c r="G65" s="416">
        <v>44561</v>
      </c>
    </row>
    <row r="66" spans="1:9" s="410" customFormat="1" ht="50.25" customHeight="1">
      <c r="A66" s="1346" t="s">
        <v>589</v>
      </c>
      <c r="B66" s="1349"/>
      <c r="C66" s="414">
        <v>513</v>
      </c>
      <c r="D66" s="415"/>
      <c r="E66" s="415">
        <v>481</v>
      </c>
      <c r="F66" s="416">
        <v>44557</v>
      </c>
      <c r="G66" s="416">
        <v>44561</v>
      </c>
    </row>
    <row r="67" spans="1:9" s="410" customFormat="1" ht="71.25" customHeight="1">
      <c r="A67" s="1350" t="s">
        <v>590</v>
      </c>
      <c r="B67" s="1351"/>
      <c r="C67" s="414" t="s">
        <v>299</v>
      </c>
      <c r="D67" s="415">
        <v>-53311</v>
      </c>
      <c r="E67" s="415"/>
      <c r="F67" s="416">
        <v>44557</v>
      </c>
      <c r="G67" s="416">
        <v>44561</v>
      </c>
      <c r="I67" s="420"/>
    </row>
    <row r="68" spans="1:9" s="410" customFormat="1" ht="35.25" customHeight="1">
      <c r="A68" s="1344" t="s">
        <v>591</v>
      </c>
      <c r="B68" s="1345"/>
      <c r="C68" s="414">
        <v>501</v>
      </c>
      <c r="D68" s="415"/>
      <c r="E68" s="415">
        <v>-26311</v>
      </c>
      <c r="F68" s="416">
        <v>44557</v>
      </c>
      <c r="G68" s="416">
        <v>44561</v>
      </c>
    </row>
    <row r="69" spans="1:9" s="410" customFormat="1" ht="48.75" customHeight="1">
      <c r="A69" s="1344" t="s">
        <v>592</v>
      </c>
      <c r="B69" s="1345"/>
      <c r="C69" s="414">
        <v>518</v>
      </c>
      <c r="D69" s="415"/>
      <c r="E69" s="415">
        <v>-27000</v>
      </c>
      <c r="F69" s="416">
        <v>44557</v>
      </c>
      <c r="G69" s="416">
        <v>44561</v>
      </c>
    </row>
    <row r="70" spans="1:9" s="410" customFormat="1" ht="47.25" customHeight="1">
      <c r="A70" s="1344" t="s">
        <v>593</v>
      </c>
      <c r="B70" s="1345"/>
      <c r="C70" s="414">
        <v>542</v>
      </c>
      <c r="D70" s="415"/>
      <c r="E70" s="415">
        <v>2028</v>
      </c>
      <c r="F70" s="416">
        <v>44557</v>
      </c>
      <c r="G70" s="416">
        <v>44561</v>
      </c>
    </row>
    <row r="71" spans="1:9" s="410" customFormat="1" ht="35.25" customHeight="1">
      <c r="A71" s="1352" t="s">
        <v>594</v>
      </c>
      <c r="B71" s="1353"/>
      <c r="C71" s="414">
        <v>649</v>
      </c>
      <c r="D71" s="415">
        <v>2028</v>
      </c>
      <c r="E71" s="415"/>
      <c r="F71" s="416">
        <v>44557</v>
      </c>
      <c r="G71" s="416">
        <v>44561</v>
      </c>
    </row>
    <row r="72" spans="1:9" s="410" customFormat="1" ht="21" customHeight="1">
      <c r="A72" s="1354"/>
      <c r="B72" s="1355"/>
      <c r="C72" s="421"/>
      <c r="D72" s="422"/>
      <c r="E72" s="422"/>
      <c r="F72" s="423"/>
      <c r="G72" s="423"/>
    </row>
    <row r="73" spans="1:9" s="410" customFormat="1" ht="35.25" customHeight="1">
      <c r="A73" s="1356"/>
      <c r="B73" s="1357"/>
      <c r="C73" s="424"/>
      <c r="D73" s="425">
        <v>1424564.56</v>
      </c>
      <c r="E73" s="425">
        <v>1424564.56</v>
      </c>
      <c r="F73" s="1358"/>
      <c r="G73" s="1359"/>
    </row>
    <row r="74" spans="1:9" s="410" customFormat="1" ht="20.25" customHeight="1">
      <c r="A74" s="1360"/>
      <c r="B74" s="1361"/>
      <c r="C74" s="1361"/>
      <c r="D74" s="1361"/>
      <c r="E74" s="1361"/>
      <c r="F74" s="1361"/>
      <c r="G74" s="1362"/>
    </row>
    <row r="75" spans="1:9" s="2" customFormat="1" ht="11.25">
      <c r="A75" s="426"/>
      <c r="B75" s="426"/>
      <c r="C75" s="427"/>
    </row>
    <row r="76" spans="1:9" s="2" customFormat="1" ht="52.5" customHeight="1">
      <c r="A76" s="1363" t="s">
        <v>595</v>
      </c>
      <c r="B76" s="1363"/>
      <c r="C76" s="1363"/>
      <c r="D76" s="37"/>
      <c r="E76" s="38"/>
    </row>
    <row r="77" spans="1:9" s="2" customFormat="1" ht="11.25">
      <c r="A77" s="1261" t="s">
        <v>459</v>
      </c>
      <c r="B77" s="1261"/>
      <c r="C77" s="1261"/>
      <c r="D77" s="1261"/>
      <c r="E77" s="1261"/>
      <c r="F77" s="1261"/>
      <c r="G77" s="1261"/>
      <c r="H77" s="1261"/>
      <c r="I77" s="1261"/>
    </row>
    <row r="78" spans="1:9" s="2" customFormat="1" ht="15.75" customHeight="1">
      <c r="A78" s="281" t="s">
        <v>596</v>
      </c>
    </row>
    <row r="79" spans="1:9" s="2" customFormat="1" ht="119.25" customHeight="1">
      <c r="A79" s="1333" t="s">
        <v>597</v>
      </c>
      <c r="B79" s="1334"/>
      <c r="C79" s="1334"/>
      <c r="D79" s="1334"/>
      <c r="E79" s="1334"/>
      <c r="F79" s="1334"/>
      <c r="G79" s="1334"/>
      <c r="H79" s="1334"/>
      <c r="I79" s="1332"/>
    </row>
    <row r="80" spans="1:9" s="2" customFormat="1" ht="14.25" customHeight="1">
      <c r="A80" s="1364"/>
      <c r="B80" s="1364"/>
      <c r="C80" s="1364"/>
      <c r="D80" s="1364"/>
      <c r="E80" s="1364"/>
      <c r="F80" s="1364"/>
      <c r="G80" s="1364"/>
      <c r="H80" s="1364"/>
      <c r="I80" s="1364"/>
    </row>
    <row r="81" spans="1:9" s="281" customFormat="1" ht="12.75" customHeight="1">
      <c r="A81" s="1189" t="s">
        <v>461</v>
      </c>
      <c r="B81" s="1189"/>
      <c r="C81" s="1189"/>
      <c r="D81" s="1189"/>
      <c r="E81" s="1189"/>
      <c r="F81" s="1189"/>
      <c r="G81" s="1189"/>
      <c r="H81" s="1189"/>
      <c r="I81" s="1189"/>
    </row>
    <row r="82" spans="1:9" s="2" customFormat="1" ht="15.75" customHeight="1">
      <c r="A82" s="281" t="s">
        <v>598</v>
      </c>
    </row>
    <row r="83" spans="1:9" s="2" customFormat="1" ht="64.5" customHeight="1">
      <c r="A83" s="1258" t="s">
        <v>599</v>
      </c>
      <c r="B83" s="1259"/>
      <c r="C83" s="1259"/>
      <c r="D83" s="1259"/>
      <c r="E83" s="1259"/>
      <c r="F83" s="1259"/>
      <c r="G83" s="1259"/>
      <c r="H83" s="1259"/>
      <c r="I83" s="1260"/>
    </row>
    <row r="84" spans="1:9" s="2" customFormat="1" ht="108" customHeight="1">
      <c r="A84" s="1258" t="s">
        <v>600</v>
      </c>
      <c r="B84" s="1259"/>
      <c r="C84" s="1259"/>
      <c r="D84" s="1259"/>
      <c r="E84" s="1259"/>
      <c r="F84" s="1259"/>
      <c r="G84" s="1259"/>
      <c r="H84" s="1259"/>
      <c r="I84" s="1260"/>
    </row>
    <row r="85" spans="1:9" s="2" customFormat="1" ht="16.149999999999999" customHeight="1">
      <c r="A85" s="76"/>
      <c r="B85" s="76"/>
      <c r="C85" s="76"/>
      <c r="D85" s="76"/>
      <c r="E85" s="76"/>
      <c r="F85" s="76"/>
      <c r="G85" s="76"/>
      <c r="H85" s="76"/>
      <c r="I85" s="76"/>
    </row>
    <row r="86" spans="1:9">
      <c r="A86" s="2" t="s">
        <v>601</v>
      </c>
    </row>
    <row r="87" spans="1:9">
      <c r="A87" s="2" t="s">
        <v>602</v>
      </c>
    </row>
    <row r="88" spans="1:9">
      <c r="A88" s="2"/>
    </row>
    <row r="89" spans="1:9">
      <c r="A89" s="2" t="s">
        <v>603</v>
      </c>
    </row>
  </sheetData>
  <mergeCells count="69">
    <mergeCell ref="A83:I83"/>
    <mergeCell ref="A84:I84"/>
    <mergeCell ref="A74:G74"/>
    <mergeCell ref="A76:C76"/>
    <mergeCell ref="A77:I77"/>
    <mergeCell ref="A80:I80"/>
    <mergeCell ref="A81:I81"/>
    <mergeCell ref="A70:B70"/>
    <mergeCell ref="A71:B71"/>
    <mergeCell ref="A72:B72"/>
    <mergeCell ref="A73:B73"/>
    <mergeCell ref="F73:G73"/>
    <mergeCell ref="A64:B64"/>
    <mergeCell ref="A65:B65"/>
    <mergeCell ref="A66:B66"/>
    <mergeCell ref="A67:B67"/>
    <mergeCell ref="A69:B69"/>
    <mergeCell ref="A49:I49"/>
    <mergeCell ref="D37:I37"/>
    <mergeCell ref="D38:I38"/>
    <mergeCell ref="C39:I39"/>
    <mergeCell ref="A41:I41"/>
    <mergeCell ref="C46:I46"/>
    <mergeCell ref="A62:B62"/>
    <mergeCell ref="A15:A17"/>
    <mergeCell ref="A79:I79"/>
    <mergeCell ref="A51:B51"/>
    <mergeCell ref="A52:B52"/>
    <mergeCell ref="A53:B53"/>
    <mergeCell ref="D16:I16"/>
    <mergeCell ref="D17:I17"/>
    <mergeCell ref="D32:I32"/>
    <mergeCell ref="A68:B68"/>
    <mergeCell ref="A54:B54"/>
    <mergeCell ref="C45:I45"/>
    <mergeCell ref="A55:B55"/>
    <mergeCell ref="A56:B56"/>
    <mergeCell ref="A58:B58"/>
    <mergeCell ref="C47:I47"/>
    <mergeCell ref="A63:B63"/>
    <mergeCell ref="A20:I20"/>
    <mergeCell ref="F22:I22"/>
    <mergeCell ref="F23:I23"/>
    <mergeCell ref="F24:I24"/>
    <mergeCell ref="F25:I25"/>
    <mergeCell ref="F26:I26"/>
    <mergeCell ref="F27:I27"/>
    <mergeCell ref="D31:I31"/>
    <mergeCell ref="A29:I29"/>
    <mergeCell ref="C33:I33"/>
    <mergeCell ref="A35:I35"/>
    <mergeCell ref="A57:B57"/>
    <mergeCell ref="A59:B59"/>
    <mergeCell ref="A60:B60"/>
    <mergeCell ref="A61:B61"/>
    <mergeCell ref="A3:I3"/>
    <mergeCell ref="A11:I11"/>
    <mergeCell ref="A5:B5"/>
    <mergeCell ref="C43:I43"/>
    <mergeCell ref="C44:I44"/>
    <mergeCell ref="A6:B6"/>
    <mergeCell ref="A7:B7"/>
    <mergeCell ref="A8:B8"/>
    <mergeCell ref="D5:I5"/>
    <mergeCell ref="D6:I6"/>
    <mergeCell ref="D7:I7"/>
    <mergeCell ref="D8:I8"/>
    <mergeCell ref="A9:B9"/>
    <mergeCell ref="D9:I9"/>
  </mergeCells>
  <pageMargins left="0.23622047244094491" right="0.23622047244094491" top="0.74803149606299213" bottom="0.74803149606299213" header="0.31496062992125984" footer="0.31496062992125984"/>
  <pageSetup paperSize="9" scale="76" firstPageNumber="141" fitToHeight="4"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zoomScale="130" zoomScaleNormal="130" workbookViewId="0">
      <selection activeCell="F15" sqref="F15"/>
    </sheetView>
  </sheetViews>
  <sheetFormatPr defaultColWidth="6.5" defaultRowHeight="8.25"/>
  <cols>
    <col min="1" max="1" width="5.5" style="276" customWidth="1"/>
    <col min="2" max="2" width="6.5" style="114" customWidth="1"/>
    <col min="3" max="3" width="45.5" style="114" customWidth="1"/>
    <col min="4" max="4" width="9.5" style="114" customWidth="1"/>
    <col min="5" max="5" width="11" style="114" customWidth="1"/>
    <col min="6" max="6" width="11.75" style="114" customWidth="1"/>
    <col min="7" max="7" width="11" style="114" customWidth="1"/>
    <col min="8" max="8" width="8.75" style="114" customWidth="1"/>
    <col min="9" max="10" width="11" style="114" customWidth="1"/>
    <col min="11" max="11" width="11.5" style="114" customWidth="1"/>
    <col min="12" max="12" width="11" style="114" customWidth="1"/>
    <col min="13" max="13" width="8.75" style="114" customWidth="1"/>
    <col min="14" max="15" width="11" style="114" customWidth="1"/>
    <col min="16" max="16" width="11.5" style="114" customWidth="1"/>
    <col min="17" max="17" width="11" style="114" customWidth="1"/>
    <col min="18" max="18" width="8.75" style="114" customWidth="1"/>
    <col min="19" max="20" width="11" style="114" customWidth="1"/>
    <col min="21" max="21" width="11.5" style="114" customWidth="1"/>
    <col min="22" max="22" width="11" style="114" customWidth="1"/>
    <col min="23" max="23" width="8.75" style="114" customWidth="1"/>
    <col min="24" max="24" width="11" style="114" customWidth="1"/>
    <col min="25" max="16384" width="6.5" style="114"/>
  </cols>
  <sheetData>
    <row r="1" spans="1:24" s="72" customFormat="1" ht="15.75">
      <c r="A1" s="1262" t="s">
        <v>111</v>
      </c>
      <c r="B1" s="1262"/>
      <c r="C1" s="1262"/>
      <c r="D1" s="1262"/>
      <c r="E1" s="1262"/>
      <c r="F1" s="1262"/>
      <c r="G1" s="1262"/>
      <c r="H1" s="1262"/>
      <c r="I1" s="1262"/>
      <c r="J1" s="1262"/>
      <c r="K1" s="1262"/>
      <c r="L1" s="1262"/>
      <c r="M1" s="1262"/>
      <c r="N1" s="1262"/>
      <c r="O1" s="1262"/>
      <c r="P1" s="1262"/>
      <c r="Q1" s="1262"/>
      <c r="R1" s="1262"/>
      <c r="S1" s="1262"/>
      <c r="T1" s="1262"/>
      <c r="U1" s="1262"/>
      <c r="V1" s="1262"/>
      <c r="W1" s="1262"/>
      <c r="X1" s="1262"/>
    </row>
    <row r="2" spans="1:24" ht="9" thickBot="1"/>
    <row r="3" spans="1:24" s="315" customFormat="1" ht="9.75" customHeight="1">
      <c r="A3" s="1161" t="s">
        <v>39</v>
      </c>
      <c r="B3" s="1164" t="s">
        <v>40</v>
      </c>
      <c r="C3" s="1165"/>
      <c r="D3" s="1180" t="s">
        <v>41</v>
      </c>
      <c r="E3" s="1168" t="s">
        <v>34</v>
      </c>
      <c r="F3" s="1169"/>
      <c r="G3" s="1169"/>
      <c r="H3" s="1169"/>
      <c r="I3" s="1170"/>
      <c r="J3" s="1168" t="s">
        <v>38</v>
      </c>
      <c r="K3" s="1169"/>
      <c r="L3" s="1169"/>
      <c r="M3" s="1169"/>
      <c r="N3" s="1170"/>
      <c r="O3" s="1168" t="s">
        <v>42</v>
      </c>
      <c r="P3" s="1169"/>
      <c r="Q3" s="1169"/>
      <c r="R3" s="1169"/>
      <c r="S3" s="1170"/>
      <c r="T3" s="1168" t="s">
        <v>37</v>
      </c>
      <c r="U3" s="1169"/>
      <c r="V3" s="1169"/>
      <c r="W3" s="1169"/>
      <c r="X3" s="1170"/>
    </row>
    <row r="4" spans="1:24" s="316" customFormat="1" ht="9.75" customHeight="1">
      <c r="A4" s="1162"/>
      <c r="B4" s="1166"/>
      <c r="C4" s="1166"/>
      <c r="D4" s="1181"/>
      <c r="E4" s="1175" t="s">
        <v>235</v>
      </c>
      <c r="F4" s="1177" t="s">
        <v>465</v>
      </c>
      <c r="G4" s="1177"/>
      <c r="H4" s="1177"/>
      <c r="I4" s="1178" t="s">
        <v>466</v>
      </c>
      <c r="J4" s="1175" t="s">
        <v>235</v>
      </c>
      <c r="K4" s="1177" t="s">
        <v>465</v>
      </c>
      <c r="L4" s="1177"/>
      <c r="M4" s="1177"/>
      <c r="N4" s="1178" t="s">
        <v>466</v>
      </c>
      <c r="O4" s="1175" t="s">
        <v>235</v>
      </c>
      <c r="P4" s="1177" t="s">
        <v>465</v>
      </c>
      <c r="Q4" s="1177"/>
      <c r="R4" s="1177"/>
      <c r="S4" s="1178" t="s">
        <v>466</v>
      </c>
      <c r="T4" s="1175" t="s">
        <v>235</v>
      </c>
      <c r="U4" s="1177" t="s">
        <v>465</v>
      </c>
      <c r="V4" s="1177"/>
      <c r="W4" s="1177"/>
      <c r="X4" s="1178" t="s">
        <v>466</v>
      </c>
    </row>
    <row r="5" spans="1:24" s="317" customFormat="1" ht="10.5" thickBot="1">
      <c r="A5" s="1163"/>
      <c r="B5" s="1167"/>
      <c r="C5" s="1167"/>
      <c r="D5" s="1182"/>
      <c r="E5" s="1176"/>
      <c r="F5" s="246" t="s">
        <v>97</v>
      </c>
      <c r="G5" s="246" t="s">
        <v>35</v>
      </c>
      <c r="H5" s="246" t="s">
        <v>236</v>
      </c>
      <c r="I5" s="1179"/>
      <c r="J5" s="1176"/>
      <c r="K5" s="246" t="s">
        <v>97</v>
      </c>
      <c r="L5" s="246"/>
      <c r="M5" s="246" t="s">
        <v>236</v>
      </c>
      <c r="N5" s="1179"/>
      <c r="O5" s="1176"/>
      <c r="P5" s="246" t="s">
        <v>97</v>
      </c>
      <c r="Q5" s="246" t="s">
        <v>35</v>
      </c>
      <c r="R5" s="246" t="s">
        <v>236</v>
      </c>
      <c r="S5" s="1179"/>
      <c r="T5" s="1176"/>
      <c r="U5" s="246" t="s">
        <v>97</v>
      </c>
      <c r="V5" s="246" t="s">
        <v>35</v>
      </c>
      <c r="W5" s="246" t="s">
        <v>236</v>
      </c>
      <c r="X5" s="1179"/>
    </row>
    <row r="6" spans="1:24" s="315" customFormat="1" ht="9.75" customHeight="1">
      <c r="A6" s="247" t="s">
        <v>0</v>
      </c>
      <c r="B6" s="1172" t="s">
        <v>1</v>
      </c>
      <c r="C6" s="1172"/>
      <c r="D6" s="248" t="s">
        <v>25</v>
      </c>
      <c r="E6" s="249">
        <f>SUM(E7:E9)</f>
        <v>31645219</v>
      </c>
      <c r="F6" s="250">
        <f>SUM(F7:F9)</f>
        <v>32700137</v>
      </c>
      <c r="G6" s="250">
        <f>SUM(G7:G9)</f>
        <v>32502298.02</v>
      </c>
      <c r="H6" s="251">
        <f t="shared" ref="H6:H29" si="0">G6/F6*100</f>
        <v>99.394990363496021</v>
      </c>
      <c r="I6" s="252">
        <f>SUM(I7:I9)</f>
        <v>30901166</v>
      </c>
      <c r="J6" s="249">
        <f>SUM(J7:J9)</f>
        <v>5575727</v>
      </c>
      <c r="K6" s="250">
        <f t="shared" ref="K6:X6" si="1">SUM(K7:K9)</f>
        <v>6171483</v>
      </c>
      <c r="L6" s="250">
        <f t="shared" si="1"/>
        <v>5973644.29</v>
      </c>
      <c r="M6" s="251">
        <f t="shared" ref="M6:M29" si="2">L6/K6*100</f>
        <v>96.794308434455715</v>
      </c>
      <c r="N6" s="252">
        <f t="shared" si="1"/>
        <v>5954374</v>
      </c>
      <c r="O6" s="249">
        <f t="shared" si="1"/>
        <v>26069492</v>
      </c>
      <c r="P6" s="250">
        <f t="shared" si="1"/>
        <v>26528654</v>
      </c>
      <c r="Q6" s="250">
        <f t="shared" si="1"/>
        <v>26528653.73</v>
      </c>
      <c r="R6" s="251">
        <f t="shared" ref="R6:R28" si="3">Q6/P6*100</f>
        <v>99.999998982232569</v>
      </c>
      <c r="S6" s="252">
        <f t="shared" si="1"/>
        <v>24946792</v>
      </c>
      <c r="T6" s="249">
        <f t="shared" si="1"/>
        <v>5000</v>
      </c>
      <c r="U6" s="250">
        <f t="shared" si="1"/>
        <v>5000</v>
      </c>
      <c r="V6" s="250">
        <f t="shared" si="1"/>
        <v>5000</v>
      </c>
      <c r="W6" s="251">
        <f t="shared" ref="W6:W33" si="4">V6/U6*100</f>
        <v>100</v>
      </c>
      <c r="X6" s="252">
        <f t="shared" si="1"/>
        <v>5000</v>
      </c>
    </row>
    <row r="7" spans="1:24" s="315" customFormat="1" ht="9.75">
      <c r="A7" s="230" t="s">
        <v>2</v>
      </c>
      <c r="B7" s="1160" t="s">
        <v>44</v>
      </c>
      <c r="C7" s="1160"/>
      <c r="D7" s="245" t="s">
        <v>25</v>
      </c>
      <c r="E7" s="198">
        <f t="shared" ref="E7:G10" si="5">SUM(J7,O7)</f>
        <v>2150000</v>
      </c>
      <c r="F7" s="184">
        <f t="shared" si="5"/>
        <v>2183500</v>
      </c>
      <c r="G7" s="184">
        <f t="shared" si="5"/>
        <v>1985661.29</v>
      </c>
      <c r="H7" s="185">
        <f t="shared" si="0"/>
        <v>90.939376688802383</v>
      </c>
      <c r="I7" s="199">
        <v>1534010</v>
      </c>
      <c r="J7" s="203">
        <v>2150000</v>
      </c>
      <c r="K7" s="186">
        <f>2150000+33000+500</f>
        <v>2183500</v>
      </c>
      <c r="L7" s="186">
        <f>1589266+90939.8+305455.49</f>
        <v>1985661.29</v>
      </c>
      <c r="M7" s="185">
        <f t="shared" si="2"/>
        <v>90.939376688802383</v>
      </c>
      <c r="N7" s="204">
        <v>1534010</v>
      </c>
      <c r="O7" s="219">
        <v>0</v>
      </c>
      <c r="P7" s="186">
        <v>0</v>
      </c>
      <c r="Q7" s="186">
        <v>0</v>
      </c>
      <c r="R7" s="185">
        <v>0</v>
      </c>
      <c r="S7" s="204">
        <v>0</v>
      </c>
      <c r="T7" s="219">
        <v>5000</v>
      </c>
      <c r="U7" s="186">
        <v>5000</v>
      </c>
      <c r="V7" s="186">
        <v>5000</v>
      </c>
      <c r="W7" s="185">
        <f t="shared" si="4"/>
        <v>100</v>
      </c>
      <c r="X7" s="204">
        <v>5000</v>
      </c>
    </row>
    <row r="8" spans="1:24" s="315" customFormat="1" ht="9.75">
      <c r="A8" s="231" t="s">
        <v>3</v>
      </c>
      <c r="B8" s="1173" t="s">
        <v>45</v>
      </c>
      <c r="C8" s="1173"/>
      <c r="D8" s="245" t="s">
        <v>25</v>
      </c>
      <c r="E8" s="198">
        <f t="shared" si="5"/>
        <v>0</v>
      </c>
      <c r="F8" s="184">
        <f t="shared" si="5"/>
        <v>0</v>
      </c>
      <c r="G8" s="184">
        <f t="shared" si="5"/>
        <v>0</v>
      </c>
      <c r="H8" s="185">
        <v>0</v>
      </c>
      <c r="I8" s="199">
        <f>SUM(N8,S8)</f>
        <v>0</v>
      </c>
      <c r="J8" s="205">
        <v>0</v>
      </c>
      <c r="K8" s="184">
        <v>0</v>
      </c>
      <c r="L8" s="184">
        <v>0</v>
      </c>
      <c r="M8" s="185">
        <v>0</v>
      </c>
      <c r="N8" s="199">
        <v>0</v>
      </c>
      <c r="O8" s="198">
        <v>0</v>
      </c>
      <c r="P8" s="184">
        <v>0</v>
      </c>
      <c r="Q8" s="184"/>
      <c r="R8" s="185">
        <v>0</v>
      </c>
      <c r="S8" s="199">
        <v>0</v>
      </c>
      <c r="T8" s="198">
        <v>0</v>
      </c>
      <c r="U8" s="184">
        <v>0</v>
      </c>
      <c r="V8" s="184">
        <v>0</v>
      </c>
      <c r="W8" s="185">
        <v>0</v>
      </c>
      <c r="X8" s="199">
        <v>0</v>
      </c>
    </row>
    <row r="9" spans="1:24" s="315" customFormat="1" ht="9.75">
      <c r="A9" s="231" t="s">
        <v>4</v>
      </c>
      <c r="B9" s="187" t="s">
        <v>60</v>
      </c>
      <c r="C9" s="262"/>
      <c r="D9" s="245" t="s">
        <v>25</v>
      </c>
      <c r="E9" s="198">
        <f t="shared" si="5"/>
        <v>29495219</v>
      </c>
      <c r="F9" s="184">
        <f t="shared" si="5"/>
        <v>30516637</v>
      </c>
      <c r="G9" s="184">
        <f t="shared" si="5"/>
        <v>30516636.73</v>
      </c>
      <c r="H9" s="185">
        <f t="shared" si="0"/>
        <v>99.999999115236719</v>
      </c>
      <c r="I9" s="199">
        <v>29367156</v>
      </c>
      <c r="J9" s="205">
        <v>3425727</v>
      </c>
      <c r="K9" s="184">
        <v>3987983</v>
      </c>
      <c r="L9" s="184">
        <v>3987983</v>
      </c>
      <c r="M9" s="185">
        <f t="shared" si="2"/>
        <v>100</v>
      </c>
      <c r="N9" s="199">
        <v>4420364</v>
      </c>
      <c r="O9" s="198">
        <v>26069492</v>
      </c>
      <c r="P9" s="184">
        <v>26528654</v>
      </c>
      <c r="Q9" s="184">
        <f>26107924+420729.73</f>
        <v>26528653.73</v>
      </c>
      <c r="R9" s="185">
        <f t="shared" si="3"/>
        <v>99.999998982232569</v>
      </c>
      <c r="S9" s="199">
        <v>24946792</v>
      </c>
      <c r="T9" s="198">
        <v>0</v>
      </c>
      <c r="U9" s="184">
        <v>0</v>
      </c>
      <c r="V9" s="184">
        <v>0</v>
      </c>
      <c r="W9" s="185">
        <v>0</v>
      </c>
      <c r="X9" s="199">
        <v>0</v>
      </c>
    </row>
    <row r="10" spans="1:24" s="315" customFormat="1" ht="9.75">
      <c r="A10" s="229" t="s">
        <v>5</v>
      </c>
      <c r="B10" s="1158" t="s">
        <v>7</v>
      </c>
      <c r="C10" s="1158"/>
      <c r="D10" s="245" t="s">
        <v>25</v>
      </c>
      <c r="E10" s="200">
        <f t="shared" si="5"/>
        <v>0</v>
      </c>
      <c r="F10" s="182">
        <f t="shared" si="5"/>
        <v>0</v>
      </c>
      <c r="G10" s="182">
        <f t="shared" si="5"/>
        <v>0</v>
      </c>
      <c r="H10" s="180">
        <v>0</v>
      </c>
      <c r="I10" s="201">
        <f>SUM(N10,S10)</f>
        <v>0</v>
      </c>
      <c r="J10" s="206"/>
      <c r="K10" s="182"/>
      <c r="L10" s="182"/>
      <c r="M10" s="180">
        <v>0</v>
      </c>
      <c r="N10" s="201"/>
      <c r="O10" s="200"/>
      <c r="P10" s="182"/>
      <c r="Q10" s="182"/>
      <c r="R10" s="180">
        <v>0</v>
      </c>
      <c r="S10" s="201"/>
      <c r="T10" s="200"/>
      <c r="U10" s="182"/>
      <c r="V10" s="182"/>
      <c r="W10" s="180">
        <v>0</v>
      </c>
      <c r="X10" s="201"/>
    </row>
    <row r="11" spans="1:24" s="315" customFormat="1" ht="9.75">
      <c r="A11" s="229" t="s">
        <v>6</v>
      </c>
      <c r="B11" s="1158" t="s">
        <v>9</v>
      </c>
      <c r="C11" s="1158"/>
      <c r="D11" s="245" t="s">
        <v>25</v>
      </c>
      <c r="E11" s="196">
        <f>SUM(E12:E31)</f>
        <v>31645219</v>
      </c>
      <c r="F11" s="181">
        <f>SUM(F12:F31)</f>
        <v>32700137.379999999</v>
      </c>
      <c r="G11" s="181">
        <f>SUM(G12:G31)</f>
        <v>32442113.419999998</v>
      </c>
      <c r="H11" s="180">
        <f t="shared" si="0"/>
        <v>99.210939217161169</v>
      </c>
      <c r="I11" s="197">
        <f>SUM(I12:I31)</f>
        <v>30769268</v>
      </c>
      <c r="J11" s="196">
        <f>SUM(J12:J31)</f>
        <v>5575727</v>
      </c>
      <c r="K11" s="181">
        <f>SUM(K12:K31)</f>
        <v>6171483.3799999999</v>
      </c>
      <c r="L11" s="181">
        <f>SUM(L12:L31)</f>
        <v>5913459.6899999995</v>
      </c>
      <c r="M11" s="180">
        <f t="shared" si="2"/>
        <v>95.819097709374361</v>
      </c>
      <c r="N11" s="197">
        <f>SUM(N12:N31)</f>
        <v>5822476</v>
      </c>
      <c r="O11" s="196">
        <f>SUM(O12:O31)</f>
        <v>26069492</v>
      </c>
      <c r="P11" s="181">
        <f>SUM(P12:P31)</f>
        <v>26528654</v>
      </c>
      <c r="Q11" s="181">
        <f>SUM(Q12:Q31)</f>
        <v>26528653.73</v>
      </c>
      <c r="R11" s="180">
        <f t="shared" si="3"/>
        <v>99.999998982232569</v>
      </c>
      <c r="S11" s="197">
        <f>SUM(S12:S31)</f>
        <v>24946792</v>
      </c>
      <c r="T11" s="196">
        <f>SUM(T12:T31)</f>
        <v>0</v>
      </c>
      <c r="U11" s="181">
        <f>SUM(U12:U31)</f>
        <v>0</v>
      </c>
      <c r="V11" s="181">
        <f>SUM(V12:V31)</f>
        <v>0</v>
      </c>
      <c r="W11" s="180">
        <v>0</v>
      </c>
      <c r="X11" s="197">
        <f>SUM(X12:X31)</f>
        <v>0</v>
      </c>
    </row>
    <row r="12" spans="1:24" s="315" customFormat="1" ht="9.75">
      <c r="A12" s="232" t="s">
        <v>8</v>
      </c>
      <c r="B12" s="1159" t="s">
        <v>28</v>
      </c>
      <c r="C12" s="1159"/>
      <c r="D12" s="245" t="s">
        <v>25</v>
      </c>
      <c r="E12" s="198">
        <f>SUM(J12,O12)</f>
        <v>1658519</v>
      </c>
      <c r="F12" s="184">
        <f t="shared" ref="E12:I27" si="6">SUM(K12,P12)</f>
        <v>1410539</v>
      </c>
      <c r="G12" s="184">
        <f t="shared" si="6"/>
        <v>1334574.1399999999</v>
      </c>
      <c r="H12" s="185">
        <f t="shared" si="0"/>
        <v>94.614479996653756</v>
      </c>
      <c r="I12" s="199">
        <v>1263275</v>
      </c>
      <c r="J12" s="207">
        <v>1658519</v>
      </c>
      <c r="K12" s="188">
        <f>1333335+108</f>
        <v>1333443</v>
      </c>
      <c r="L12" s="188">
        <f>1253038.46+4439.49</f>
        <v>1257477.95</v>
      </c>
      <c r="M12" s="185">
        <f t="shared" si="2"/>
        <v>94.303089820862226</v>
      </c>
      <c r="N12" s="208">
        <v>1241997</v>
      </c>
      <c r="O12" s="220">
        <v>0</v>
      </c>
      <c r="P12" s="188">
        <v>77096</v>
      </c>
      <c r="Q12" s="188">
        <f>77096.19</f>
        <v>77096.19</v>
      </c>
      <c r="R12" s="185">
        <f t="shared" si="3"/>
        <v>100.00024644598942</v>
      </c>
      <c r="S12" s="221">
        <v>21278</v>
      </c>
      <c r="T12" s="220">
        <v>0</v>
      </c>
      <c r="U12" s="188">
        <v>0</v>
      </c>
      <c r="V12" s="188">
        <v>0</v>
      </c>
      <c r="W12" s="185">
        <v>0</v>
      </c>
      <c r="X12" s="208">
        <v>0</v>
      </c>
    </row>
    <row r="13" spans="1:24" s="315" customFormat="1" ht="9.75">
      <c r="A13" s="230" t="s">
        <v>10</v>
      </c>
      <c r="B13" s="1160" t="s">
        <v>29</v>
      </c>
      <c r="C13" s="1160"/>
      <c r="D13" s="245" t="s">
        <v>25</v>
      </c>
      <c r="E13" s="198">
        <f t="shared" si="6"/>
        <v>1550000</v>
      </c>
      <c r="F13" s="184">
        <f t="shared" si="6"/>
        <v>1244543</v>
      </c>
      <c r="G13" s="184">
        <f t="shared" si="6"/>
        <v>1139427.1399999999</v>
      </c>
      <c r="H13" s="185">
        <f t="shared" si="0"/>
        <v>91.553858725652702</v>
      </c>
      <c r="I13" s="199">
        <v>1048090</v>
      </c>
      <c r="J13" s="207">
        <v>1550000</v>
      </c>
      <c r="K13" s="184">
        <v>1244543</v>
      </c>
      <c r="L13" s="184">
        <f>1139427.14</f>
        <v>1139427.1399999999</v>
      </c>
      <c r="M13" s="185">
        <f t="shared" si="2"/>
        <v>91.553858725652702</v>
      </c>
      <c r="N13" s="199">
        <v>1048090</v>
      </c>
      <c r="O13" s="198">
        <v>0</v>
      </c>
      <c r="P13" s="184">
        <v>0</v>
      </c>
      <c r="Q13" s="184"/>
      <c r="R13" s="185">
        <v>0</v>
      </c>
      <c r="S13" s="199">
        <v>0</v>
      </c>
      <c r="T13" s="198">
        <v>0</v>
      </c>
      <c r="U13" s="184">
        <v>0</v>
      </c>
      <c r="V13" s="184">
        <v>0</v>
      </c>
      <c r="W13" s="185">
        <v>0</v>
      </c>
      <c r="X13" s="199">
        <v>0</v>
      </c>
    </row>
    <row r="14" spans="1:24" s="315" customFormat="1" ht="9.75">
      <c r="A14" s="230" t="s">
        <v>11</v>
      </c>
      <c r="B14" s="260" t="s">
        <v>61</v>
      </c>
      <c r="C14" s="260"/>
      <c r="D14" s="245" t="s">
        <v>25</v>
      </c>
      <c r="E14" s="198">
        <f t="shared" si="6"/>
        <v>0</v>
      </c>
      <c r="F14" s="184">
        <f t="shared" si="6"/>
        <v>0</v>
      </c>
      <c r="G14" s="184">
        <f t="shared" si="6"/>
        <v>0</v>
      </c>
      <c r="H14" s="185">
        <v>0</v>
      </c>
      <c r="I14" s="199">
        <f t="shared" si="6"/>
        <v>0</v>
      </c>
      <c r="J14" s="207">
        <v>0</v>
      </c>
      <c r="K14" s="184">
        <v>0</v>
      </c>
      <c r="L14" s="184">
        <v>0</v>
      </c>
      <c r="M14" s="185">
        <v>0</v>
      </c>
      <c r="N14" s="199">
        <v>0</v>
      </c>
      <c r="O14" s="198">
        <v>0</v>
      </c>
      <c r="P14" s="184">
        <v>0</v>
      </c>
      <c r="Q14" s="184"/>
      <c r="R14" s="185">
        <v>0</v>
      </c>
      <c r="S14" s="199">
        <v>0</v>
      </c>
      <c r="T14" s="198">
        <v>0</v>
      </c>
      <c r="U14" s="184">
        <v>0</v>
      </c>
      <c r="V14" s="184">
        <v>0</v>
      </c>
      <c r="W14" s="185">
        <v>0</v>
      </c>
      <c r="X14" s="199">
        <v>0</v>
      </c>
    </row>
    <row r="15" spans="1:24" s="315" customFormat="1" ht="9.75">
      <c r="A15" s="230" t="s">
        <v>12</v>
      </c>
      <c r="B15" s="1160" t="s">
        <v>62</v>
      </c>
      <c r="C15" s="1160"/>
      <c r="D15" s="245" t="s">
        <v>25</v>
      </c>
      <c r="E15" s="198">
        <f t="shared" si="6"/>
        <v>600000</v>
      </c>
      <c r="F15" s="184">
        <f t="shared" si="6"/>
        <v>1530000</v>
      </c>
      <c r="G15" s="184">
        <f t="shared" si="6"/>
        <v>1517567.72</v>
      </c>
      <c r="H15" s="185">
        <f t="shared" si="0"/>
        <v>99.187432679738563</v>
      </c>
      <c r="I15" s="199">
        <v>1610141</v>
      </c>
      <c r="J15" s="207">
        <v>600000</v>
      </c>
      <c r="K15" s="184">
        <v>1530000</v>
      </c>
      <c r="L15" s="184">
        <f>1329621.72+187946</f>
        <v>1517567.72</v>
      </c>
      <c r="M15" s="185">
        <f t="shared" si="2"/>
        <v>99.187432679738563</v>
      </c>
      <c r="N15" s="199">
        <v>1610141</v>
      </c>
      <c r="O15" s="198">
        <v>0</v>
      </c>
      <c r="P15" s="184">
        <v>0</v>
      </c>
      <c r="Q15" s="184"/>
      <c r="R15" s="185">
        <v>0</v>
      </c>
      <c r="S15" s="199">
        <v>0</v>
      </c>
      <c r="T15" s="198">
        <v>0</v>
      </c>
      <c r="U15" s="184">
        <v>0</v>
      </c>
      <c r="V15" s="184">
        <v>0</v>
      </c>
      <c r="W15" s="185">
        <v>0</v>
      </c>
      <c r="X15" s="199">
        <v>0</v>
      </c>
    </row>
    <row r="16" spans="1:24" s="315" customFormat="1" ht="9.75">
      <c r="A16" s="230" t="s">
        <v>13</v>
      </c>
      <c r="B16" s="1160" t="s">
        <v>30</v>
      </c>
      <c r="C16" s="1160"/>
      <c r="D16" s="245" t="s">
        <v>25</v>
      </c>
      <c r="E16" s="198">
        <f t="shared" si="6"/>
        <v>2000</v>
      </c>
      <c r="F16" s="184">
        <f t="shared" si="6"/>
        <v>0</v>
      </c>
      <c r="G16" s="184">
        <f t="shared" si="6"/>
        <v>0</v>
      </c>
      <c r="H16" s="185">
        <v>0</v>
      </c>
      <c r="I16" s="199">
        <f t="shared" si="6"/>
        <v>0</v>
      </c>
      <c r="J16" s="207">
        <v>2000</v>
      </c>
      <c r="K16" s="184">
        <v>0</v>
      </c>
      <c r="L16" s="184">
        <v>0</v>
      </c>
      <c r="M16" s="185">
        <v>0</v>
      </c>
      <c r="N16" s="199">
        <v>0</v>
      </c>
      <c r="O16" s="198">
        <v>0</v>
      </c>
      <c r="P16" s="184">
        <v>0</v>
      </c>
      <c r="Q16" s="184"/>
      <c r="R16" s="185">
        <v>0</v>
      </c>
      <c r="S16" s="199">
        <v>0</v>
      </c>
      <c r="T16" s="198">
        <v>0</v>
      </c>
      <c r="U16" s="184">
        <v>0</v>
      </c>
      <c r="V16" s="184">
        <v>0</v>
      </c>
      <c r="W16" s="185">
        <v>0</v>
      </c>
      <c r="X16" s="199">
        <v>0</v>
      </c>
    </row>
    <row r="17" spans="1:24" s="315" customFormat="1" ht="9.75">
      <c r="A17" s="230" t="s">
        <v>14</v>
      </c>
      <c r="B17" s="260" t="s">
        <v>46</v>
      </c>
      <c r="C17" s="260"/>
      <c r="D17" s="245" t="s">
        <v>25</v>
      </c>
      <c r="E17" s="198">
        <f t="shared" si="6"/>
        <v>1000</v>
      </c>
      <c r="F17" s="184">
        <f t="shared" si="6"/>
        <v>0</v>
      </c>
      <c r="G17" s="184">
        <f t="shared" si="6"/>
        <v>0</v>
      </c>
      <c r="H17" s="185">
        <v>0</v>
      </c>
      <c r="I17" s="199">
        <v>644</v>
      </c>
      <c r="J17" s="207">
        <v>1000</v>
      </c>
      <c r="K17" s="184">
        <v>0</v>
      </c>
      <c r="L17" s="184">
        <v>0</v>
      </c>
      <c r="M17" s="185">
        <v>0</v>
      </c>
      <c r="N17" s="199">
        <v>644</v>
      </c>
      <c r="O17" s="198">
        <v>0</v>
      </c>
      <c r="P17" s="184">
        <v>0</v>
      </c>
      <c r="Q17" s="184"/>
      <c r="R17" s="185">
        <v>0</v>
      </c>
      <c r="S17" s="199">
        <v>0</v>
      </c>
      <c r="T17" s="198">
        <v>0</v>
      </c>
      <c r="U17" s="184">
        <v>0</v>
      </c>
      <c r="V17" s="184">
        <v>0</v>
      </c>
      <c r="W17" s="185">
        <v>0</v>
      </c>
      <c r="X17" s="199">
        <v>0</v>
      </c>
    </row>
    <row r="18" spans="1:24" s="315" customFormat="1" ht="9.75">
      <c r="A18" s="230" t="s">
        <v>15</v>
      </c>
      <c r="B18" s="1160" t="s">
        <v>31</v>
      </c>
      <c r="C18" s="1160"/>
      <c r="D18" s="245" t="s">
        <v>25</v>
      </c>
      <c r="E18" s="198">
        <f t="shared" si="6"/>
        <v>700000</v>
      </c>
      <c r="F18" s="184">
        <f t="shared" si="6"/>
        <v>708750</v>
      </c>
      <c r="G18" s="184">
        <f t="shared" si="6"/>
        <v>652736.93999999994</v>
      </c>
      <c r="H18" s="185">
        <f t="shared" si="0"/>
        <v>92.096922751322737</v>
      </c>
      <c r="I18" s="199">
        <v>692897</v>
      </c>
      <c r="J18" s="207">
        <v>700000</v>
      </c>
      <c r="K18" s="184">
        <v>700000</v>
      </c>
      <c r="L18" s="184">
        <f>643986.94</f>
        <v>643986.93999999994</v>
      </c>
      <c r="M18" s="185">
        <f t="shared" si="2"/>
        <v>91.998134285714272</v>
      </c>
      <c r="N18" s="199">
        <v>685897</v>
      </c>
      <c r="O18" s="198">
        <v>0</v>
      </c>
      <c r="P18" s="184">
        <v>8750</v>
      </c>
      <c r="Q18" s="184">
        <f>8750</f>
        <v>8750</v>
      </c>
      <c r="R18" s="185">
        <f t="shared" si="3"/>
        <v>100</v>
      </c>
      <c r="S18" s="199">
        <v>7000</v>
      </c>
      <c r="T18" s="198">
        <v>0</v>
      </c>
      <c r="U18" s="184">
        <v>0</v>
      </c>
      <c r="V18" s="184">
        <v>0</v>
      </c>
      <c r="W18" s="185">
        <v>0</v>
      </c>
      <c r="X18" s="199">
        <v>0</v>
      </c>
    </row>
    <row r="19" spans="1:24" s="318" customFormat="1" ht="9.75">
      <c r="A19" s="230" t="s">
        <v>16</v>
      </c>
      <c r="B19" s="1160" t="s">
        <v>32</v>
      </c>
      <c r="C19" s="1160"/>
      <c r="D19" s="245" t="s">
        <v>25</v>
      </c>
      <c r="E19" s="198">
        <f t="shared" si="6"/>
        <v>19015881</v>
      </c>
      <c r="F19" s="184">
        <f t="shared" si="6"/>
        <v>19440186</v>
      </c>
      <c r="G19" s="184">
        <f t="shared" si="6"/>
        <v>19440186</v>
      </c>
      <c r="H19" s="185">
        <f t="shared" si="0"/>
        <v>100</v>
      </c>
      <c r="I19" s="199">
        <v>18329885</v>
      </c>
      <c r="J19" s="209">
        <v>0</v>
      </c>
      <c r="K19" s="184">
        <v>500</v>
      </c>
      <c r="L19" s="184">
        <v>500</v>
      </c>
      <c r="M19" s="185">
        <f t="shared" si="2"/>
        <v>100</v>
      </c>
      <c r="N19" s="199">
        <v>500</v>
      </c>
      <c r="O19" s="198">
        <v>19015881</v>
      </c>
      <c r="P19" s="184">
        <v>19439686</v>
      </c>
      <c r="Q19" s="184">
        <f>19115583+324103</f>
        <v>19439686</v>
      </c>
      <c r="R19" s="185">
        <f t="shared" si="3"/>
        <v>100</v>
      </c>
      <c r="S19" s="199">
        <v>18329385</v>
      </c>
      <c r="T19" s="225">
        <v>0</v>
      </c>
      <c r="U19" s="190">
        <v>0</v>
      </c>
      <c r="V19" s="190">
        <v>0</v>
      </c>
      <c r="W19" s="185">
        <v>0</v>
      </c>
      <c r="X19" s="226">
        <v>0</v>
      </c>
    </row>
    <row r="20" spans="1:24" s="315" customFormat="1" ht="9.75">
      <c r="A20" s="230" t="s">
        <v>17</v>
      </c>
      <c r="B20" s="1160" t="s">
        <v>47</v>
      </c>
      <c r="C20" s="1160"/>
      <c r="D20" s="245" t="s">
        <v>25</v>
      </c>
      <c r="E20" s="198">
        <f t="shared" si="6"/>
        <v>6807685</v>
      </c>
      <c r="F20" s="184">
        <f t="shared" si="6"/>
        <v>6516663</v>
      </c>
      <c r="G20" s="184">
        <f t="shared" si="6"/>
        <v>6516662.7999999998</v>
      </c>
      <c r="H20" s="185">
        <f t="shared" si="0"/>
        <v>99.999996930944562</v>
      </c>
      <c r="I20" s="199">
        <v>6187741</v>
      </c>
      <c r="J20" s="207">
        <v>0</v>
      </c>
      <c r="K20" s="184">
        <v>169</v>
      </c>
      <c r="L20" s="184">
        <v>169</v>
      </c>
      <c r="M20" s="185">
        <f t="shared" si="2"/>
        <v>100</v>
      </c>
      <c r="N20" s="199">
        <v>169</v>
      </c>
      <c r="O20" s="198">
        <v>6807685</v>
      </c>
      <c r="P20" s="184">
        <v>6516494</v>
      </c>
      <c r="Q20" s="184">
        <f>6354366.63+82144.37+763.08+79219.72</f>
        <v>6516493.7999999998</v>
      </c>
      <c r="R20" s="185">
        <f t="shared" si="3"/>
        <v>99.999996930864967</v>
      </c>
      <c r="S20" s="199">
        <v>6187572</v>
      </c>
      <c r="T20" s="198">
        <v>0</v>
      </c>
      <c r="U20" s="184">
        <v>0</v>
      </c>
      <c r="V20" s="184">
        <v>0</v>
      </c>
      <c r="W20" s="185">
        <v>0</v>
      </c>
      <c r="X20" s="199">
        <v>0</v>
      </c>
    </row>
    <row r="21" spans="1:24" s="315" customFormat="1" ht="9.75">
      <c r="A21" s="230" t="s">
        <v>18</v>
      </c>
      <c r="B21" s="1160" t="s">
        <v>48</v>
      </c>
      <c r="C21" s="1160"/>
      <c r="D21" s="245" t="s">
        <v>25</v>
      </c>
      <c r="E21" s="198">
        <f t="shared" si="6"/>
        <v>245926</v>
      </c>
      <c r="F21" s="184">
        <f t="shared" si="6"/>
        <v>461476</v>
      </c>
      <c r="G21" s="184">
        <f t="shared" si="6"/>
        <v>461475.54000000004</v>
      </c>
      <c r="H21" s="185">
        <f t="shared" si="0"/>
        <v>99.999900319843292</v>
      </c>
      <c r="I21" s="199">
        <v>430161</v>
      </c>
      <c r="J21" s="207">
        <v>0</v>
      </c>
      <c r="K21" s="184">
        <v>36207</v>
      </c>
      <c r="L21" s="184">
        <v>36206.800000000003</v>
      </c>
      <c r="M21" s="185">
        <f t="shared" si="2"/>
        <v>99.999447620625858</v>
      </c>
      <c r="N21" s="199">
        <v>28604</v>
      </c>
      <c r="O21" s="198">
        <v>245926</v>
      </c>
      <c r="P21" s="184">
        <v>425269</v>
      </c>
      <c r="Q21" s="184">
        <f>4969.28+420299.46</f>
        <v>425268.74000000005</v>
      </c>
      <c r="R21" s="185">
        <f t="shared" si="3"/>
        <v>99.999938862226031</v>
      </c>
      <c r="S21" s="199">
        <v>401557</v>
      </c>
      <c r="T21" s="198">
        <v>0</v>
      </c>
      <c r="U21" s="184">
        <v>0</v>
      </c>
      <c r="V21" s="184">
        <v>0</v>
      </c>
      <c r="W21" s="185">
        <v>0</v>
      </c>
      <c r="X21" s="199">
        <v>0</v>
      </c>
    </row>
    <row r="22" spans="1:24" s="315" customFormat="1" ht="9.75">
      <c r="A22" s="230" t="s">
        <v>19</v>
      </c>
      <c r="B22" s="1160" t="s">
        <v>63</v>
      </c>
      <c r="C22" s="1160"/>
      <c r="D22" s="245" t="s">
        <v>25</v>
      </c>
      <c r="E22" s="198">
        <f t="shared" si="6"/>
        <v>0</v>
      </c>
      <c r="F22" s="184">
        <f t="shared" si="6"/>
        <v>0</v>
      </c>
      <c r="G22" s="184">
        <f t="shared" si="6"/>
        <v>0</v>
      </c>
      <c r="H22" s="185">
        <v>0</v>
      </c>
      <c r="I22" s="199">
        <f t="shared" si="6"/>
        <v>0</v>
      </c>
      <c r="J22" s="207">
        <v>0</v>
      </c>
      <c r="K22" s="184">
        <v>0</v>
      </c>
      <c r="L22" s="184">
        <v>0</v>
      </c>
      <c r="M22" s="185">
        <v>0</v>
      </c>
      <c r="N22" s="199">
        <v>0</v>
      </c>
      <c r="O22" s="198">
        <v>0</v>
      </c>
      <c r="P22" s="184"/>
      <c r="Q22" s="184"/>
      <c r="R22" s="185">
        <v>0</v>
      </c>
      <c r="S22" s="199">
        <v>0</v>
      </c>
      <c r="T22" s="198">
        <v>0</v>
      </c>
      <c r="U22" s="184">
        <v>0</v>
      </c>
      <c r="V22" s="184">
        <v>0</v>
      </c>
      <c r="W22" s="185">
        <v>0</v>
      </c>
      <c r="X22" s="199">
        <v>0</v>
      </c>
    </row>
    <row r="23" spans="1:24" s="315" customFormat="1" ht="9.75">
      <c r="A23" s="230" t="s">
        <v>20</v>
      </c>
      <c r="B23" s="260" t="s">
        <v>64</v>
      </c>
      <c r="C23" s="260"/>
      <c r="D23" s="245" t="s">
        <v>25</v>
      </c>
      <c r="E23" s="198">
        <f t="shared" si="6"/>
        <v>0</v>
      </c>
      <c r="F23" s="184">
        <f t="shared" si="6"/>
        <v>0</v>
      </c>
      <c r="G23" s="184">
        <f t="shared" si="6"/>
        <v>0</v>
      </c>
      <c r="H23" s="185">
        <v>0</v>
      </c>
      <c r="I23" s="199">
        <f t="shared" si="6"/>
        <v>0</v>
      </c>
      <c r="J23" s="207">
        <v>0</v>
      </c>
      <c r="K23" s="184">
        <v>0</v>
      </c>
      <c r="L23" s="184">
        <v>0</v>
      </c>
      <c r="M23" s="185">
        <v>0</v>
      </c>
      <c r="N23" s="199">
        <v>0</v>
      </c>
      <c r="O23" s="198">
        <v>0</v>
      </c>
      <c r="P23" s="184"/>
      <c r="Q23" s="184"/>
      <c r="R23" s="185">
        <v>0</v>
      </c>
      <c r="S23" s="199">
        <v>0</v>
      </c>
      <c r="T23" s="198">
        <v>0</v>
      </c>
      <c r="U23" s="184">
        <v>0</v>
      </c>
      <c r="V23" s="184">
        <v>0</v>
      </c>
      <c r="W23" s="185">
        <v>0</v>
      </c>
      <c r="X23" s="199">
        <v>0</v>
      </c>
    </row>
    <row r="24" spans="1:24" s="315" customFormat="1" ht="9.75">
      <c r="A24" s="230" t="s">
        <v>21</v>
      </c>
      <c r="B24" s="260" t="s">
        <v>71</v>
      </c>
      <c r="C24" s="260"/>
      <c r="D24" s="245" t="s">
        <v>25</v>
      </c>
      <c r="E24" s="198">
        <f t="shared" si="6"/>
        <v>0</v>
      </c>
      <c r="F24" s="184">
        <f t="shared" si="6"/>
        <v>0</v>
      </c>
      <c r="G24" s="184">
        <f t="shared" si="6"/>
        <v>0</v>
      </c>
      <c r="H24" s="185">
        <v>0</v>
      </c>
      <c r="I24" s="199">
        <f t="shared" si="6"/>
        <v>0</v>
      </c>
      <c r="J24" s="207">
        <v>0</v>
      </c>
      <c r="K24" s="184">
        <v>0</v>
      </c>
      <c r="L24" s="184">
        <v>0</v>
      </c>
      <c r="M24" s="185">
        <v>0</v>
      </c>
      <c r="N24" s="199">
        <v>0</v>
      </c>
      <c r="O24" s="198">
        <v>0</v>
      </c>
      <c r="P24" s="184"/>
      <c r="Q24" s="184"/>
      <c r="R24" s="185">
        <v>0</v>
      </c>
      <c r="S24" s="199">
        <v>0</v>
      </c>
      <c r="T24" s="198">
        <v>0</v>
      </c>
      <c r="U24" s="184">
        <v>0</v>
      </c>
      <c r="V24" s="184">
        <v>0</v>
      </c>
      <c r="W24" s="185">
        <v>0</v>
      </c>
      <c r="X24" s="199">
        <v>0</v>
      </c>
    </row>
    <row r="25" spans="1:24" s="315" customFormat="1" ht="9.75">
      <c r="A25" s="232" t="s">
        <v>22</v>
      </c>
      <c r="B25" s="264" t="s">
        <v>66</v>
      </c>
      <c r="C25" s="264"/>
      <c r="D25" s="245" t="s">
        <v>25</v>
      </c>
      <c r="E25" s="198">
        <f t="shared" si="6"/>
        <v>0</v>
      </c>
      <c r="F25" s="184">
        <f t="shared" si="6"/>
        <v>0</v>
      </c>
      <c r="G25" s="184">
        <f t="shared" si="6"/>
        <v>0</v>
      </c>
      <c r="H25" s="185">
        <v>0</v>
      </c>
      <c r="I25" s="199">
        <f t="shared" si="6"/>
        <v>0</v>
      </c>
      <c r="J25" s="207">
        <v>0</v>
      </c>
      <c r="K25" s="188">
        <v>0</v>
      </c>
      <c r="L25" s="188">
        <v>0</v>
      </c>
      <c r="M25" s="185">
        <v>0</v>
      </c>
      <c r="N25" s="208">
        <v>0</v>
      </c>
      <c r="O25" s="220">
        <v>0</v>
      </c>
      <c r="P25" s="188"/>
      <c r="Q25" s="188"/>
      <c r="R25" s="185">
        <v>0</v>
      </c>
      <c r="S25" s="221">
        <v>0</v>
      </c>
      <c r="T25" s="220">
        <v>0</v>
      </c>
      <c r="U25" s="188">
        <v>0</v>
      </c>
      <c r="V25" s="188">
        <v>0</v>
      </c>
      <c r="W25" s="185">
        <v>0</v>
      </c>
      <c r="X25" s="221">
        <v>0</v>
      </c>
    </row>
    <row r="26" spans="1:24" s="319" customFormat="1" ht="9.75">
      <c r="A26" s="230" t="s">
        <v>23</v>
      </c>
      <c r="B26" s="1160" t="s">
        <v>67</v>
      </c>
      <c r="C26" s="1160"/>
      <c r="D26" s="245" t="s">
        <v>25</v>
      </c>
      <c r="E26" s="198">
        <f t="shared" si="6"/>
        <v>894708</v>
      </c>
      <c r="F26" s="184">
        <f t="shared" si="6"/>
        <v>932421.38</v>
      </c>
      <c r="G26" s="184">
        <f t="shared" si="6"/>
        <v>932421.38</v>
      </c>
      <c r="H26" s="191">
        <f t="shared" si="0"/>
        <v>100</v>
      </c>
      <c r="I26" s="199">
        <v>909418</v>
      </c>
      <c r="J26" s="207">
        <v>894708</v>
      </c>
      <c r="K26" s="189">
        <v>932421.38</v>
      </c>
      <c r="L26" s="189">
        <v>932421.38</v>
      </c>
      <c r="M26" s="185">
        <f t="shared" si="2"/>
        <v>100</v>
      </c>
      <c r="N26" s="199">
        <v>909418</v>
      </c>
      <c r="O26" s="222">
        <v>0</v>
      </c>
      <c r="P26" s="189"/>
      <c r="Q26" s="189"/>
      <c r="R26" s="185">
        <v>0</v>
      </c>
      <c r="S26" s="208">
        <v>0</v>
      </c>
      <c r="T26" s="220">
        <v>0</v>
      </c>
      <c r="U26" s="188">
        <v>0</v>
      </c>
      <c r="V26" s="188">
        <v>0</v>
      </c>
      <c r="W26" s="185">
        <v>0</v>
      </c>
      <c r="X26" s="228">
        <v>0</v>
      </c>
    </row>
    <row r="27" spans="1:24" s="320" customFormat="1" ht="9.75">
      <c r="A27" s="230" t="s">
        <v>43</v>
      </c>
      <c r="B27" s="260" t="s">
        <v>68</v>
      </c>
      <c r="C27" s="260"/>
      <c r="D27" s="245" t="s">
        <v>25</v>
      </c>
      <c r="E27" s="198">
        <f t="shared" si="6"/>
        <v>0</v>
      </c>
      <c r="F27" s="184">
        <f t="shared" si="6"/>
        <v>0</v>
      </c>
      <c r="G27" s="184">
        <f t="shared" si="6"/>
        <v>0</v>
      </c>
      <c r="H27" s="191">
        <v>0</v>
      </c>
      <c r="I27" s="199">
        <f t="shared" si="6"/>
        <v>0</v>
      </c>
      <c r="J27" s="207">
        <v>0</v>
      </c>
      <c r="K27" s="189">
        <v>0</v>
      </c>
      <c r="L27" s="189">
        <v>0</v>
      </c>
      <c r="M27" s="185">
        <v>0</v>
      </c>
      <c r="N27" s="208">
        <v>0</v>
      </c>
      <c r="O27" s="222">
        <v>0</v>
      </c>
      <c r="P27" s="189"/>
      <c r="Q27" s="189"/>
      <c r="R27" s="185">
        <v>0</v>
      </c>
      <c r="S27" s="208">
        <v>0</v>
      </c>
      <c r="T27" s="220">
        <v>0</v>
      </c>
      <c r="U27" s="188">
        <v>0</v>
      </c>
      <c r="V27" s="188">
        <v>0</v>
      </c>
      <c r="W27" s="185">
        <v>0</v>
      </c>
      <c r="X27" s="228">
        <v>0</v>
      </c>
    </row>
    <row r="28" spans="1:24" s="320" customFormat="1" ht="9.75">
      <c r="A28" s="230" t="s">
        <v>49</v>
      </c>
      <c r="B28" s="260" t="s">
        <v>72</v>
      </c>
      <c r="C28" s="260"/>
      <c r="D28" s="245" t="s">
        <v>25</v>
      </c>
      <c r="E28" s="198">
        <f t="shared" ref="E28:G31" si="7">SUM(J28,O28)</f>
        <v>160000</v>
      </c>
      <c r="F28" s="184">
        <f t="shared" si="7"/>
        <v>454359</v>
      </c>
      <c r="G28" s="184">
        <f t="shared" si="7"/>
        <v>445871.76</v>
      </c>
      <c r="H28" s="191">
        <f t="shared" si="0"/>
        <v>98.13204096320311</v>
      </c>
      <c r="I28" s="199">
        <v>296234</v>
      </c>
      <c r="J28" s="207">
        <v>160000</v>
      </c>
      <c r="K28" s="189">
        <v>393000</v>
      </c>
      <c r="L28" s="189">
        <f>271942.76+112570</f>
        <v>384512.76</v>
      </c>
      <c r="M28" s="185">
        <f t="shared" si="2"/>
        <v>97.840396946564894</v>
      </c>
      <c r="N28" s="208">
        <v>296234</v>
      </c>
      <c r="O28" s="222">
        <v>0</v>
      </c>
      <c r="P28" s="189">
        <v>61359</v>
      </c>
      <c r="Q28" s="189">
        <v>61359</v>
      </c>
      <c r="R28" s="185">
        <f t="shared" si="3"/>
        <v>100</v>
      </c>
      <c r="S28" s="208">
        <v>0</v>
      </c>
      <c r="T28" s="220">
        <v>0</v>
      </c>
      <c r="U28" s="188">
        <v>0</v>
      </c>
      <c r="V28" s="188">
        <v>0</v>
      </c>
      <c r="W28" s="185">
        <v>0</v>
      </c>
      <c r="X28" s="228">
        <v>0</v>
      </c>
    </row>
    <row r="29" spans="1:24" s="319" customFormat="1" ht="9.75">
      <c r="A29" s="230" t="s">
        <v>50</v>
      </c>
      <c r="B29" s="1160" t="s">
        <v>65</v>
      </c>
      <c r="C29" s="1160"/>
      <c r="D29" s="245" t="s">
        <v>25</v>
      </c>
      <c r="E29" s="198">
        <f t="shared" si="7"/>
        <v>9500</v>
      </c>
      <c r="F29" s="184">
        <f t="shared" si="7"/>
        <v>1200</v>
      </c>
      <c r="G29" s="184">
        <f t="shared" si="7"/>
        <v>1190</v>
      </c>
      <c r="H29" s="191">
        <f t="shared" si="0"/>
        <v>99.166666666666671</v>
      </c>
      <c r="I29" s="199">
        <v>782</v>
      </c>
      <c r="J29" s="207">
        <v>9500</v>
      </c>
      <c r="K29" s="189">
        <v>1200</v>
      </c>
      <c r="L29" s="189">
        <v>1190</v>
      </c>
      <c r="M29" s="185">
        <f t="shared" si="2"/>
        <v>99.166666666666671</v>
      </c>
      <c r="N29" s="208">
        <v>782</v>
      </c>
      <c r="O29" s="222">
        <v>0</v>
      </c>
      <c r="P29" s="189"/>
      <c r="Q29" s="189"/>
      <c r="R29" s="185">
        <v>0</v>
      </c>
      <c r="S29" s="208">
        <v>0</v>
      </c>
      <c r="T29" s="220">
        <v>0</v>
      </c>
      <c r="U29" s="188">
        <v>0</v>
      </c>
      <c r="V29" s="188">
        <v>0</v>
      </c>
      <c r="W29" s="185">
        <v>0</v>
      </c>
      <c r="X29" s="228">
        <v>0</v>
      </c>
    </row>
    <row r="30" spans="1:24" s="315" customFormat="1" ht="9.75">
      <c r="A30" s="230" t="s">
        <v>52</v>
      </c>
      <c r="B30" s="260" t="s">
        <v>51</v>
      </c>
      <c r="C30" s="260"/>
      <c r="D30" s="245" t="s">
        <v>25</v>
      </c>
      <c r="E30" s="198">
        <f t="shared" si="7"/>
        <v>0</v>
      </c>
      <c r="F30" s="184">
        <f t="shared" si="7"/>
        <v>0</v>
      </c>
      <c r="G30" s="184">
        <f t="shared" si="7"/>
        <v>0</v>
      </c>
      <c r="H30" s="191">
        <v>0</v>
      </c>
      <c r="I30" s="199">
        <f>SUM(N30,S30)</f>
        <v>0</v>
      </c>
      <c r="J30" s="207">
        <v>0</v>
      </c>
      <c r="K30" s="189">
        <v>0</v>
      </c>
      <c r="L30" s="189">
        <v>0</v>
      </c>
      <c r="M30" s="185">
        <v>0</v>
      </c>
      <c r="N30" s="208">
        <v>0</v>
      </c>
      <c r="O30" s="222">
        <v>0</v>
      </c>
      <c r="P30" s="189"/>
      <c r="Q30" s="189"/>
      <c r="R30" s="185">
        <v>0</v>
      </c>
      <c r="S30" s="208">
        <v>0</v>
      </c>
      <c r="T30" s="220">
        <v>0</v>
      </c>
      <c r="U30" s="188">
        <v>0</v>
      </c>
      <c r="V30" s="188">
        <v>0</v>
      </c>
      <c r="W30" s="185">
        <v>0</v>
      </c>
      <c r="X30" s="228">
        <v>0</v>
      </c>
    </row>
    <row r="31" spans="1:24" s="321" customFormat="1" ht="9.75">
      <c r="A31" s="230" t="s">
        <v>53</v>
      </c>
      <c r="B31" s="260" t="s">
        <v>69</v>
      </c>
      <c r="C31" s="260"/>
      <c r="D31" s="245" t="s">
        <v>25</v>
      </c>
      <c r="E31" s="198">
        <f t="shared" si="7"/>
        <v>0</v>
      </c>
      <c r="F31" s="184">
        <f t="shared" si="7"/>
        <v>0</v>
      </c>
      <c r="G31" s="184">
        <f t="shared" si="7"/>
        <v>0</v>
      </c>
      <c r="H31" s="191">
        <v>0</v>
      </c>
      <c r="I31" s="199">
        <f>SUM(N31,S31)</f>
        <v>0</v>
      </c>
      <c r="J31" s="207">
        <v>0</v>
      </c>
      <c r="K31" s="193">
        <v>0</v>
      </c>
      <c r="L31" s="193">
        <v>0</v>
      </c>
      <c r="M31" s="185">
        <v>0</v>
      </c>
      <c r="N31" s="210">
        <v>0</v>
      </c>
      <c r="O31" s="223">
        <v>0</v>
      </c>
      <c r="P31" s="193"/>
      <c r="Q31" s="193"/>
      <c r="R31" s="185">
        <v>0</v>
      </c>
      <c r="S31" s="210">
        <v>0</v>
      </c>
      <c r="T31" s="224">
        <v>0</v>
      </c>
      <c r="U31" s="194">
        <v>0</v>
      </c>
      <c r="V31" s="194">
        <v>0</v>
      </c>
      <c r="W31" s="185">
        <v>0</v>
      </c>
      <c r="X31" s="212">
        <v>0</v>
      </c>
    </row>
    <row r="32" spans="1:24" s="321" customFormat="1" ht="9.75">
      <c r="A32" s="232" t="s">
        <v>54</v>
      </c>
      <c r="B32" s="264" t="s">
        <v>70</v>
      </c>
      <c r="C32" s="264"/>
      <c r="D32" s="245" t="s">
        <v>25</v>
      </c>
      <c r="E32" s="198">
        <f>SUM(J32,O32)</f>
        <v>0</v>
      </c>
      <c r="F32" s="184">
        <f>SUM(K32,P32)</f>
        <v>0</v>
      </c>
      <c r="G32" s="184">
        <f>SUM(L32,Q32)</f>
        <v>0</v>
      </c>
      <c r="H32" s="191">
        <v>0</v>
      </c>
      <c r="I32" s="199">
        <f>SUM(N32,S32)</f>
        <v>0</v>
      </c>
      <c r="J32" s="211">
        <v>0</v>
      </c>
      <c r="K32" s="194">
        <v>0</v>
      </c>
      <c r="L32" s="194">
        <v>0</v>
      </c>
      <c r="M32" s="185">
        <v>0</v>
      </c>
      <c r="N32" s="212">
        <v>0</v>
      </c>
      <c r="O32" s="224">
        <v>0</v>
      </c>
      <c r="P32" s="194"/>
      <c r="Q32" s="194"/>
      <c r="R32" s="185">
        <v>0</v>
      </c>
      <c r="S32" s="212">
        <v>0</v>
      </c>
      <c r="T32" s="224">
        <v>0</v>
      </c>
      <c r="U32" s="194">
        <v>0</v>
      </c>
      <c r="V32" s="194">
        <v>0</v>
      </c>
      <c r="W32" s="185">
        <v>0</v>
      </c>
      <c r="X32" s="212">
        <v>0</v>
      </c>
    </row>
    <row r="33" spans="1:24" s="321" customFormat="1" ht="9.75">
      <c r="A33" s="229" t="s">
        <v>55</v>
      </c>
      <c r="B33" s="263" t="s">
        <v>56</v>
      </c>
      <c r="C33" s="263"/>
      <c r="D33" s="245" t="s">
        <v>25</v>
      </c>
      <c r="E33" s="196">
        <f>E6-E11</f>
        <v>0</v>
      </c>
      <c r="F33" s="181">
        <f t="shared" ref="F33:G33" si="8">F6-F11</f>
        <v>-0.37999999895691872</v>
      </c>
      <c r="G33" s="181">
        <f t="shared" si="8"/>
        <v>60184.60000000149</v>
      </c>
      <c r="H33" s="195">
        <v>0</v>
      </c>
      <c r="I33" s="197">
        <f t="shared" ref="I33:L33" si="9">I6-I11</f>
        <v>131898</v>
      </c>
      <c r="J33" s="196">
        <f t="shared" si="9"/>
        <v>0</v>
      </c>
      <c r="K33" s="181">
        <f t="shared" si="9"/>
        <v>-0.37999999988824129</v>
      </c>
      <c r="L33" s="181">
        <f t="shared" si="9"/>
        <v>60184.600000000559</v>
      </c>
      <c r="M33" s="180">
        <v>0</v>
      </c>
      <c r="N33" s="197">
        <f t="shared" ref="N33:Q33" si="10">N6-N11</f>
        <v>131898</v>
      </c>
      <c r="O33" s="196">
        <f t="shared" si="10"/>
        <v>0</v>
      </c>
      <c r="P33" s="181">
        <f t="shared" si="10"/>
        <v>0</v>
      </c>
      <c r="Q33" s="181">
        <f t="shared" si="10"/>
        <v>0</v>
      </c>
      <c r="R33" s="180">
        <v>0</v>
      </c>
      <c r="S33" s="197">
        <f t="shared" ref="S33:V33" si="11">S6-S11</f>
        <v>0</v>
      </c>
      <c r="T33" s="196">
        <f t="shared" si="11"/>
        <v>5000</v>
      </c>
      <c r="U33" s="181">
        <f t="shared" si="11"/>
        <v>5000</v>
      </c>
      <c r="V33" s="181">
        <f t="shared" si="11"/>
        <v>5000</v>
      </c>
      <c r="W33" s="180">
        <f t="shared" si="4"/>
        <v>100</v>
      </c>
      <c r="X33" s="197">
        <f>X6-X11</f>
        <v>5000</v>
      </c>
    </row>
    <row r="34" spans="1:24" s="322" customFormat="1" ht="9.75">
      <c r="A34" s="254" t="s">
        <v>57</v>
      </c>
      <c r="B34" s="1157" t="s">
        <v>237</v>
      </c>
      <c r="C34" s="1157"/>
      <c r="D34" s="258" t="s">
        <v>25</v>
      </c>
      <c r="E34" s="233"/>
      <c r="F34" s="234"/>
      <c r="G34" s="234"/>
      <c r="H34" s="191">
        <v>0</v>
      </c>
      <c r="I34" s="237"/>
      <c r="J34" s="213"/>
      <c r="K34" s="183"/>
      <c r="L34" s="183"/>
      <c r="M34" s="185">
        <v>0</v>
      </c>
      <c r="N34" s="214"/>
      <c r="O34" s="239"/>
      <c r="P34" s="240"/>
      <c r="Q34" s="240"/>
      <c r="R34" s="185">
        <v>0</v>
      </c>
      <c r="S34" s="243"/>
      <c r="T34" s="213"/>
      <c r="U34" s="183"/>
      <c r="V34" s="183"/>
      <c r="W34" s="185">
        <v>0</v>
      </c>
      <c r="X34" s="214"/>
    </row>
    <row r="35" spans="1:24" s="322" customFormat="1" ht="9.75">
      <c r="A35" s="255" t="s">
        <v>58</v>
      </c>
      <c r="B35" s="1156" t="s">
        <v>238</v>
      </c>
      <c r="C35" s="1156"/>
      <c r="D35" s="259" t="s">
        <v>26</v>
      </c>
      <c r="E35" s="233"/>
      <c r="F35" s="234"/>
      <c r="G35" s="234"/>
      <c r="H35" s="191">
        <v>0</v>
      </c>
      <c r="I35" s="237"/>
      <c r="J35" s="213"/>
      <c r="K35" s="183"/>
      <c r="L35" s="183"/>
      <c r="M35" s="185">
        <v>0</v>
      </c>
      <c r="N35" s="214"/>
      <c r="O35" s="239"/>
      <c r="P35" s="240"/>
      <c r="Q35" s="240"/>
      <c r="R35" s="185">
        <v>0</v>
      </c>
      <c r="S35" s="243"/>
      <c r="T35" s="213"/>
      <c r="U35" s="183"/>
      <c r="V35" s="183"/>
      <c r="W35" s="185">
        <v>0</v>
      </c>
      <c r="X35" s="214"/>
    </row>
    <row r="36" spans="1:24" s="322" customFormat="1" ht="9.75">
      <c r="A36" s="255" t="s">
        <v>59</v>
      </c>
      <c r="B36" s="1156" t="s">
        <v>239</v>
      </c>
      <c r="C36" s="1156"/>
      <c r="D36" s="259" t="s">
        <v>26</v>
      </c>
      <c r="E36" s="233"/>
      <c r="F36" s="234"/>
      <c r="G36" s="234"/>
      <c r="H36" s="191">
        <v>0</v>
      </c>
      <c r="I36" s="237"/>
      <c r="J36" s="213"/>
      <c r="K36" s="183"/>
      <c r="L36" s="183"/>
      <c r="M36" s="185">
        <v>0</v>
      </c>
      <c r="N36" s="214"/>
      <c r="O36" s="239"/>
      <c r="P36" s="240"/>
      <c r="Q36" s="240"/>
      <c r="R36" s="185">
        <v>0</v>
      </c>
      <c r="S36" s="243"/>
      <c r="T36" s="213"/>
      <c r="U36" s="183"/>
      <c r="V36" s="183"/>
      <c r="W36" s="185">
        <v>0</v>
      </c>
      <c r="X36" s="214"/>
    </row>
    <row r="37" spans="1:24" s="322" customFormat="1" ht="10.5" thickBot="1">
      <c r="A37" s="256" t="s">
        <v>240</v>
      </c>
      <c r="B37" s="1174" t="s">
        <v>241</v>
      </c>
      <c r="C37" s="1174"/>
      <c r="D37" s="257" t="s">
        <v>242</v>
      </c>
      <c r="E37" s="235"/>
      <c r="F37" s="236"/>
      <c r="G37" s="236"/>
      <c r="H37" s="202">
        <v>0</v>
      </c>
      <c r="I37" s="238"/>
      <c r="J37" s="215"/>
      <c r="K37" s="216"/>
      <c r="L37" s="216"/>
      <c r="M37" s="217">
        <v>0</v>
      </c>
      <c r="N37" s="218"/>
      <c r="O37" s="241"/>
      <c r="P37" s="242"/>
      <c r="Q37" s="242"/>
      <c r="R37" s="217">
        <v>0</v>
      </c>
      <c r="S37" s="244"/>
      <c r="T37" s="215"/>
      <c r="U37" s="216"/>
      <c r="V37" s="216"/>
      <c r="W37" s="217">
        <v>0</v>
      </c>
      <c r="X37" s="218"/>
    </row>
  </sheetData>
  <mergeCells count="40">
    <mergeCell ref="B37:C37"/>
    <mergeCell ref="O3:S3"/>
    <mergeCell ref="T3:X3"/>
    <mergeCell ref="E4:E5"/>
    <mergeCell ref="F4:H4"/>
    <mergeCell ref="O4:O5"/>
    <mergeCell ref="P4:R4"/>
    <mergeCell ref="S4:S5"/>
    <mergeCell ref="T4:T5"/>
    <mergeCell ref="U4:W4"/>
    <mergeCell ref="X4:X5"/>
    <mergeCell ref="B22:C22"/>
    <mergeCell ref="B8:C8"/>
    <mergeCell ref="B10:C10"/>
    <mergeCell ref="B11:C11"/>
    <mergeCell ref="B12:C12"/>
    <mergeCell ref="A1:X1"/>
    <mergeCell ref="B7:C7"/>
    <mergeCell ref="I4:I5"/>
    <mergeCell ref="J4:J5"/>
    <mergeCell ref="K4:M4"/>
    <mergeCell ref="N4:N5"/>
    <mergeCell ref="B6:C6"/>
    <mergeCell ref="A3:A5"/>
    <mergeCell ref="B3:C5"/>
    <mergeCell ref="D3:D5"/>
    <mergeCell ref="E3:I3"/>
    <mergeCell ref="J3:N3"/>
    <mergeCell ref="B13:C13"/>
    <mergeCell ref="B15:C15"/>
    <mergeCell ref="B16:C16"/>
    <mergeCell ref="B18:C18"/>
    <mergeCell ref="B19:C19"/>
    <mergeCell ref="B35:C35"/>
    <mergeCell ref="B36:C36"/>
    <mergeCell ref="B20:C20"/>
    <mergeCell ref="B21:C21"/>
    <mergeCell ref="B26:C26"/>
    <mergeCell ref="B29:C29"/>
    <mergeCell ref="B34:C34"/>
  </mergeCells>
  <pageMargins left="0.23622047244094491" right="0.23622047244094491" top="0.74803149606299213" bottom="0.74803149606299213" header="0.31496062992125984" footer="0.31496062992125984"/>
  <pageSetup paperSize="9" scale="95" firstPageNumber="145"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MŠ Smet1</vt:lpstr>
      <vt:lpstr>MŠ Smet</vt:lpstr>
      <vt:lpstr>MŠ Šárka1</vt:lpstr>
      <vt:lpstr>MŠ Šárka</vt:lpstr>
      <vt:lpstr>MŠ Rumun1</vt:lpstr>
      <vt:lpstr>MŠ Rumun</vt:lpstr>
      <vt:lpstr>MŠ Mor1</vt:lpstr>
      <vt:lpstr>MŠ Mor</vt:lpstr>
      <vt:lpstr>MŠ Part1</vt:lpstr>
      <vt:lpstr>MŠ Part</vt:lpstr>
      <vt:lpstr>ZŠ Melan1</vt:lpstr>
      <vt:lpstr>ZŠ Melan</vt:lpstr>
      <vt:lpstr>ZŠ Val1</vt:lpstr>
      <vt:lpstr>ZŠ Val</vt:lpstr>
      <vt:lpstr>ZŠ Pal1</vt:lpstr>
      <vt:lpstr>ZŠ Pal</vt:lpstr>
      <vt:lpstr>ZŠ Koll1</vt:lpstr>
      <vt:lpstr>ZŠ Koll</vt:lpstr>
      <vt:lpstr>ZŠ JŽ1</vt:lpstr>
      <vt:lpstr>ZŠ JŽ</vt:lpstr>
      <vt:lpstr>ZŠ Maj1</vt:lpstr>
      <vt:lpstr>ZŠ Maj</vt:lpstr>
      <vt:lpstr>ZŠ Dr.Hor1</vt:lpstr>
      <vt:lpstr>ZŠ Dr.Hor</vt:lpstr>
      <vt:lpstr>RG a ZŠ1</vt:lpstr>
      <vt:lpstr>RG a ZŠ</vt:lpstr>
      <vt:lpstr>ZUŠ1</vt:lpstr>
      <vt:lpstr>ZUŠ</vt:lpstr>
      <vt:lpstr>Sportcentrum1</vt:lpstr>
      <vt:lpstr>Sportcentrum</vt:lpstr>
      <vt:lpstr>Knihovna1</vt:lpstr>
      <vt:lpstr>Knihovna</vt:lpstr>
      <vt:lpstr>Divadlo1</vt:lpstr>
      <vt:lpstr>Divadlo</vt:lpstr>
      <vt:lpstr>Jesle1</vt:lpstr>
      <vt:lpstr>Jesle</vt:lpstr>
      <vt:lpstr>Kino1</vt:lpstr>
      <vt:lpstr>Kino</vt:lpstr>
      <vt:lpstr>'ZŠ Koll'!Oblast_tisku</vt:lpstr>
      <vt:lpstr>'ZŠ Val'!Oblast_tisku</vt:lpstr>
    </vt:vector>
  </TitlesOfParts>
  <Company>Městský úřad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2022-05-10T06:02:37Z</cp:lastPrinted>
  <dcterms:created xsi:type="dcterms:W3CDTF">1998-11-03T08:17:51Z</dcterms:created>
  <dcterms:modified xsi:type="dcterms:W3CDTF">2022-05-10T06:03:20Z</dcterms:modified>
</cp:coreProperties>
</file>